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71332797-886D-4214-8677-7E38644246B3}" xr6:coauthVersionLast="47" xr6:coauthVersionMax="47" xr10:uidLastSave="{00000000-0000-0000-0000-000000000000}"/>
  <bookViews>
    <workbookView xWindow="38280" yWindow="2025" windowWidth="28110" windowHeight="16440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N23" i="1" l="1"/>
  <c r="M23" i="1"/>
  <c r="P23" i="1" s="1"/>
  <c r="Q23" i="1" s="1"/>
  <c r="G23" i="1"/>
  <c r="I23" i="1" s="1"/>
  <c r="K23" i="1" s="1"/>
  <c r="F23" i="1"/>
  <c r="H23" i="1" s="1"/>
  <c r="J23" i="1" s="1"/>
  <c r="C8" i="5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L23" i="1" l="1"/>
  <c r="G6" i="3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E15" i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<sst xmlns="http://schemas.openxmlformats.org/spreadsheetml/2006/main" count="207" uniqueCount="157">
  <si>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</si>
  <si>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</si>
  <si>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</si>
  <si>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</si>
  <si>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</si>
  <si>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</si>
  <si>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</si>
  <si>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</si>
  <si>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</si>
  <si>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</si>
  <si>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</si>
  <si>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</si>
  <si>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</si>
  <si>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</si>
  <si>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</si>
  <si>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</si>
  <si>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</si>
  <si>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</si>
  <si>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</si>
  <si>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</si>
  <si>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</si>
  <si>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</si>
  <si>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</si>
  <si>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</si>
  <si>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</si>
  <si>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</si>
  <si>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</si>
  <si>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Data</t>
  </si>
  <si>
    <t>Clock</t>
  </si>
  <si>
    <t>I2C1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</si>
  <si>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</si>
  <si>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</si>
  <si>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</si>
  <si>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</si>
  <si>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</si>
  <si>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</si>
  <si>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</si>
  <si>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</si>
  <si>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</si>
  <si>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</si>
  <si>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</si>
  <si>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</si>
  <si>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</si>
  <si>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</si>
  <si>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</si>
  <si>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</si>
  <si>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</si>
  <si>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</si>
  <si>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</si>
  <si>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</si>
  <si>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</si>
  <si>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</si>
  <si>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</si>
  <si>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</si>
  <si>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</si>
  <si>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</si>
  <si>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</si>
  <si>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</si>
  <si>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</si>
  <si>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</si>
  <si>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</si>
  <si>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</si>
  <si>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</si>
  <si>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</si>
  <si>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</si>
  <si>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</si>
  <si>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</si>
  <si>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</si>
  <si>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</si>
  <si>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</si>
  <si>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</si>
  <si>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</si>
  <si>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</si>
  <si>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</si>
  <si>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</si>
  <si>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</si>
  <si>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</si>
  <si>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</si>
  <si>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</si>
  <si>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</si>
  <si>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</si>
  <si>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</si>
  <si>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</si>
  <si>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</si>
  <si>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</si>
  <si>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</si>
  <si>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</si>
  <si>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</si>
  <si>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</si>
  <si>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</si>
  <si>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</si>
  <si>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</si>
  <si>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</si>
  <si>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</si>
  <si>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</si>
  <si>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</si>
  <si>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</si>
  <si>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</si>
  <si>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</si>
  <si>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</si>
  <si>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</si>
  <si>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</si>
  <si>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</si>
  <si>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</si>
  <si>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</si>
  <si>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</si>
  <si>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</si>
  <si>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</si>
  <si>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</si>
  <si>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</si>
  <si>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</si>
  <si>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</si>
  <si>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</si>
  <si>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</si>
  <si>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</si>
  <si>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</si>
  <si>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</si>
  <si>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</si>
  <si>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</si>
  <si>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</si>
  <si>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</si>
  <si>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</si>
  <si>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</si>
  <si>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</si>
  <si>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</si>
  <si>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</si>
  <si>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</si>
  <si>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</si>
  <si>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</si>
  <si>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</si>
  <si>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</si>
  <si>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</si>
  <si>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</si>
  <si>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</si>
  <si>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</si>
  <si>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</si>
  <si>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</si>
  <si>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</si>
  <si>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</si>
  <si>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RotorTemp</t>
  </si>
  <si>
    <t>1x1</t>
  </si>
  <si>
    <t>3.3V RefV</t>
  </si>
  <si>
    <t>1x3</t>
  </si>
  <si>
    <t>BRO(-)</t>
  </si>
  <si>
    <t>WHT(+)</t>
  </si>
  <si>
    <t>CAN CTRL SW</t>
  </si>
  <si>
    <t>unused</t>
  </si>
  <si>
    <t>CAN ctrl sw</t>
  </si>
  <si>
    <t>IGN in</t>
  </si>
  <si>
    <t>Global_EN</t>
  </si>
  <si>
    <t>global_en</t>
  </si>
  <si>
    <t>N/C</t>
  </si>
  <si>
    <t>Brake Caliper T</t>
  </si>
  <si>
    <t>Imin mA</t>
  </si>
  <si>
    <t>Imax mA</t>
  </si>
  <si>
    <t>vmin V</t>
  </si>
  <si>
    <t>vmax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</si>
</sst>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5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  <xf numFmtId="0" fontId="0" fillId="5" borderId="0" xfId="0" applyFill="1"/>
    <xf numFmtId="0" fontId="4" fillId="6" borderId="0" xfId="0" applyFont="1" applyFill="1"/>
    <xf numFmtId="0" fontId="0" fillId="4" borderId="0" xfId="0" applyFill="1"/>
    <xf numFmtId="0" fontId="0" fillId="0" borderId="11" xfId="0" applyBorder="1"/>
    <xf numFmtId="0" fontId="0" fillId="7" borderId="0" xfId="0" applyFill="1"/>
    <xf numFmtId="0" fontId="4" fillId="0" borderId="0" xfId="0" applyFont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1" borderId="0" xfId="0" applyFill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20</xdr:row>
      <xdr:rowOff>199003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76819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tabSelected="1" topLeftCell="C2" workbookViewId="0">
      <selection activeCell="C14" sqref="C14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</v>
      </c>
      <c r="D12" t="s">
        <v>6</v>
      </c>
    </row>
    <row r="13" spans="2:19" x14ac:dyDescent="0.25">
      <c r="B13" t="s">
        <v>1</v>
      </c>
      <c r="C13">
        <v>20000</v>
      </c>
      <c r="D13" t="s">
        <v>7</v>
      </c>
    </row>
    <row r="14" spans="2:19" x14ac:dyDescent="0.25">
      <c r="B14" t="s">
        <v>2</v>
      </c>
      <c r="C14">
        <v>124</v>
      </c>
      <c r="D14" t="s">
        <v>7</v>
      </c>
    </row>
    <row r="15" spans="2:19" x14ac:dyDescent="0.25">
      <c r="B15" t="s">
        <v>3</v>
      </c>
      <c r="C15" s="3">
        <f>Vin*Rsensor/(Rsensor+Rref)*1000</f>
        <v>20.333929636255217</v>
      </c>
      <c r="D15" t="s">
        <v>90</v>
      </c>
      <c r="E15">
        <f>Vout*2</f>
        <v>40.667859272510434</v>
      </c>
    </row>
    <row r="16" spans="2:19" x14ac:dyDescent="0.25">
      <c r="B16" t="s">
        <v>4</v>
      </c>
    </row>
    <row r="20" spans="2:19" x14ac:dyDescent="0.25">
      <c r="C20" t="s">
        <v>68</v>
      </c>
      <c r="D20" t="s">
        <v>69</v>
      </c>
      <c r="E20" t="s">
        <v>70</v>
      </c>
      <c r="F20" t="s">
        <v>153</v>
      </c>
      <c r="G20" t="s">
        <v>154</v>
      </c>
      <c r="H20" t="s">
        <v>155</v>
      </c>
      <c r="I20" t="s">
        <v>156</v>
      </c>
      <c r="J20" t="s">
        <v>98</v>
      </c>
      <c r="K20" t="s">
        <v>99</v>
      </c>
      <c r="L20" t="s">
        <v>112</v>
      </c>
      <c r="M20" t="s">
        <v>108</v>
      </c>
      <c r="N20" t="s">
        <v>109</v>
      </c>
    </row>
    <row r="21" spans="2:19" x14ac:dyDescent="0.25">
      <c r="B21" s="9" t="s">
        <v>66</v>
      </c>
      <c r="C21">
        <v>2000</v>
      </c>
      <c r="D21">
        <v>20</v>
      </c>
      <c r="E21">
        <v>2500</v>
      </c>
      <c r="F21" s="2">
        <f>Vin/($C21+D21)*1000</f>
        <v>1.6336633663366336</v>
      </c>
      <c r="G21" s="2">
        <f>Vin/($C21+E21)*1000</f>
        <v>0.73333333333333339</v>
      </c>
      <c r="H21" s="2">
        <f>D21*F21/1000</f>
        <v>3.2673267326732668E-2</v>
      </c>
      <c r="I21" s="2">
        <f>E21*G21/1000</f>
        <v>1.8333333333333335</v>
      </c>
      <c r="J21" s="4">
        <f>H21*1000</f>
        <v>32.67326732673267</v>
      </c>
      <c r="K21" s="4">
        <f>I21*1000</f>
        <v>1833.3333333333335</v>
      </c>
      <c r="L21" s="34">
        <f>Vin*G21/1000</f>
        <v>2.4199999999999998E-3</v>
      </c>
      <c r="M21">
        <f>$C21+D21</f>
        <v>2020</v>
      </c>
      <c r="N21">
        <f>$C21+E21</f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67</v>
      </c>
      <c r="C22">
        <v>465</v>
      </c>
      <c r="D22">
        <v>8</v>
      </c>
      <c r="E22">
        <v>200</v>
      </c>
      <c r="F22" s="2">
        <f>Vin/($C22+D22)*1000</f>
        <v>6.9767441860465116</v>
      </c>
      <c r="G22" s="2">
        <f>Vin/($C22+E22)*1000</f>
        <v>4.9624060150375939</v>
      </c>
      <c r="H22" s="2">
        <f>D22*F22/1000</f>
        <v>5.5813953488372092E-2</v>
      </c>
      <c r="I22" s="2">
        <f>E22*G22/1000</f>
        <v>0.99248120300751885</v>
      </c>
      <c r="J22" s="4">
        <f>H22*1000</f>
        <v>55.813953488372093</v>
      </c>
      <c r="K22" s="4">
        <f>I22*1000</f>
        <v>992.48120300751884</v>
      </c>
      <c r="L22" s="34">
        <f>Vin*G22/1000</f>
        <v>1.6375939849624061E-2</v>
      </c>
      <c r="M22">
        <f>$C22+D22</f>
        <v>473</v>
      </c>
      <c r="N22">
        <f>$C22+E22</f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3" spans="2:19" x14ac:dyDescent="0.25">
      <c r="B23" s="9" t="s">
        <v>152</v>
      </c>
      <c r="C23">
        <v>20000</v>
      </c>
      <c r="D23">
        <v>122</v>
      </c>
      <c r="E23">
        <v>32000</v>
      </c>
      <c r="F23" s="2">
        <f>Vin/($C23+D23)*1000</f>
        <v>0.16399960242520623</v>
      </c>
      <c r="G23" s="2">
        <f>Vin/($C23+E23)*1000</f>
        <v>6.3461538461538458E-2</v>
      </c>
      <c r="H23" s="2">
        <f>D23*F23/1000</f>
        <v>2.0007951495875156E-2</v>
      </c>
      <c r="I23" s="2">
        <f>E23*G23/1000</f>
        <v>2.0307692307692307</v>
      </c>
      <c r="J23" s="4">
        <f>H23*1000</f>
        <v>20.007951495875158</v>
      </c>
      <c r="K23" s="4">
        <f>I23*1000</f>
        <v>2030.7692307692307</v>
      </c>
      <c r="L23" s="34">
        <f>Vin*G23/1000</f>
        <v>2.0942307692307691E-4</v>
      </c>
      <c r="M23">
        <f>$C23+D23</f>
        <v>20122</v>
      </c>
      <c r="N23">
        <f>$C23+E23</f>
        <v>52000</v>
      </c>
      <c r="P23">
        <f>2/M23</f>
        <v>9.9393698439518936E-5</v>
      </c>
      <c r="Q23">
        <f>1/P23</f>
        <v>10061</v>
      </c>
    </row>
    <row r="25" spans="2:19" x14ac:dyDescent="0.25">
      <c r="B25" t="s">
        <v>87</v>
      </c>
      <c r="C25">
        <v>162</v>
      </c>
      <c r="D25" t="s">
        <v>90</v>
      </c>
      <c r="F25" t="s">
        <v>117</v>
      </c>
    </row>
    <row r="26" spans="2:19" x14ac:dyDescent="0.25">
      <c r="B26" t="s">
        <v>86</v>
      </c>
      <c r="C26" s="38">
        <f>Vin*1000-C25</f>
        <v>3138</v>
      </c>
      <c r="D26" t="s">
        <v>90</v>
      </c>
      <c r="F26" t="s">
        <v>124</v>
      </c>
      <c r="G26" t="s">
        <v>123</v>
      </c>
      <c r="H26" t="s">
        <v>122</v>
      </c>
      <c r="I26" t="s">
        <v>121</v>
      </c>
      <c r="J26" t="s">
        <v>120</v>
      </c>
      <c r="K26" t="s">
        <v>119</v>
      </c>
      <c r="L26" t="s">
        <v>118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1.569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103.25047801147228</v>
      </c>
      <c r="D29" t="s">
        <v>7</v>
      </c>
    </row>
    <row r="30" spans="2:19" x14ac:dyDescent="0.25">
      <c r="B30" t="s">
        <v>88</v>
      </c>
      <c r="C30" s="40">
        <f>polA+polB*LN(C29)+polC*(LN(C29))^3</f>
        <v>100.14530084854968</v>
      </c>
      <c r="D30" t="s">
        <v>89</v>
      </c>
    </row>
    <row r="31" spans="2:19" x14ac:dyDescent="0.25">
      <c r="B31" t="s">
        <v>132</v>
      </c>
      <c r="C31" s="40">
        <f>ppolA+ppolB*C29+ppolC*C29^2</f>
        <v>2.6878289098074597</v>
      </c>
      <c r="D31" t="s">
        <v>17</v>
      </c>
    </row>
    <row r="33" spans="2:4" x14ac:dyDescent="0.25">
      <c r="B33" t="s">
        <v>129</v>
      </c>
    </row>
    <row r="34" spans="2:4" x14ac:dyDescent="0.25">
      <c r="B34" t="s">
        <v>130</v>
      </c>
      <c r="C34" t="s">
        <v>131</v>
      </c>
      <c r="D34" t="s">
        <v>90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4"/>
  <sheetViews>
    <sheetView zoomScale="85" zoomScaleNormal="85" workbookViewId="0">
      <selection activeCell="E22" sqref="E22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11.140625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85</v>
      </c>
      <c r="G2" t="s">
        <v>43</v>
      </c>
      <c r="L2" t="s">
        <v>48</v>
      </c>
      <c r="M2">
        <v>1</v>
      </c>
      <c r="N2" s="14" t="s">
        <v>45</v>
      </c>
      <c r="O2" s="15" t="s">
        <v>44</v>
      </c>
      <c r="P2">
        <v>2</v>
      </c>
      <c r="Q2" t="s">
        <v>62</v>
      </c>
    </row>
    <row r="3" spans="2:17" x14ac:dyDescent="0.25">
      <c r="B3" s="49" t="s">
        <v>22</v>
      </c>
      <c r="F3" s="45" t="s">
        <v>30</v>
      </c>
      <c r="G3" s="9">
        <v>6</v>
      </c>
      <c r="L3" t="s">
        <v>50</v>
      </c>
      <c r="M3">
        <f>M2+2</f>
        <v>3</v>
      </c>
      <c r="N3" s="10" t="s">
        <v>47</v>
      </c>
      <c r="O3" s="16" t="s">
        <v>44</v>
      </c>
      <c r="P3">
        <f>P2+2</f>
        <v>4</v>
      </c>
      <c r="Q3" t="s">
        <v>49</v>
      </c>
    </row>
    <row r="4" spans="2:17" x14ac:dyDescent="0.25">
      <c r="B4" t="s">
        <v>19</v>
      </c>
      <c r="C4" t="s">
        <v>25</v>
      </c>
      <c r="F4" s="44" t="s">
        <v>31</v>
      </c>
      <c r="G4" s="9">
        <v>4</v>
      </c>
      <c r="L4" t="s">
        <v>51</v>
      </c>
      <c r="M4">
        <f t="shared" ref="M4:M21" si="0">M3+2</f>
        <v>5</v>
      </c>
      <c r="N4" s="18" t="s">
        <v>56</v>
      </c>
      <c r="O4" s="17" t="s">
        <v>46</v>
      </c>
      <c r="P4">
        <f t="shared" ref="P4:P21" si="1">P3+2</f>
        <v>6</v>
      </c>
      <c r="Q4" t="s">
        <v>61</v>
      </c>
    </row>
    <row r="5" spans="2:17" x14ac:dyDescent="0.25">
      <c r="B5" t="s">
        <v>20</v>
      </c>
      <c r="C5" t="s">
        <v>25</v>
      </c>
      <c r="F5" s="46" t="s">
        <v>32</v>
      </c>
      <c r="G5" s="9">
        <v>1</v>
      </c>
      <c r="L5" t="s">
        <v>145</v>
      </c>
      <c r="M5">
        <f t="shared" si="0"/>
        <v>7</v>
      </c>
      <c r="N5" s="21" t="s">
        <v>52</v>
      </c>
      <c r="O5" s="23" t="s">
        <v>53</v>
      </c>
      <c r="P5">
        <f t="shared" si="1"/>
        <v>8</v>
      </c>
      <c r="Q5" t="s">
        <v>59</v>
      </c>
    </row>
    <row r="6" spans="2:17" ht="15.75" thickBot="1" x14ac:dyDescent="0.3">
      <c r="B6" s="49" t="s">
        <v>21</v>
      </c>
      <c r="C6" t="s">
        <v>24</v>
      </c>
      <c r="D6" t="s">
        <v>149</v>
      </c>
      <c r="F6" s="25" t="s">
        <v>33</v>
      </c>
      <c r="G6" s="9" t="s">
        <v>150</v>
      </c>
      <c r="L6" t="s">
        <v>63</v>
      </c>
      <c r="M6">
        <f t="shared" si="0"/>
        <v>9</v>
      </c>
      <c r="N6" s="17" t="s">
        <v>46</v>
      </c>
      <c r="O6" s="24" t="s">
        <v>54</v>
      </c>
      <c r="P6">
        <f t="shared" si="1"/>
        <v>10</v>
      </c>
      <c r="Q6" t="s">
        <v>60</v>
      </c>
    </row>
    <row r="7" spans="2:17" ht="15.75" thickBot="1" x14ac:dyDescent="0.3">
      <c r="B7" t="s">
        <v>26</v>
      </c>
      <c r="C7" t="s">
        <v>29</v>
      </c>
      <c r="D7" t="s">
        <v>27</v>
      </c>
      <c r="F7" s="47" t="s">
        <v>35</v>
      </c>
      <c r="G7" s="9">
        <v>3</v>
      </c>
      <c r="L7" t="s">
        <v>64</v>
      </c>
      <c r="M7">
        <f t="shared" si="0"/>
        <v>11</v>
      </c>
      <c r="N7" s="18" t="s">
        <v>56</v>
      </c>
      <c r="O7" s="11"/>
      <c r="P7">
        <f t="shared" si="1"/>
        <v>12</v>
      </c>
    </row>
    <row r="8" spans="2:17" x14ac:dyDescent="0.25">
      <c r="B8" t="s">
        <v>23</v>
      </c>
      <c r="C8" t="s">
        <v>29</v>
      </c>
      <c r="D8" t="s">
        <v>28</v>
      </c>
      <c r="F8" s="48" t="s">
        <v>34</v>
      </c>
      <c r="G8" s="9">
        <v>5</v>
      </c>
      <c r="L8" t="s">
        <v>65</v>
      </c>
      <c r="M8">
        <f t="shared" si="0"/>
        <v>13</v>
      </c>
      <c r="N8" s="22" t="s">
        <v>55</v>
      </c>
      <c r="O8" s="17" t="s">
        <v>46</v>
      </c>
      <c r="P8">
        <f t="shared" si="1"/>
        <v>14</v>
      </c>
      <c r="Q8" t="s">
        <v>133</v>
      </c>
    </row>
    <row r="9" spans="2:17" x14ac:dyDescent="0.25">
      <c r="C9" t="s">
        <v>147</v>
      </c>
      <c r="F9" s="51" t="s">
        <v>36</v>
      </c>
      <c r="G9" s="9">
        <v>7</v>
      </c>
      <c r="L9" t="s">
        <v>91</v>
      </c>
      <c r="M9">
        <f t="shared" si="0"/>
        <v>15</v>
      </c>
      <c r="N9" s="22" t="s">
        <v>55</v>
      </c>
      <c r="O9" s="11"/>
      <c r="P9">
        <f t="shared" si="1"/>
        <v>16</v>
      </c>
    </row>
    <row r="10" spans="2:17" x14ac:dyDescent="0.25">
      <c r="C10" t="s">
        <v>148</v>
      </c>
      <c r="F10" s="50" t="s">
        <v>37</v>
      </c>
      <c r="G10" s="9">
        <v>15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C11" t="s">
        <v>146</v>
      </c>
      <c r="F11" s="52" t="s">
        <v>39</v>
      </c>
      <c r="G11" s="9" t="s">
        <v>151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C12" t="s">
        <v>146</v>
      </c>
      <c r="F12" s="53" t="s">
        <v>38</v>
      </c>
      <c r="G12" s="9" t="s">
        <v>151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57</v>
      </c>
      <c r="M15">
        <f t="shared" si="0"/>
        <v>27</v>
      </c>
      <c r="N15" s="10"/>
      <c r="O15" s="11"/>
      <c r="P15">
        <f t="shared" si="1"/>
        <v>28</v>
      </c>
      <c r="Q15" t="s">
        <v>58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74</v>
      </c>
      <c r="F17" s="1" t="s">
        <v>100</v>
      </c>
      <c r="G17" s="1" t="s">
        <v>102</v>
      </c>
      <c r="H17" s="1" t="s">
        <v>113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77</v>
      </c>
      <c r="C18" t="s">
        <v>75</v>
      </c>
      <c r="F18" t="s">
        <v>114</v>
      </c>
      <c r="G18" t="s">
        <v>106</v>
      </c>
      <c r="H18" s="22" t="s">
        <v>81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30</v>
      </c>
      <c r="C19" t="s">
        <v>22</v>
      </c>
      <c r="F19" t="s">
        <v>115</v>
      </c>
      <c r="G19" t="s">
        <v>107</v>
      </c>
      <c r="H19" s="28" t="s">
        <v>79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76</v>
      </c>
      <c r="C20" t="s">
        <v>78</v>
      </c>
      <c r="F20" t="s">
        <v>101</v>
      </c>
      <c r="G20" t="s">
        <v>104</v>
      </c>
      <c r="H20" s="25" t="s">
        <v>33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79</v>
      </c>
      <c r="C21" t="s">
        <v>80</v>
      </c>
      <c r="F21" t="s">
        <v>103</v>
      </c>
      <c r="G21" t="s">
        <v>105</v>
      </c>
      <c r="H21" s="30" t="s">
        <v>83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81</v>
      </c>
      <c r="C22" t="s">
        <v>82</v>
      </c>
    </row>
    <row r="23" spans="2:16" x14ac:dyDescent="0.25">
      <c r="B23" s="30" t="s">
        <v>83</v>
      </c>
      <c r="C23" t="s">
        <v>84</v>
      </c>
      <c r="F23" t="s">
        <v>139</v>
      </c>
      <c r="G23" t="s">
        <v>140</v>
      </c>
      <c r="H23" s="42" t="s">
        <v>144</v>
      </c>
      <c r="I23" s="43" t="s">
        <v>143</v>
      </c>
    </row>
    <row r="25" spans="2:16" x14ac:dyDescent="0.25">
      <c r="F25" t="s">
        <v>141</v>
      </c>
      <c r="G25" t="s">
        <v>142</v>
      </c>
    </row>
    <row r="30" spans="2:16" x14ac:dyDescent="0.25">
      <c r="G30" s="1" t="s">
        <v>40</v>
      </c>
    </row>
    <row r="31" spans="2:16" x14ac:dyDescent="0.25">
      <c r="G31" s="9" t="s">
        <v>128</v>
      </c>
      <c r="H31" t="s">
        <v>42</v>
      </c>
    </row>
    <row r="32" spans="2:16" x14ac:dyDescent="0.25">
      <c r="G32" s="9" t="s">
        <v>41</v>
      </c>
      <c r="H32" t="s">
        <v>73</v>
      </c>
    </row>
    <row r="33" spans="7:8" x14ac:dyDescent="0.25">
      <c r="G33" t="s">
        <v>126</v>
      </c>
      <c r="H33" t="s">
        <v>125</v>
      </c>
    </row>
    <row r="34" spans="7:8" x14ac:dyDescent="0.25">
      <c r="G34" t="s">
        <v>127</v>
      </c>
      <c r="H34" t="s">
        <v>116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topLeftCell="A13" zoomScale="85" zoomScaleNormal="85" workbookViewId="0">
      <selection activeCell="B12" sqref="B12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110</v>
      </c>
      <c r="M51" t="s">
        <v>95</v>
      </c>
      <c r="Q51">
        <v>9</v>
      </c>
      <c r="R51">
        <v>10</v>
      </c>
    </row>
    <row r="52" spans="6:19" x14ac:dyDescent="0.25">
      <c r="L52" s="31" t="s">
        <v>97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93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94</v>
      </c>
      <c r="M54">
        <v>135</v>
      </c>
      <c r="N54" s="4">
        <f>M54*1.8+32</f>
        <v>275</v>
      </c>
    </row>
    <row r="56" spans="6:19" x14ac:dyDescent="0.25">
      <c r="L56" s="31" t="s">
        <v>93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R41" sqref="R41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111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111</v>
      </c>
    </row>
    <row r="40" spans="2:13" x14ac:dyDescent="0.25">
      <c r="B40" s="4"/>
      <c r="K40" s="31" t="s">
        <v>94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93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92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96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18"/>
  <sheetViews>
    <sheetView zoomScaleNormal="100" workbookViewId="0">
      <selection activeCell="C7" sqref="C7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89</v>
      </c>
    </row>
    <row r="2" spans="2:8" x14ac:dyDescent="0.25">
      <c r="B2" t="s">
        <v>134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71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72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135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136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137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138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7:8" x14ac:dyDescent="0.25">
      <c r="G17">
        <v>19</v>
      </c>
      <c r="H17">
        <v>937.5</v>
      </c>
    </row>
    <row r="18" spans="7:8" x14ac:dyDescent="0.25">
      <c r="G18">
        <v>20</v>
      </c>
      <c r="H1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Calcs</vt:lpstr>
      <vt:lpstr>Pinouts</vt:lpstr>
      <vt:lpstr>Temp</vt:lpstr>
      <vt:lpstr>Pressure</vt:lpstr>
      <vt:lpstr>RotorTemp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2024-03-07T09:57:27Z</dcterms:modified>
</cp:coreProperties>
</file>