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KnurDash\design\"/>
    </mc:Choice>
  </mc:AlternateContent>
  <xr:revisionPtr revIDLastSave="0" documentId="13_ncr:1_{2B1563AE-3E64-4AFE-9B1C-04D65FF97EDC}" xr6:coauthVersionLast="47" xr6:coauthVersionMax="47" xr10:uidLastSave="{00000000-0000-0000-0000-000000000000}"/>
  <bookViews>
    <workbookView xWindow="38280" yWindow="2025" windowWidth="29040" windowHeight="16440" activeTab="1" xr2:uid="{C15B9210-5287-4BB4-843A-B886E7D7C4FA}"/>
  </bookViews>
  <sheets>
    <sheet name="Calcs" sheetId="1" r:id="rId1"/>
    <sheet name="Pinouts" sheetId="4" r:id="rId2"/>
    <sheet name="Temp" sheetId="3" r:id="rId3"/>
    <sheet name="Pressure" sheetId="2" r:id="rId4"/>
    <sheet name="RotorTemp" sheetId="5" r:id="rId5"/>
  </sheets>
  <definedNames>
    <definedName name="polA">Temp!$E$2</definedName>
    <definedName name="polA2">Temp!#REF!</definedName>
    <definedName name="polB">Temp!$F$2</definedName>
    <definedName name="polB2">Temp!#REF!</definedName>
    <definedName name="polC">Temp!$G$2</definedName>
    <definedName name="polC2">Temp!#REF!</definedName>
    <definedName name="polD">Temp!#REF!</definedName>
    <definedName name="polE">Temp!#REF!</definedName>
    <definedName name="ppolA">Pressure!$G$2</definedName>
    <definedName name="ppolB">Pressure!$H$2</definedName>
    <definedName name="ppolC">Pressure!$I$2</definedName>
    <definedName name="_xlnm.Print_Area" localSheetId="1">Pinouts!$A$1:$AH$38</definedName>
    <definedName name="PsiToBar">Pressure!$B$2</definedName>
    <definedName name="ROTOR_A">RotorTemp!$C$14</definedName>
    <definedName name="ROTOR_B">RotorTemp!$C$15</definedName>
    <definedName name="Rref">Calcs!$C$13</definedName>
    <definedName name="Rsensor">Calcs!$C$14</definedName>
    <definedName name="solver_adj" localSheetId="3" hidden="1">Pressure!$G$2:$I$2</definedName>
    <definedName name="solver_adj" localSheetId="2" hidden="1">Temp!$E$2:$G$2</definedName>
    <definedName name="solver_cvg" localSheetId="3" hidden="1">0.0001</definedName>
    <definedName name="solver_cvg" localSheetId="2" hidden="1">0.0001</definedName>
    <definedName name="solver_drv" localSheetId="3" hidden="1">1</definedName>
    <definedName name="solver_drv" localSheetId="2" hidden="1">1</definedName>
    <definedName name="solver_eng" localSheetId="3" hidden="1">1</definedName>
    <definedName name="solver_eng" localSheetId="2" hidden="1">1</definedName>
    <definedName name="solver_est" localSheetId="3" hidden="1">1</definedName>
    <definedName name="solver_est" localSheetId="2" hidden="1">1</definedName>
    <definedName name="solver_itr" localSheetId="3" hidden="1">2147483647</definedName>
    <definedName name="solver_itr" localSheetId="2" hidden="1">2147483647</definedName>
    <definedName name="solver_mip" localSheetId="3" hidden="1">2147483647</definedName>
    <definedName name="solver_mip" localSheetId="2" hidden="1">2147483647</definedName>
    <definedName name="solver_mni" localSheetId="3" hidden="1">30</definedName>
    <definedName name="solver_mni" localSheetId="2" hidden="1">30</definedName>
    <definedName name="solver_mrt" localSheetId="3" hidden="1">0.075</definedName>
    <definedName name="solver_mrt" localSheetId="2" hidden="1">0.075</definedName>
    <definedName name="solver_msl" localSheetId="3" hidden="1">2</definedName>
    <definedName name="solver_msl" localSheetId="2" hidden="1">2</definedName>
    <definedName name="solver_neg" localSheetId="3" hidden="1">2</definedName>
    <definedName name="solver_neg" localSheetId="2" hidden="1">2</definedName>
    <definedName name="solver_nod" localSheetId="3" hidden="1">2147483647</definedName>
    <definedName name="solver_nod" localSheetId="2" hidden="1">2147483647</definedName>
    <definedName name="solver_num" localSheetId="3" hidden="1">0</definedName>
    <definedName name="solver_num" localSheetId="2" hidden="1">0</definedName>
    <definedName name="solver_nwt" localSheetId="3" hidden="1">1</definedName>
    <definedName name="solver_nwt" localSheetId="2" hidden="1">1</definedName>
    <definedName name="solver_opt" localSheetId="3" hidden="1">Pressure!$M$36</definedName>
    <definedName name="solver_opt" localSheetId="2" hidden="1">Temp!$H$50</definedName>
    <definedName name="solver_pre" localSheetId="3" hidden="1">0.000001</definedName>
    <definedName name="solver_pre" localSheetId="2" hidden="1">0.000001</definedName>
    <definedName name="solver_rbv" localSheetId="3" hidden="1">1</definedName>
    <definedName name="solver_rbv" localSheetId="2" hidden="1">1</definedName>
    <definedName name="solver_rlx" localSheetId="3" hidden="1">2</definedName>
    <definedName name="solver_rlx" localSheetId="2" hidden="1">2</definedName>
    <definedName name="solver_rsd" localSheetId="3" hidden="1">0</definedName>
    <definedName name="solver_rsd" localSheetId="2" hidden="1">0</definedName>
    <definedName name="solver_scl" localSheetId="3" hidden="1">1</definedName>
    <definedName name="solver_scl" localSheetId="2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ssz" localSheetId="2" hidden="1">100</definedName>
    <definedName name="solver_tim" localSheetId="3" hidden="1">2147483647</definedName>
    <definedName name="solver_tim" localSheetId="2" hidden="1">2147483647</definedName>
    <definedName name="solver_tol" localSheetId="3" hidden="1">0.01</definedName>
    <definedName name="solver_tol" localSheetId="2" hidden="1">0.01</definedName>
    <definedName name="solver_typ" localSheetId="3" hidden="1">2</definedName>
    <definedName name="solver_typ" localSheetId="2" hidden="1">2</definedName>
    <definedName name="solver_val" localSheetId="3" hidden="1">0</definedName>
    <definedName name="solver_val" localSheetId="2" hidden="1">0</definedName>
    <definedName name="solver_ver" localSheetId="3" hidden="1">3</definedName>
    <definedName name="solver_ver" localSheetId="2" hidden="1">3</definedName>
    <definedName name="Vin">Calcs!$C$12</definedName>
    <definedName name="Vout">Calcs!$C$15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5" l="1"/>
  <c r="C10" i="5"/>
  <c r="C9" i="5"/>
  <c r="C7" i="5"/>
  <c r="F6" i="3"/>
  <c r="E6" i="3"/>
  <c r="C6" i="3" s="1"/>
  <c r="K6" i="2"/>
  <c r="F47" i="3"/>
  <c r="F46" i="3" s="1"/>
  <c r="F45" i="3" s="1"/>
  <c r="F44" i="3" s="1"/>
  <c r="F43" i="3" s="1"/>
  <c r="F42" i="3" s="1"/>
  <c r="F41" i="3" s="1"/>
  <c r="F40" i="3" s="1"/>
  <c r="F39" i="3" s="1"/>
  <c r="F38" i="3" s="1"/>
  <c r="F37" i="3" s="1"/>
  <c r="F36" i="3" s="1"/>
  <c r="F35" i="3" s="1"/>
  <c r="F34" i="3" s="1"/>
  <c r="F33" i="3" s="1"/>
  <c r="F32" i="3" s="1"/>
  <c r="F31" i="3" s="1"/>
  <c r="F30" i="3" s="1"/>
  <c r="F29" i="3" s="1"/>
  <c r="F28" i="3" s="1"/>
  <c r="F27" i="3" s="1"/>
  <c r="F26" i="3" s="1"/>
  <c r="F25" i="3" s="1"/>
  <c r="F24" i="3" s="1"/>
  <c r="D36" i="1"/>
  <c r="D35" i="1"/>
  <c r="G28" i="1"/>
  <c r="F28" i="1"/>
  <c r="H28" i="1"/>
  <c r="I28" i="1"/>
  <c r="E34" i="2"/>
  <c r="I34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5" i="2"/>
  <c r="N56" i="3"/>
  <c r="N54" i="3"/>
  <c r="N53" i="3"/>
  <c r="N52" i="3"/>
  <c r="M43" i="2"/>
  <c r="M42" i="2"/>
  <c r="M41" i="2"/>
  <c r="M40" i="2"/>
  <c r="G6" i="3" l="1"/>
  <c r="K6" i="3"/>
  <c r="H6" i="3"/>
  <c r="K7" i="2"/>
  <c r="F23" i="3"/>
  <c r="J28" i="1"/>
  <c r="K28" i="1" s="1"/>
  <c r="L28" i="1" s="1"/>
  <c r="N22" i="1"/>
  <c r="M22" i="1"/>
  <c r="P22" i="1" s="1"/>
  <c r="N21" i="1"/>
  <c r="M21" i="1"/>
  <c r="P21" i="1" s="1"/>
  <c r="Q21" i="1" s="1"/>
  <c r="E8" i="3"/>
  <c r="C26" i="1"/>
  <c r="C28" i="1" s="1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8" i="3"/>
  <c r="G22" i="1"/>
  <c r="F22" i="1"/>
  <c r="H22" i="1" s="1"/>
  <c r="J22" i="1" s="1"/>
  <c r="G21" i="1"/>
  <c r="F21" i="1"/>
  <c r="H21" i="1" s="1"/>
  <c r="J21" i="1" s="1"/>
  <c r="P3" i="4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M3" i="4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E7" i="3"/>
  <c r="E5" i="3"/>
  <c r="E48" i="3"/>
  <c r="G48" i="3" s="1"/>
  <c r="E47" i="3"/>
  <c r="G47" i="3" s="1"/>
  <c r="E6" i="2"/>
  <c r="L6" i="2" s="1"/>
  <c r="M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5" i="2"/>
  <c r="E4" i="3"/>
  <c r="E46" i="3"/>
  <c r="G46" i="3" s="1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G23" i="3" s="1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C6" i="1"/>
  <c r="C7" i="1" s="1"/>
  <c r="C15" i="1"/>
  <c r="E15" i="1" s="1"/>
  <c r="G5" i="2" l="1"/>
  <c r="L5" i="2"/>
  <c r="M5" i="2" s="1"/>
  <c r="G6" i="2"/>
  <c r="G36" i="2" s="1"/>
  <c r="L7" i="2"/>
  <c r="M7" i="2" s="1"/>
  <c r="K8" i="2"/>
  <c r="G39" i="3"/>
  <c r="H39" i="3" s="1"/>
  <c r="G27" i="3"/>
  <c r="H27" i="3" s="1"/>
  <c r="G26" i="3"/>
  <c r="H26" i="3" s="1"/>
  <c r="G38" i="3"/>
  <c r="H38" i="3" s="1"/>
  <c r="G25" i="3"/>
  <c r="H25" i="3" s="1"/>
  <c r="G36" i="3"/>
  <c r="H36" i="3" s="1"/>
  <c r="G24" i="3"/>
  <c r="H24" i="3" s="1"/>
  <c r="G40" i="3"/>
  <c r="H40" i="3" s="1"/>
  <c r="G35" i="3"/>
  <c r="H35" i="3" s="1"/>
  <c r="G34" i="3"/>
  <c r="H34" i="3" s="1"/>
  <c r="G45" i="3"/>
  <c r="H45" i="3" s="1"/>
  <c r="G33" i="3"/>
  <c r="H33" i="3" s="1"/>
  <c r="G43" i="3"/>
  <c r="H43" i="3" s="1"/>
  <c r="G32" i="3"/>
  <c r="H32" i="3" s="1"/>
  <c r="G42" i="3"/>
  <c r="H42" i="3" s="1"/>
  <c r="G30" i="3"/>
  <c r="H30" i="3" s="1"/>
  <c r="G28" i="3"/>
  <c r="H28" i="3" s="1"/>
  <c r="G37" i="3"/>
  <c r="H37" i="3" s="1"/>
  <c r="G44" i="3"/>
  <c r="H44" i="3" s="1"/>
  <c r="G31" i="3"/>
  <c r="H31" i="3" s="1"/>
  <c r="G41" i="3"/>
  <c r="H41" i="3" s="1"/>
  <c r="G29" i="3"/>
  <c r="H29" i="3" s="1"/>
  <c r="H23" i="3"/>
  <c r="F22" i="3"/>
  <c r="G22" i="3" s="1"/>
  <c r="H22" i="3" s="1"/>
  <c r="C47" i="3"/>
  <c r="H47" i="3" s="1"/>
  <c r="C48" i="3"/>
  <c r="H48" i="3" s="1"/>
  <c r="K5" i="3"/>
  <c r="C5" i="3"/>
  <c r="H5" i="3" s="1"/>
  <c r="K7" i="3"/>
  <c r="C7" i="3"/>
  <c r="H7" i="3" s="1"/>
  <c r="C46" i="3"/>
  <c r="H46" i="3" s="1"/>
  <c r="K4" i="3"/>
  <c r="C4" i="3"/>
  <c r="H4" i="3" s="1"/>
  <c r="K47" i="3"/>
  <c r="K48" i="3"/>
  <c r="K46" i="3"/>
  <c r="I21" i="1"/>
  <c r="K21" i="1" s="1"/>
  <c r="L21" i="1"/>
  <c r="I22" i="1"/>
  <c r="K22" i="1" s="1"/>
  <c r="L22" i="1"/>
  <c r="Q22" i="1"/>
  <c r="R22" i="1" s="1"/>
  <c r="S22" i="1" s="1"/>
  <c r="C29" i="1"/>
  <c r="C31" i="1" s="1"/>
  <c r="C30" i="1"/>
  <c r="L8" i="2" l="1"/>
  <c r="M8" i="2" s="1"/>
  <c r="K9" i="2"/>
  <c r="F21" i="3"/>
  <c r="G21" i="3" s="1"/>
  <c r="H21" i="3" s="1"/>
  <c r="K10" i="2" l="1"/>
  <c r="L9" i="2"/>
  <c r="M9" i="2" s="1"/>
  <c r="F20" i="3"/>
  <c r="G20" i="3" s="1"/>
  <c r="H20" i="3" s="1"/>
  <c r="F19" i="3"/>
  <c r="G19" i="3" s="1"/>
  <c r="K11" i="2" l="1"/>
  <c r="L10" i="2"/>
  <c r="M10" i="2" s="1"/>
  <c r="F18" i="3"/>
  <c r="G18" i="3" s="1"/>
  <c r="H19" i="3"/>
  <c r="K12" i="2" l="1"/>
  <c r="L11" i="2"/>
  <c r="M11" i="2" s="1"/>
  <c r="H18" i="3"/>
  <c r="F17" i="3"/>
  <c r="G17" i="3" s="1"/>
  <c r="K13" i="2" l="1"/>
  <c r="L12" i="2"/>
  <c r="M12" i="2" s="1"/>
  <c r="H17" i="3"/>
  <c r="F16" i="3"/>
  <c r="G16" i="3" s="1"/>
  <c r="K14" i="2" l="1"/>
  <c r="L13" i="2"/>
  <c r="M13" i="2" s="1"/>
  <c r="H16" i="3"/>
  <c r="F15" i="3"/>
  <c r="G15" i="3" s="1"/>
  <c r="K15" i="2" l="1"/>
  <c r="L14" i="2"/>
  <c r="M14" i="2" s="1"/>
  <c r="H15" i="3"/>
  <c r="F14" i="3"/>
  <c r="G14" i="3" s="1"/>
  <c r="K16" i="2" l="1"/>
  <c r="L15" i="2"/>
  <c r="M15" i="2" s="1"/>
  <c r="H14" i="3"/>
  <c r="F13" i="3"/>
  <c r="G13" i="3" s="1"/>
  <c r="K17" i="2" l="1"/>
  <c r="L16" i="2"/>
  <c r="M16" i="2" s="1"/>
  <c r="H13" i="3"/>
  <c r="F12" i="3"/>
  <c r="G12" i="3" s="1"/>
  <c r="K18" i="2" l="1"/>
  <c r="L17" i="2"/>
  <c r="M17" i="2" s="1"/>
  <c r="F11" i="3"/>
  <c r="G11" i="3" s="1"/>
  <c r="H12" i="3"/>
  <c r="K19" i="2" l="1"/>
  <c r="L18" i="2"/>
  <c r="M18" i="2" s="1"/>
  <c r="H11" i="3"/>
  <c r="F10" i="3"/>
  <c r="G10" i="3" s="1"/>
  <c r="K20" i="2" l="1"/>
  <c r="L19" i="2"/>
  <c r="M19" i="2" s="1"/>
  <c r="F9" i="3"/>
  <c r="G9" i="3" s="1"/>
  <c r="H10" i="3"/>
  <c r="K21" i="2" l="1"/>
  <c r="L20" i="2"/>
  <c r="M20" i="2" s="1"/>
  <c r="H9" i="3"/>
  <c r="F8" i="3"/>
  <c r="G8" i="3" s="1"/>
  <c r="K22" i="2" l="1"/>
  <c r="L21" i="2"/>
  <c r="M21" i="2" s="1"/>
  <c r="H8" i="3"/>
  <c r="H50" i="3" s="1"/>
  <c r="F7" i="3"/>
  <c r="G7" i="3" s="1"/>
  <c r="K23" i="2" l="1"/>
  <c r="L22" i="2"/>
  <c r="M22" i="2" s="1"/>
  <c r="F5" i="3"/>
  <c r="G5" i="3" s="1"/>
  <c r="K24" i="2" l="1"/>
  <c r="L23" i="2"/>
  <c r="M23" i="2" s="1"/>
  <c r="F4" i="3"/>
  <c r="G4" i="3" s="1"/>
  <c r="K25" i="2" l="1"/>
  <c r="L24" i="2"/>
  <c r="M24" i="2" s="1"/>
  <c r="K26" i="2" l="1"/>
  <c r="L25" i="2"/>
  <c r="M25" i="2" s="1"/>
  <c r="K27" i="2" l="1"/>
  <c r="L26" i="2"/>
  <c r="M26" i="2" s="1"/>
  <c r="K28" i="2" l="1"/>
  <c r="L27" i="2"/>
  <c r="M27" i="2" s="1"/>
  <c r="K29" i="2" l="1"/>
  <c r="L28" i="2"/>
  <c r="M28" i="2" s="1"/>
  <c r="K30" i="2" l="1"/>
  <c r="L29" i="2"/>
  <c r="M29" i="2" s="1"/>
  <c r="K31" i="2" l="1"/>
  <c r="L30" i="2"/>
  <c r="M30" i="2" s="1"/>
  <c r="K32" i="2" l="1"/>
  <c r="L31" i="2"/>
  <c r="M31" i="2" s="1"/>
  <c r="K33" i="2" l="1"/>
  <c r="L33" i="2" s="1"/>
  <c r="M33" i="2" s="1"/>
  <c r="L32" i="2"/>
  <c r="M32" i="2" s="1"/>
  <c r="M36" i="2" l="1"/>
</calcChain>
</file>

<file path=xl/sharedStrings.xml><?xml version="1.0" encoding="utf-8"?>
<sst xmlns="http://schemas.openxmlformats.org/spreadsheetml/2006/main" count="211" uniqueCount="155">
  <si>
    <t>Vin</t>
  </si>
  <si>
    <t>Rref</t>
  </si>
  <si>
    <t>Rsensor</t>
  </si>
  <si>
    <t>Vout</t>
  </si>
  <si>
    <t>I</t>
  </si>
  <si>
    <t>mA</t>
  </si>
  <si>
    <t>V</t>
  </si>
  <si>
    <t>Ohm</t>
  </si>
  <si>
    <t>Vref 3V</t>
  </si>
  <si>
    <t>Vdd</t>
  </si>
  <si>
    <t>Rstab</t>
  </si>
  <si>
    <t>P</t>
  </si>
  <si>
    <t>W</t>
  </si>
  <si>
    <t>PsiToBar</t>
  </si>
  <si>
    <t>A</t>
  </si>
  <si>
    <t>B</t>
  </si>
  <si>
    <t>C</t>
  </si>
  <si>
    <t>bar</t>
  </si>
  <si>
    <t>Sensors</t>
  </si>
  <si>
    <t>5V</t>
  </si>
  <si>
    <t>3.3V</t>
  </si>
  <si>
    <t>Global_En</t>
  </si>
  <si>
    <t>GND</t>
  </si>
  <si>
    <t>GPIO3</t>
  </si>
  <si>
    <t>Remote_On</t>
  </si>
  <si>
    <t>Power</t>
  </si>
  <si>
    <t>GPIO2</t>
  </si>
  <si>
    <t>GPIO0</t>
  </si>
  <si>
    <t>GPIO1</t>
  </si>
  <si>
    <t>GPIO14</t>
  </si>
  <si>
    <t>GPIO15</t>
  </si>
  <si>
    <t>UART_TX</t>
  </si>
  <si>
    <t>UART_RX</t>
  </si>
  <si>
    <t>Data</t>
  </si>
  <si>
    <t>Clock</t>
  </si>
  <si>
    <t>I2C1</t>
  </si>
  <si>
    <t>I2C0</t>
  </si>
  <si>
    <t>Alternate I2C</t>
  </si>
  <si>
    <t>Black</t>
  </si>
  <si>
    <t>red</t>
  </si>
  <si>
    <t>orange</t>
  </si>
  <si>
    <t>violet</t>
  </si>
  <si>
    <t>yellow</t>
  </si>
  <si>
    <t>white</t>
  </si>
  <si>
    <t>blue</t>
  </si>
  <si>
    <t>green</t>
  </si>
  <si>
    <t>brown</t>
  </si>
  <si>
    <t>grey</t>
  </si>
  <si>
    <t>I2C Addresses</t>
  </si>
  <si>
    <t>Accelerometer</t>
  </si>
  <si>
    <t>0x25</t>
  </si>
  <si>
    <t>pinout</t>
  </si>
  <si>
    <t>RED</t>
  </si>
  <si>
    <t>ORG</t>
  </si>
  <si>
    <t>BLK</t>
  </si>
  <si>
    <t>WHT</t>
  </si>
  <si>
    <t>SU 3.3V</t>
  </si>
  <si>
    <t>SU 5V</t>
  </si>
  <si>
    <t>SU I2C Data</t>
  </si>
  <si>
    <t>SU I2C CLK</t>
  </si>
  <si>
    <t>BLU</t>
  </si>
  <si>
    <t>GRY</t>
  </si>
  <si>
    <t>BRO</t>
  </si>
  <si>
    <t>GRN</t>
  </si>
  <si>
    <t>YLL</t>
  </si>
  <si>
    <t>SU I2C0 DATA</t>
  </si>
  <si>
    <t>SU I2C0 CLK</t>
  </si>
  <si>
    <t>SU UART_TX</t>
  </si>
  <si>
    <t>SU UART_RX</t>
  </si>
  <si>
    <t>SU GND</t>
  </si>
  <si>
    <t>FAN 5V</t>
  </si>
  <si>
    <t>FAN GND</t>
  </si>
  <si>
    <t>FAN Fan</t>
  </si>
  <si>
    <t>FAN Buzzer</t>
  </si>
  <si>
    <t>Temp</t>
  </si>
  <si>
    <t>Pressure</t>
  </si>
  <si>
    <t>Ref</t>
  </si>
  <si>
    <t>min</t>
  </si>
  <si>
    <t>max</t>
  </si>
  <si>
    <t>vmin</t>
  </si>
  <si>
    <t>vmax</t>
  </si>
  <si>
    <t>Imin</t>
  </si>
  <si>
    <t>Imax</t>
  </si>
  <si>
    <t>0x68</t>
  </si>
  <si>
    <t>Power Connector</t>
  </si>
  <si>
    <t>12V In</t>
  </si>
  <si>
    <t>Red</t>
  </si>
  <si>
    <t>Red/black</t>
  </si>
  <si>
    <t>5V out</t>
  </si>
  <si>
    <t>Grey</t>
  </si>
  <si>
    <t>Rpi Start</t>
  </si>
  <si>
    <t>Green</t>
  </si>
  <si>
    <t>Ign ON</t>
  </si>
  <si>
    <t>Blue</t>
  </si>
  <si>
    <t>GND switched on Ign</t>
  </si>
  <si>
    <t>SU-KD Connector</t>
  </si>
  <si>
    <t>Vref</t>
  </si>
  <si>
    <t>Vsensor</t>
  </si>
  <si>
    <t>Tsensor</t>
  </si>
  <si>
    <t>degC</t>
  </si>
  <si>
    <t>mV</t>
  </si>
  <si>
    <t>SU IGN IN</t>
  </si>
  <si>
    <t>Warning_Low</t>
  </si>
  <si>
    <t>Warning_High</t>
  </si>
  <si>
    <t>Alert_High</t>
  </si>
  <si>
    <t>deg C</t>
  </si>
  <si>
    <t>Alert_Low</t>
  </si>
  <si>
    <t>Notify_Low</t>
  </si>
  <si>
    <t>vmin mV</t>
  </si>
  <si>
    <t>vmax mV</t>
  </si>
  <si>
    <t>Sensor</t>
  </si>
  <si>
    <t>Oil Temp</t>
  </si>
  <si>
    <t>Channel</t>
  </si>
  <si>
    <t>Oil Press</t>
  </si>
  <si>
    <t>0x2</t>
  </si>
  <si>
    <t>0x3</t>
  </si>
  <si>
    <t>0x0</t>
  </si>
  <si>
    <t>0x1</t>
  </si>
  <si>
    <t>Rmin</t>
  </si>
  <si>
    <t>Rmax</t>
  </si>
  <si>
    <t>Oil Temp warnings</t>
  </si>
  <si>
    <t>psi</t>
  </si>
  <si>
    <t>Pmax (W)</t>
  </si>
  <si>
    <t>cable color</t>
  </si>
  <si>
    <t>transTemp</t>
  </si>
  <si>
    <t>diffTemp</t>
  </si>
  <si>
    <t>0x6c</t>
  </si>
  <si>
    <t>Capacitor discharge speed</t>
  </si>
  <si>
    <t>tus</t>
  </si>
  <si>
    <t>tms</t>
  </si>
  <si>
    <t>t</t>
  </si>
  <si>
    <t>v0</t>
  </si>
  <si>
    <t>v1</t>
  </si>
  <si>
    <t>ohm</t>
  </si>
  <si>
    <t>uF</t>
  </si>
  <si>
    <t>0x6a</t>
  </si>
  <si>
    <t>ADC0</t>
  </si>
  <si>
    <t>ADC1</t>
  </si>
  <si>
    <t>CANBUS controller</t>
  </si>
  <si>
    <t>IR Rotor Temp Sensor</t>
  </si>
  <si>
    <t>I_mA</t>
  </si>
  <si>
    <t>Rref_Ohm</t>
  </si>
  <si>
    <t>Press</t>
  </si>
  <si>
    <t>RESET BTN</t>
  </si>
  <si>
    <t>V+</t>
  </si>
  <si>
    <t>V-min</t>
  </si>
  <si>
    <t>V-max</t>
  </si>
  <si>
    <t>VtotalMin</t>
  </si>
  <si>
    <t>VtotalMax</t>
  </si>
  <si>
    <t>RotorTemp</t>
  </si>
  <si>
    <t>1x1</t>
  </si>
  <si>
    <t>3.3V RefV</t>
  </si>
  <si>
    <t>1x3</t>
  </si>
  <si>
    <t>BRO(-)</t>
  </si>
  <si>
    <t>WHT(+)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</si>
</sst>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"/>
    <numFmt numFmtId="166" formatCode="0.000"/>
    <numFmt numFmtId="167" formatCode="0.0000"/>
    <numFmt numFmtId="168" formatCode="0.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13" borderId="10" applyNumberFormat="0" applyAlignment="0" applyProtection="0"/>
  </cellStyleXfs>
  <cellXfs count="4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3" fillId="3" borderId="0" xfId="2" applyNumberFormat="1"/>
    <xf numFmtId="0" fontId="3" fillId="3" borderId="0" xfId="2"/>
    <xf numFmtId="2" fontId="3" fillId="3" borderId="0" xfId="2" applyNumberFormat="1"/>
    <xf numFmtId="164" fontId="3" fillId="3" borderId="0" xfId="2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1" xfId="0" applyFill="1" applyBorder="1"/>
    <xf numFmtId="0" fontId="0" fillId="5" borderId="2" xfId="0" applyFill="1" applyBorder="1"/>
    <xf numFmtId="0" fontId="0" fillId="5" borderId="4" xfId="0" applyFill="1" applyBorder="1"/>
    <xf numFmtId="0" fontId="4" fillId="6" borderId="4" xfId="0" applyFont="1" applyFill="1" applyBorder="1"/>
    <xf numFmtId="0" fontId="0" fillId="7" borderId="3" xfId="0" applyFill="1" applyBorder="1"/>
    <xf numFmtId="0" fontId="0" fillId="0" borderId="7" xfId="0" applyBorder="1"/>
    <xf numFmtId="0" fontId="0" fillId="0" borderId="8" xfId="0" applyBorder="1"/>
    <xf numFmtId="0" fontId="0" fillId="8" borderId="3" xfId="0" applyFill="1" applyBorder="1"/>
    <xf numFmtId="0" fontId="0" fillId="9" borderId="4" xfId="0" applyFill="1" applyBorder="1"/>
    <xf numFmtId="0" fontId="0" fillId="10" borderId="4" xfId="0" applyFill="1" applyBorder="1"/>
    <xf numFmtId="0" fontId="0" fillId="11" borderId="4" xfId="0" applyFill="1" applyBorder="1"/>
    <xf numFmtId="0" fontId="4" fillId="12" borderId="0" xfId="0" applyFont="1" applyFill="1"/>
    <xf numFmtId="0" fontId="0" fillId="5" borderId="9" xfId="0" applyFill="1" applyBorder="1"/>
    <xf numFmtId="0" fontId="4" fillId="6" borderId="9" xfId="0" applyFont="1" applyFill="1" applyBorder="1"/>
    <xf numFmtId="0" fontId="0" fillId="10" borderId="9" xfId="0" applyFill="1" applyBorder="1"/>
    <xf numFmtId="0" fontId="0" fillId="9" borderId="9" xfId="0" applyFill="1" applyBorder="1"/>
    <xf numFmtId="0" fontId="0" fillId="8" borderId="9" xfId="0" applyFill="1" applyBorder="1"/>
    <xf numFmtId="0" fontId="5" fillId="0" borderId="0" xfId="0" applyFont="1"/>
    <xf numFmtId="165" fontId="0" fillId="0" borderId="0" xfId="0" applyNumberFormat="1"/>
    <xf numFmtId="164" fontId="2" fillId="2" borderId="0" xfId="1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1" fontId="0" fillId="0" borderId="0" xfId="0" applyNumberFormat="1"/>
    <xf numFmtId="0" fontId="6" fillId="13" borderId="10" xfId="3"/>
    <xf numFmtId="1" fontId="6" fillId="13" borderId="10" xfId="3" applyNumberFormat="1"/>
    <xf numFmtId="164" fontId="6" fillId="13" borderId="10" xfId="3" applyNumberFormat="1"/>
    <xf numFmtId="2" fontId="2" fillId="2" borderId="0" xfId="1" applyNumberFormat="1"/>
    <xf numFmtId="0" fontId="0" fillId="0" borderId="9" xfId="0" applyBorder="1"/>
    <xf numFmtId="0" fontId="0" fillId="11" borderId="9" xfId="0" applyFill="1" applyBorder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Trendline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Temp!$B$4:$B$48</c:f>
              <c:numCache>
                <c:formatCode>General</c:formatCode>
                <c:ptCount val="45"/>
                <c:pt idx="0">
                  <c:v>30</c:v>
                </c:pt>
                <c:pt idx="1">
                  <c:v>50</c:v>
                </c:pt>
                <c:pt idx="2">
                  <c:v>80</c:v>
                </c:pt>
                <c:pt idx="3">
                  <c:v>110</c:v>
                </c:pt>
                <c:pt idx="4">
                  <c:v>140</c:v>
                </c:pt>
                <c:pt idx="5">
                  <c:v>152</c:v>
                </c:pt>
                <c:pt idx="6">
                  <c:v>165</c:v>
                </c:pt>
                <c:pt idx="7">
                  <c:v>180</c:v>
                </c:pt>
                <c:pt idx="8">
                  <c:v>195</c:v>
                </c:pt>
                <c:pt idx="9">
                  <c:v>205</c:v>
                </c:pt>
                <c:pt idx="10">
                  <c:v>216</c:v>
                </c:pt>
                <c:pt idx="11">
                  <c:v>226</c:v>
                </c:pt>
                <c:pt idx="12">
                  <c:v>230</c:v>
                </c:pt>
                <c:pt idx="13">
                  <c:v>239</c:v>
                </c:pt>
                <c:pt idx="14">
                  <c:v>252</c:v>
                </c:pt>
                <c:pt idx="15">
                  <c:v>261</c:v>
                </c:pt>
                <c:pt idx="16">
                  <c:v>280</c:v>
                </c:pt>
                <c:pt idx="17">
                  <c:v>300</c:v>
                </c:pt>
                <c:pt idx="18">
                  <c:v>312</c:v>
                </c:pt>
                <c:pt idx="19">
                  <c:v>323</c:v>
                </c:pt>
                <c:pt idx="20">
                  <c:v>342</c:v>
                </c:pt>
                <c:pt idx="21">
                  <c:v>377</c:v>
                </c:pt>
                <c:pt idx="22">
                  <c:v>439</c:v>
                </c:pt>
                <c:pt idx="23">
                  <c:v>480</c:v>
                </c:pt>
                <c:pt idx="24">
                  <c:v>499</c:v>
                </c:pt>
                <c:pt idx="25">
                  <c:v>518</c:v>
                </c:pt>
                <c:pt idx="26">
                  <c:v>528</c:v>
                </c:pt>
                <c:pt idx="27">
                  <c:v>573</c:v>
                </c:pt>
                <c:pt idx="28">
                  <c:v>594</c:v>
                </c:pt>
                <c:pt idx="29">
                  <c:v>611</c:v>
                </c:pt>
                <c:pt idx="30">
                  <c:v>666</c:v>
                </c:pt>
                <c:pt idx="31">
                  <c:v>737</c:v>
                </c:pt>
                <c:pt idx="32">
                  <c:v>802</c:v>
                </c:pt>
                <c:pt idx="33">
                  <c:v>837</c:v>
                </c:pt>
                <c:pt idx="34">
                  <c:v>874</c:v>
                </c:pt>
                <c:pt idx="35">
                  <c:v>931</c:v>
                </c:pt>
                <c:pt idx="36">
                  <c:v>973</c:v>
                </c:pt>
                <c:pt idx="37">
                  <c:v>1020</c:v>
                </c:pt>
                <c:pt idx="38">
                  <c:v>1108</c:v>
                </c:pt>
                <c:pt idx="39">
                  <c:v>1170</c:v>
                </c:pt>
                <c:pt idx="40">
                  <c:v>1303</c:v>
                </c:pt>
                <c:pt idx="41">
                  <c:v>1395</c:v>
                </c:pt>
                <c:pt idx="42">
                  <c:v>1600</c:v>
                </c:pt>
                <c:pt idx="43">
                  <c:v>1800</c:v>
                </c:pt>
                <c:pt idx="44">
                  <c:v>2500</c:v>
                </c:pt>
              </c:numCache>
            </c:numRef>
          </c:xVal>
          <c:yVal>
            <c:numRef>
              <c:f>Temp!$E$4:$E$48</c:f>
              <c:numCache>
                <c:formatCode>0.0</c:formatCode>
                <c:ptCount val="45"/>
                <c:pt idx="0">
                  <c:v>144.01247699614063</c:v>
                </c:pt>
                <c:pt idx="1">
                  <c:v>125.47763319102907</c:v>
                </c:pt>
                <c:pt idx="2">
                  <c:v>108.91655291479977</c:v>
                </c:pt>
                <c:pt idx="3">
                  <c:v>97.993589177734378</c:v>
                </c:pt>
                <c:pt idx="4">
                  <c:v>89.894649327124952</c:v>
                </c:pt>
                <c:pt idx="5">
                  <c:v>87.168485482688169</c:v>
                </c:pt>
                <c:pt idx="6">
                  <c:v>84.466627703579547</c:v>
                </c:pt>
                <c:pt idx="7">
                  <c:v>81.622511925461069</c:v>
                </c:pt>
                <c:pt idx="8">
                  <c:v>79.02520244509617</c:v>
                </c:pt>
                <c:pt idx="9">
                  <c:v>77.411794184060966</c:v>
                </c:pt>
                <c:pt idx="10">
                  <c:v>75.733340023153175</c:v>
                </c:pt>
                <c:pt idx="11">
                  <c:v>74.286551151136905</c:v>
                </c:pt>
                <c:pt idx="12">
                  <c:v>73.727318675192208</c:v>
                </c:pt>
                <c:pt idx="13">
                  <c:v>72.507008164972135</c:v>
                </c:pt>
                <c:pt idx="14">
                  <c:v>70.830398726074264</c:v>
                </c:pt>
                <c:pt idx="15">
                  <c:v>69.724270705990051</c:v>
                </c:pt>
                <c:pt idx="16">
                  <c:v>67.520601798136738</c:v>
                </c:pt>
                <c:pt idx="17">
                  <c:v>65.371796767566536</c:v>
                </c:pt>
                <c:pt idx="18">
                  <c:v>64.156878707749783</c:v>
                </c:pt>
                <c:pt idx="19">
                  <c:v>63.08759969424446</c:v>
                </c:pt>
                <c:pt idx="20">
                  <c:v>61.332000755326007</c:v>
                </c:pt>
                <c:pt idx="21">
                  <c:v>58.363483054889628</c:v>
                </c:pt>
                <c:pt idx="22">
                  <c:v>53.786784148048866</c:v>
                </c:pt>
                <c:pt idx="23">
                  <c:v>51.138705111395296</c:v>
                </c:pt>
                <c:pt idx="24">
                  <c:v>49.995767888660652</c:v>
                </c:pt>
                <c:pt idx="25">
                  <c:v>48.900394114646886</c:v>
                </c:pt>
                <c:pt idx="26">
                  <c:v>48.341761904105823</c:v>
                </c:pt>
                <c:pt idx="27">
                  <c:v>45.966465564039211</c:v>
                </c:pt>
                <c:pt idx="28">
                  <c:v>44.928515443155298</c:v>
                </c:pt>
                <c:pt idx="29">
                  <c:v>44.117971865634445</c:v>
                </c:pt>
                <c:pt idx="30">
                  <c:v>41.659502454795899</c:v>
                </c:pt>
                <c:pt idx="31">
                  <c:v>38.804048864842798</c:v>
                </c:pt>
                <c:pt idx="32">
                  <c:v>36.449927486993147</c:v>
                </c:pt>
                <c:pt idx="33">
                  <c:v>35.270131656675808</c:v>
                </c:pt>
                <c:pt idx="34">
                  <c:v>34.082257595815797</c:v>
                </c:pt>
                <c:pt idx="35">
                  <c:v>32.359778917868567</c:v>
                </c:pt>
                <c:pt idx="36">
                  <c:v>31.165645239518565</c:v>
                </c:pt>
                <c:pt idx="37">
                  <c:v>29.897120333647258</c:v>
                </c:pt>
                <c:pt idx="38">
                  <c:v>27.69228033454543</c:v>
                </c:pt>
                <c:pt idx="39">
                  <c:v>26.255961623520534</c:v>
                </c:pt>
                <c:pt idx="40">
                  <c:v>23.449621292778104</c:v>
                </c:pt>
                <c:pt idx="41">
                  <c:v>21.694857206695026</c:v>
                </c:pt>
                <c:pt idx="42">
                  <c:v>18.224429212821313</c:v>
                </c:pt>
                <c:pt idx="43">
                  <c:v>15.303830090007168</c:v>
                </c:pt>
                <c:pt idx="44">
                  <c:v>7.4621182577231409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A6-4CA8-A2B7-4703E63EEB28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Temp!$B$8:$B$49</c:f>
              <c:numCache>
                <c:formatCode>General</c:formatCode>
                <c:ptCount val="42"/>
                <c:pt idx="0">
                  <c:v>140</c:v>
                </c:pt>
                <c:pt idx="1">
                  <c:v>152</c:v>
                </c:pt>
                <c:pt idx="2">
                  <c:v>165</c:v>
                </c:pt>
                <c:pt idx="3">
                  <c:v>180</c:v>
                </c:pt>
                <c:pt idx="4">
                  <c:v>195</c:v>
                </c:pt>
                <c:pt idx="5">
                  <c:v>205</c:v>
                </c:pt>
                <c:pt idx="6">
                  <c:v>216</c:v>
                </c:pt>
                <c:pt idx="7">
                  <c:v>226</c:v>
                </c:pt>
                <c:pt idx="8">
                  <c:v>230</c:v>
                </c:pt>
                <c:pt idx="9">
                  <c:v>239</c:v>
                </c:pt>
                <c:pt idx="10">
                  <c:v>252</c:v>
                </c:pt>
                <c:pt idx="11">
                  <c:v>261</c:v>
                </c:pt>
                <c:pt idx="12">
                  <c:v>280</c:v>
                </c:pt>
                <c:pt idx="13">
                  <c:v>300</c:v>
                </c:pt>
                <c:pt idx="14">
                  <c:v>312</c:v>
                </c:pt>
                <c:pt idx="15">
                  <c:v>323</c:v>
                </c:pt>
                <c:pt idx="16">
                  <c:v>342</c:v>
                </c:pt>
                <c:pt idx="17">
                  <c:v>377</c:v>
                </c:pt>
                <c:pt idx="18">
                  <c:v>439</c:v>
                </c:pt>
                <c:pt idx="19">
                  <c:v>480</c:v>
                </c:pt>
                <c:pt idx="20">
                  <c:v>499</c:v>
                </c:pt>
                <c:pt idx="21">
                  <c:v>518</c:v>
                </c:pt>
                <c:pt idx="22">
                  <c:v>528</c:v>
                </c:pt>
                <c:pt idx="23">
                  <c:v>573</c:v>
                </c:pt>
                <c:pt idx="24">
                  <c:v>594</c:v>
                </c:pt>
                <c:pt idx="25">
                  <c:v>611</c:v>
                </c:pt>
                <c:pt idx="26">
                  <c:v>666</c:v>
                </c:pt>
                <c:pt idx="27">
                  <c:v>737</c:v>
                </c:pt>
                <c:pt idx="28">
                  <c:v>802</c:v>
                </c:pt>
                <c:pt idx="29">
                  <c:v>837</c:v>
                </c:pt>
                <c:pt idx="30">
                  <c:v>874</c:v>
                </c:pt>
                <c:pt idx="31">
                  <c:v>931</c:v>
                </c:pt>
                <c:pt idx="32">
                  <c:v>973</c:v>
                </c:pt>
                <c:pt idx="33">
                  <c:v>1020</c:v>
                </c:pt>
                <c:pt idx="34">
                  <c:v>1108</c:v>
                </c:pt>
                <c:pt idx="35">
                  <c:v>1170</c:v>
                </c:pt>
                <c:pt idx="36">
                  <c:v>1303</c:v>
                </c:pt>
                <c:pt idx="37">
                  <c:v>1395</c:v>
                </c:pt>
                <c:pt idx="38">
                  <c:v>1600</c:v>
                </c:pt>
                <c:pt idx="39">
                  <c:v>1800</c:v>
                </c:pt>
                <c:pt idx="40">
                  <c:v>2500</c:v>
                </c:pt>
              </c:numCache>
            </c:numRef>
          </c:xVal>
          <c:yVal>
            <c:numRef>
              <c:f>Temp!$C$8:$C$45</c:f>
              <c:numCache>
                <c:formatCode>0.0</c:formatCode>
                <c:ptCount val="38"/>
                <c:pt idx="0">
                  <c:v>91.111111111111114</c:v>
                </c:pt>
                <c:pt idx="1">
                  <c:v>87.777777777777771</c:v>
                </c:pt>
                <c:pt idx="2">
                  <c:v>85.555555555555557</c:v>
                </c:pt>
                <c:pt idx="3">
                  <c:v>83.333333333333329</c:v>
                </c:pt>
                <c:pt idx="4">
                  <c:v>81.111111111111114</c:v>
                </c:pt>
                <c:pt idx="5">
                  <c:v>78.888888888888886</c:v>
                </c:pt>
                <c:pt idx="6">
                  <c:v>76.666666666666671</c:v>
                </c:pt>
                <c:pt idx="7">
                  <c:v>75.555555555555557</c:v>
                </c:pt>
                <c:pt idx="8">
                  <c:v>75</c:v>
                </c:pt>
                <c:pt idx="9">
                  <c:v>73.333333333333329</c:v>
                </c:pt>
                <c:pt idx="10">
                  <c:v>72.222222222222214</c:v>
                </c:pt>
                <c:pt idx="11">
                  <c:v>71.111111111111114</c:v>
                </c:pt>
                <c:pt idx="12">
                  <c:v>68.888888888888886</c:v>
                </c:pt>
                <c:pt idx="13">
                  <c:v>66.666666666666671</c:v>
                </c:pt>
                <c:pt idx="14">
                  <c:v>65.555555555555557</c:v>
                </c:pt>
                <c:pt idx="15">
                  <c:v>64.444444444444443</c:v>
                </c:pt>
                <c:pt idx="16">
                  <c:v>62.777777777777779</c:v>
                </c:pt>
                <c:pt idx="17">
                  <c:v>60</c:v>
                </c:pt>
                <c:pt idx="18">
                  <c:v>55.555555555555557</c:v>
                </c:pt>
                <c:pt idx="19">
                  <c:v>52.777777777777779</c:v>
                </c:pt>
                <c:pt idx="20">
                  <c:v>51.666666666666664</c:v>
                </c:pt>
                <c:pt idx="21">
                  <c:v>50.555555555555557</c:v>
                </c:pt>
                <c:pt idx="22">
                  <c:v>50</c:v>
                </c:pt>
                <c:pt idx="23">
                  <c:v>47.777777777777779</c:v>
                </c:pt>
                <c:pt idx="24">
                  <c:v>46.666666666666664</c:v>
                </c:pt>
                <c:pt idx="25">
                  <c:v>45.555555555555557</c:v>
                </c:pt>
                <c:pt idx="26">
                  <c:v>42.777777777777779</c:v>
                </c:pt>
                <c:pt idx="27">
                  <c:v>40</c:v>
                </c:pt>
                <c:pt idx="28">
                  <c:v>37.777777777777779</c:v>
                </c:pt>
                <c:pt idx="29">
                  <c:v>36.666666666666664</c:v>
                </c:pt>
                <c:pt idx="30">
                  <c:v>35.555555555555557</c:v>
                </c:pt>
                <c:pt idx="31">
                  <c:v>33.888888888888886</c:v>
                </c:pt>
                <c:pt idx="32">
                  <c:v>32.777777777777779</c:v>
                </c:pt>
                <c:pt idx="33">
                  <c:v>31.666666666666664</c:v>
                </c:pt>
                <c:pt idx="34">
                  <c:v>29.444444444444443</c:v>
                </c:pt>
                <c:pt idx="35">
                  <c:v>28.333333333333332</c:v>
                </c:pt>
                <c:pt idx="36">
                  <c:v>25.555555555555554</c:v>
                </c:pt>
                <c:pt idx="37">
                  <c:v>23.333333333333332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A6-4CA8-A2B7-4703E63EE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05855"/>
        <c:axId val="1646806271"/>
      </c:scatterChart>
      <c:valAx>
        <c:axId val="164680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6271"/>
        <c:crosses val="autoZero"/>
        <c:crossBetween val="midCat"/>
      </c:valAx>
      <c:valAx>
        <c:axId val="16468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Trendline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Pressure!$B$5:$B$34</c:f>
              <c:numCache>
                <c:formatCode>0.0</c:formatCode>
                <c:ptCount val="30"/>
                <c:pt idx="0">
                  <c:v>11</c:v>
                </c:pt>
                <c:pt idx="1">
                  <c:v>21</c:v>
                </c:pt>
                <c:pt idx="2">
                  <c:v>24.9</c:v>
                </c:pt>
                <c:pt idx="3">
                  <c:v>31.8</c:v>
                </c:pt>
                <c:pt idx="4">
                  <c:v>38.799999999999997</c:v>
                </c:pt>
                <c:pt idx="5">
                  <c:v>45.8</c:v>
                </c:pt>
                <c:pt idx="6">
                  <c:v>50.4</c:v>
                </c:pt>
                <c:pt idx="7">
                  <c:v>55</c:v>
                </c:pt>
                <c:pt idx="8">
                  <c:v>57.4</c:v>
                </c:pt>
                <c:pt idx="9">
                  <c:v>64.400000000000006</c:v>
                </c:pt>
                <c:pt idx="10">
                  <c:v>69</c:v>
                </c:pt>
                <c:pt idx="11">
                  <c:v>78.3</c:v>
                </c:pt>
                <c:pt idx="12">
                  <c:v>82.9</c:v>
                </c:pt>
                <c:pt idx="13">
                  <c:v>87.5</c:v>
                </c:pt>
                <c:pt idx="14">
                  <c:v>94.5</c:v>
                </c:pt>
                <c:pt idx="15">
                  <c:v>96.8</c:v>
                </c:pt>
                <c:pt idx="16">
                  <c:v>103.7</c:v>
                </c:pt>
                <c:pt idx="17">
                  <c:v>108.4</c:v>
                </c:pt>
                <c:pt idx="18">
                  <c:v>113</c:v>
                </c:pt>
                <c:pt idx="19">
                  <c:v>117.7</c:v>
                </c:pt>
                <c:pt idx="20">
                  <c:v>119</c:v>
                </c:pt>
                <c:pt idx="21">
                  <c:v>124.6</c:v>
                </c:pt>
                <c:pt idx="22">
                  <c:v>129.19999999999999</c:v>
                </c:pt>
                <c:pt idx="23">
                  <c:v>129.19999999999999</c:v>
                </c:pt>
                <c:pt idx="24">
                  <c:v>131.5</c:v>
                </c:pt>
                <c:pt idx="25">
                  <c:v>133.80000000000001</c:v>
                </c:pt>
                <c:pt idx="26">
                  <c:v>138.5</c:v>
                </c:pt>
                <c:pt idx="27">
                  <c:v>145.4</c:v>
                </c:pt>
                <c:pt idx="28">
                  <c:v>147.80000000000001</c:v>
                </c:pt>
                <c:pt idx="29" formatCode="0">
                  <c:v>180</c:v>
                </c:pt>
              </c:numCache>
            </c:numRef>
          </c:xVal>
          <c:yVal>
            <c:numRef>
              <c:f>Pressure!$E$5:$E$34</c:f>
              <c:numCache>
                <c:formatCode>0.0</c:formatCode>
                <c:ptCount val="30"/>
                <c:pt idx="0">
                  <c:v>-1.4273054898989151E-2</c:v>
                </c:pt>
                <c:pt idx="1">
                  <c:v>0.24980857746120785</c:v>
                </c:pt>
                <c:pt idx="2">
                  <c:v>0.35470039808914772</c:v>
                </c:pt>
                <c:pt idx="3">
                  <c:v>0.5428900554339523</c:v>
                </c:pt>
                <c:pt idx="4">
                  <c:v>0.7372173268227904</c:v>
                </c:pt>
                <c:pt idx="5">
                  <c:v>0.93497935992960268</c:v>
                </c:pt>
                <c:pt idx="6">
                  <c:v>1.0668074601066415</c:v>
                </c:pt>
                <c:pt idx="7">
                  <c:v>1.2001188165684222</c:v>
                </c:pt>
                <c:pt idx="8">
                  <c:v>1.2702613840603827</c:v>
                </c:pt>
                <c:pt idx="9">
                  <c:v>1.4771500697320978</c:v>
                </c:pt>
                <c:pt idx="10">
                  <c:v>1.6149756844517871</c:v>
                </c:pt>
                <c:pt idx="11">
                  <c:v>1.8981538540015308</c:v>
                </c:pt>
                <c:pt idx="12">
                  <c:v>2.0404614822772871</c:v>
                </c:pt>
                <c:pt idx="13">
                  <c:v>2.1842523668377845</c:v>
                </c:pt>
                <c:pt idx="14">
                  <c:v>2.4059105278967885</c:v>
                </c:pt>
                <c:pt idx="15">
                  <c:v>2.4794907558482926</c:v>
                </c:pt>
                <c:pt idx="16">
                  <c:v>2.7024563241299173</c:v>
                </c:pt>
                <c:pt idx="17">
                  <c:v>2.8562422704352666</c:v>
                </c:pt>
                <c:pt idx="18">
                  <c:v>3.0082555539655269</c:v>
                </c:pt>
                <c:pt idx="19">
                  <c:v>3.1651054479176661</c:v>
                </c:pt>
                <c:pt idx="20">
                  <c:v>3.2087628401323496</c:v>
                </c:pt>
                <c:pt idx="21">
                  <c:v>3.398179730226822</c:v>
                </c:pt>
                <c:pt idx="22">
                  <c:v>3.5554166554555193</c:v>
                </c:pt>
                <c:pt idx="23">
                  <c:v>3.5554166554555193</c:v>
                </c:pt>
                <c:pt idx="24">
                  <c:v>3.6345913391766467</c:v>
                </c:pt>
                <c:pt idx="25">
                  <c:v>3.7141368369689594</c:v>
                </c:pt>
                <c:pt idx="26">
                  <c:v>3.8778394310343454</c:v>
                </c:pt>
                <c:pt idx="27">
                  <c:v>4.1209740603182698</c:v>
                </c:pt>
                <c:pt idx="28">
                  <c:v>4.2063249115312864</c:v>
                </c:pt>
                <c:pt idx="29">
                  <c:v>5.3904971659034846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AE-46ED-84FD-1887061D1B21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Pressure!$B$5:$B$33</c:f>
              <c:numCache>
                <c:formatCode>0.0</c:formatCode>
                <c:ptCount val="29"/>
                <c:pt idx="0">
                  <c:v>11</c:v>
                </c:pt>
                <c:pt idx="1">
                  <c:v>21</c:v>
                </c:pt>
                <c:pt idx="2">
                  <c:v>24.9</c:v>
                </c:pt>
                <c:pt idx="3">
                  <c:v>31.8</c:v>
                </c:pt>
                <c:pt idx="4">
                  <c:v>38.799999999999997</c:v>
                </c:pt>
                <c:pt idx="5">
                  <c:v>45.8</c:v>
                </c:pt>
                <c:pt idx="6">
                  <c:v>50.4</c:v>
                </c:pt>
                <c:pt idx="7">
                  <c:v>55</c:v>
                </c:pt>
                <c:pt idx="8">
                  <c:v>57.4</c:v>
                </c:pt>
                <c:pt idx="9">
                  <c:v>64.400000000000006</c:v>
                </c:pt>
                <c:pt idx="10">
                  <c:v>69</c:v>
                </c:pt>
                <c:pt idx="11">
                  <c:v>78.3</c:v>
                </c:pt>
                <c:pt idx="12">
                  <c:v>82.9</c:v>
                </c:pt>
                <c:pt idx="13">
                  <c:v>87.5</c:v>
                </c:pt>
                <c:pt idx="14">
                  <c:v>94.5</c:v>
                </c:pt>
                <c:pt idx="15">
                  <c:v>96.8</c:v>
                </c:pt>
                <c:pt idx="16">
                  <c:v>103.7</c:v>
                </c:pt>
                <c:pt idx="17">
                  <c:v>108.4</c:v>
                </c:pt>
                <c:pt idx="18">
                  <c:v>113</c:v>
                </c:pt>
                <c:pt idx="19">
                  <c:v>117.7</c:v>
                </c:pt>
                <c:pt idx="20">
                  <c:v>119</c:v>
                </c:pt>
                <c:pt idx="21">
                  <c:v>124.6</c:v>
                </c:pt>
                <c:pt idx="22">
                  <c:v>129.19999999999999</c:v>
                </c:pt>
                <c:pt idx="23">
                  <c:v>129.19999999999999</c:v>
                </c:pt>
                <c:pt idx="24">
                  <c:v>131.5</c:v>
                </c:pt>
                <c:pt idx="25">
                  <c:v>133.80000000000001</c:v>
                </c:pt>
                <c:pt idx="26">
                  <c:v>138.5</c:v>
                </c:pt>
                <c:pt idx="27">
                  <c:v>145.4</c:v>
                </c:pt>
                <c:pt idx="28">
                  <c:v>147.80000000000001</c:v>
                </c:pt>
              </c:numCache>
            </c:numRef>
          </c:xVal>
          <c:yVal>
            <c:numRef>
              <c:f>Pressure!$C$5:$C$33</c:f>
              <c:numCache>
                <c:formatCode>0.00</c:formatCode>
                <c:ptCount val="29"/>
                <c:pt idx="0">
                  <c:v>0</c:v>
                </c:pt>
                <c:pt idx="1">
                  <c:v>0.27579039999999999</c:v>
                </c:pt>
                <c:pt idx="2">
                  <c:v>0.34473799999999999</c:v>
                </c:pt>
                <c:pt idx="3">
                  <c:v>0.55158079999999998</c:v>
                </c:pt>
                <c:pt idx="4">
                  <c:v>0.75842359999999998</c:v>
                </c:pt>
                <c:pt idx="5">
                  <c:v>0.89631879999999997</c:v>
                </c:pt>
                <c:pt idx="6">
                  <c:v>1.034214</c:v>
                </c:pt>
                <c:pt idx="7">
                  <c:v>1.1721092</c:v>
                </c:pt>
                <c:pt idx="8">
                  <c:v>1.3100044</c:v>
                </c:pt>
                <c:pt idx="9">
                  <c:v>1.5168472</c:v>
                </c:pt>
                <c:pt idx="10">
                  <c:v>1.6547423999999999</c:v>
                </c:pt>
                <c:pt idx="11">
                  <c:v>1.9305327999999999</c:v>
                </c:pt>
                <c:pt idx="12">
                  <c:v>2.0684279999999999</c:v>
                </c:pt>
                <c:pt idx="13">
                  <c:v>2.2752707999999999</c:v>
                </c:pt>
                <c:pt idx="14">
                  <c:v>2.4131659999999999</c:v>
                </c:pt>
                <c:pt idx="15">
                  <c:v>2.4821135999999999</c:v>
                </c:pt>
                <c:pt idx="16">
                  <c:v>2.7579039999999999</c:v>
                </c:pt>
                <c:pt idx="17">
                  <c:v>2.8957991999999999</c:v>
                </c:pt>
                <c:pt idx="18">
                  <c:v>3.0336943999999999</c:v>
                </c:pt>
                <c:pt idx="19">
                  <c:v>3.1715895999999999</c:v>
                </c:pt>
                <c:pt idx="20">
                  <c:v>3.2405371999999999</c:v>
                </c:pt>
                <c:pt idx="21">
                  <c:v>3.4473799999999999</c:v>
                </c:pt>
                <c:pt idx="22">
                  <c:v>3.5852751999999999</c:v>
                </c:pt>
                <c:pt idx="23">
                  <c:v>3.5852751999999999</c:v>
                </c:pt>
                <c:pt idx="24">
                  <c:v>3.7231703999999999</c:v>
                </c:pt>
                <c:pt idx="25">
                  <c:v>3.7921179999999999</c:v>
                </c:pt>
                <c:pt idx="26">
                  <c:v>3.9300131999999999</c:v>
                </c:pt>
                <c:pt idx="27">
                  <c:v>4.1368559999999999</c:v>
                </c:pt>
                <c:pt idx="28">
                  <c:v>4.2747511999999999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E-46ED-84FD-1887061D1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05855"/>
        <c:axId val="1646806271"/>
      </c:scatterChart>
      <c:valAx>
        <c:axId val="164680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6271"/>
        <c:crosses val="autoZero"/>
        <c:crossBetween val="midCat"/>
      </c:valAx>
      <c:valAx>
        <c:axId val="16468062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5855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492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RotorTemp!$G$2:$G$18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xVal>
          <c:yVal>
            <c:numRef>
              <c:f>RotorTemp!$H$2:$H$18</c:f>
              <c:numCache>
                <c:formatCode>General</c:formatCode>
                <c:ptCount val="17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312.5</c:v>
                </c:pt>
                <c:pt idx="6">
                  <c:v>375</c:v>
                </c:pt>
                <c:pt idx="7">
                  <c:v>437.5</c:v>
                </c:pt>
                <c:pt idx="8">
                  <c:v>500</c:v>
                </c:pt>
                <c:pt idx="9">
                  <c:v>562.5</c:v>
                </c:pt>
                <c:pt idx="10">
                  <c:v>625</c:v>
                </c:pt>
                <c:pt idx="11">
                  <c:v>687.5</c:v>
                </c:pt>
                <c:pt idx="12">
                  <c:v>750</c:v>
                </c:pt>
                <c:pt idx="13">
                  <c:v>812.5</c:v>
                </c:pt>
                <c:pt idx="14">
                  <c:v>875</c:v>
                </c:pt>
                <c:pt idx="15">
                  <c:v>937.5</c:v>
                </c:pt>
                <c:pt idx="16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6-46D3-A1F2-9C5DC5CD9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711248"/>
        <c:axId val="827917824"/>
      </c:scatterChart>
      <c:valAx>
        <c:axId val="90071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17824"/>
        <c:crosses val="autoZero"/>
        <c:crossBetween val="midCat"/>
      </c:valAx>
      <c:valAx>
        <c:axId val="8279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1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1</xdr:row>
      <xdr:rowOff>19050</xdr:rowOff>
    </xdr:from>
    <xdr:to>
      <xdr:col>12</xdr:col>
      <xdr:colOff>285480</xdr:colOff>
      <xdr:row>17</xdr:row>
      <xdr:rowOff>9145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6221EA-F419-628A-CDDF-1CB91BA1B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209550"/>
          <a:ext cx="2161905" cy="3038095"/>
        </a:xfrm>
        <a:prstGeom prst="rect">
          <a:avLst/>
        </a:prstGeom>
      </xdr:spPr>
    </xdr:pic>
    <xdr:clientData/>
  </xdr:twoCellAnchor>
  <xdr:twoCellAnchor editAs="oneCell">
    <xdr:from>
      <xdr:col>12</xdr:col>
      <xdr:colOff>434510</xdr:colOff>
      <xdr:row>25</xdr:row>
      <xdr:rowOff>28575</xdr:rowOff>
    </xdr:from>
    <xdr:to>
      <xdr:col>21</xdr:col>
      <xdr:colOff>496540</xdr:colOff>
      <xdr:row>44</xdr:row>
      <xdr:rowOff>143710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3604CA-D4E7-C057-D6E2-925D075FB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16410" y="4791075"/>
          <a:ext cx="5548430" cy="3734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541024</xdr:colOff>
      <xdr:row>1</xdr:row>
      <xdr:rowOff>66675</xdr:rowOff>
    </xdr:from>
    <xdr:to>
      <xdr:col>28</xdr:col>
      <xdr:colOff>48283</xdr:colOff>
      <xdr:row>21</xdr:row>
      <xdr:rowOff>19709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983EFE-E46C-F8FF-CEFD-34F7975CF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95024" y="257175"/>
          <a:ext cx="3774459" cy="3782084"/>
        </a:xfrm>
        <a:prstGeom prst="rect">
          <a:avLst/>
        </a:prstGeom>
      </xdr:spPr>
    </xdr:pic>
    <xdr:clientData/>
  </xdr:twoCellAnchor>
  <xdr:twoCellAnchor editAs="oneCell">
    <xdr:from>
      <xdr:col>20</xdr:col>
      <xdr:colOff>523875</xdr:colOff>
      <xdr:row>25</xdr:row>
      <xdr:rowOff>0</xdr:rowOff>
    </xdr:from>
    <xdr:to>
      <xdr:col>28</xdr:col>
      <xdr:colOff>76818</xdr:colOff>
      <xdr:row>37</xdr:row>
      <xdr:rowOff>28898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C8CBBD-BA3B-55C5-1858-19B7E2C53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92075" y="4791075"/>
          <a:ext cx="4429743" cy="23148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439746</xdr:colOff>
      <xdr:row>8</xdr:row>
      <xdr:rowOff>3577</xdr:rowOff>
    </xdr:from>
    <xdr:to>
      <xdr:col>33</xdr:col>
      <xdr:colOff>513230</xdr:colOff>
      <xdr:row>43</xdr:row>
      <xdr:rowOff>138393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F77403-3F4A-4FD0-8BC5-0EF8B8CBE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588464</xdr:colOff>
      <xdr:row>50</xdr:row>
      <xdr:rowOff>22410</xdr:rowOff>
    </xdr:from>
    <xdr:to>
      <xdr:col>10</xdr:col>
      <xdr:colOff>322834</xdr:colOff>
      <xdr:row>62</xdr:row>
      <xdr:rowOff>104689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C1B6A4-8DA1-A244-9F1F-E7D19DA4C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464" y="9547410"/>
          <a:ext cx="6099311" cy="23682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2</xdr:row>
      <xdr:rowOff>57150</xdr:rowOff>
    </xdr:from>
    <xdr:to>
      <xdr:col>35</xdr:col>
      <xdr:colOff>104775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6A6EB6-257F-4852-62BD-723462C99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245090</xdr:colOff>
      <xdr:row>37</xdr:row>
      <xdr:rowOff>161924</xdr:rowOff>
    </xdr:from>
    <xdr:to>
      <xdr:col>8</xdr:col>
      <xdr:colOff>705862</xdr:colOff>
      <xdr:row>49</xdr:row>
      <xdr:rowOff>38559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547793-1635-518D-FEDB-E87406107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4690" y="7210424"/>
          <a:ext cx="4756547" cy="21626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1</xdr:row>
      <xdr:rowOff>16979</xdr:rowOff>
    </xdr:from>
    <xdr:to>
      <xdr:col>18</xdr:col>
      <xdr:colOff>110987</xdr:colOff>
      <xdr:row>20</xdr:row>
      <xdr:rowOff>68332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BBF35-5924-59C3-BD27-620160760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0C9DF-2692-47E8-B5FD-96C592C7023B}">
  <dimension ref="B2:S36"/>
  <sheetViews>
    <sheetView workbookViewId="0">
      <selection activeCell="A21" sqref="A21"/>
    </sheetView>
  </sheetViews>
  <sheetFormatPr defaultRowHeight="15" x14ac:dyDescent="0.25"/>
  <cols>
    <col min="2" max="3" width="10.140625" customWidth="1"/>
    <col min="6" max="12" width="9.7109375" customWidth="1"/>
  </cols>
  <sheetData>
    <row r="2" spans="2:19" x14ac:dyDescent="0.25">
      <c r="B2" s="1" t="s">
        <v>8</v>
      </c>
    </row>
    <row r="3" spans="2:19" x14ac:dyDescent="0.25">
      <c r="B3" t="s">
        <v>9</v>
      </c>
      <c r="C3">
        <v>3.3</v>
      </c>
      <c r="D3" t="s">
        <v>6</v>
      </c>
    </row>
    <row r="4" spans="2:19" x14ac:dyDescent="0.25">
      <c r="B4" t="s">
        <v>8</v>
      </c>
      <c r="C4">
        <v>3</v>
      </c>
      <c r="D4" t="s">
        <v>6</v>
      </c>
      <c r="S4" s="34"/>
    </row>
    <row r="5" spans="2:19" x14ac:dyDescent="0.25">
      <c r="B5" t="s">
        <v>10</v>
      </c>
      <c r="C5">
        <v>220</v>
      </c>
      <c r="D5" t="s">
        <v>7</v>
      </c>
      <c r="S5" s="34"/>
    </row>
    <row r="6" spans="2:19" x14ac:dyDescent="0.25">
      <c r="B6" t="s">
        <v>4</v>
      </c>
      <c r="C6">
        <f>(C3-C4)/C5*1000</f>
        <v>1.3636363636363629</v>
      </c>
    </row>
    <row r="7" spans="2:19" x14ac:dyDescent="0.25">
      <c r="B7" t="s">
        <v>11</v>
      </c>
      <c r="C7">
        <f>(C3-C4)*C6/1000</f>
        <v>4.0909090909090859E-4</v>
      </c>
      <c r="D7" t="s">
        <v>12</v>
      </c>
    </row>
    <row r="10" spans="2:19" x14ac:dyDescent="0.25">
      <c r="B10" s="1" t="s">
        <v>18</v>
      </c>
    </row>
    <row r="12" spans="2:19" x14ac:dyDescent="0.25">
      <c r="B12" t="s">
        <v>0</v>
      </c>
      <c r="C12">
        <v>3.31</v>
      </c>
      <c r="D12" t="s">
        <v>6</v>
      </c>
    </row>
    <row r="13" spans="2:19" x14ac:dyDescent="0.25">
      <c r="B13" t="s">
        <v>1</v>
      </c>
      <c r="C13">
        <v>2000</v>
      </c>
      <c r="D13" t="s">
        <v>7</v>
      </c>
    </row>
    <row r="14" spans="2:19" x14ac:dyDescent="0.25">
      <c r="B14" t="s">
        <v>2</v>
      </c>
      <c r="C14">
        <v>1200</v>
      </c>
      <c r="D14" t="s">
        <v>7</v>
      </c>
    </row>
    <row r="15" spans="2:19" x14ac:dyDescent="0.25">
      <c r="B15" t="s">
        <v>3</v>
      </c>
      <c r="C15" s="2">
        <f>Vin*Rsensor/(Rsensor+Rref)</f>
        <v>1.24125</v>
      </c>
      <c r="D15" t="s">
        <v>6</v>
      </c>
      <c r="E15">
        <f>Vout*2</f>
        <v>2.4824999999999999</v>
      </c>
    </row>
    <row r="16" spans="2:19" x14ac:dyDescent="0.25">
      <c r="B16" t="s">
        <v>4</v>
      </c>
    </row>
    <row r="20" spans="2:19" x14ac:dyDescent="0.25">
      <c r="C20" t="s">
        <v>76</v>
      </c>
      <c r="D20" t="s">
        <v>77</v>
      </c>
      <c r="E20" t="s">
        <v>78</v>
      </c>
      <c r="F20" t="s">
        <v>81</v>
      </c>
      <c r="G20" t="s">
        <v>82</v>
      </c>
      <c r="H20" t="s">
        <v>79</v>
      </c>
      <c r="I20" t="s">
        <v>80</v>
      </c>
      <c r="J20" t="s">
        <v>108</v>
      </c>
      <c r="K20" t="s">
        <v>109</v>
      </c>
      <c r="L20" t="s">
        <v>122</v>
      </c>
      <c r="M20" t="s">
        <v>118</v>
      </c>
      <c r="N20" t="s">
        <v>119</v>
      </c>
    </row>
    <row r="21" spans="2:19" x14ac:dyDescent="0.25">
      <c r="B21" s="9" t="s">
        <v>74</v>
      </c>
      <c r="C21">
        <v>2000</v>
      </c>
      <c r="D21">
        <v>20</v>
      </c>
      <c r="E21">
        <v>2500</v>
      </c>
      <c r="F21" s="2">
        <f>Vin/($C21+D21)*1000</f>
        <v>1.6386138613861385</v>
      </c>
      <c r="G21" s="2">
        <f>Vin/($C21+E21)*1000</f>
        <v>0.73555555555555563</v>
      </c>
      <c r="H21" s="2">
        <f>D21*F21/1000</f>
        <v>3.2772277227722767E-2</v>
      </c>
      <c r="I21" s="2">
        <f>E21*G21/1000</f>
        <v>1.8388888888888892</v>
      </c>
      <c r="J21" s="4">
        <f>H21*1000</f>
        <v>32.772277227722768</v>
      </c>
      <c r="K21" s="4">
        <f>I21*1000</f>
        <v>1838.8888888888891</v>
      </c>
      <c r="L21" s="34">
        <f>Vin*G21/1000</f>
        <v>2.4346888888888891E-3</v>
      </c>
      <c r="M21">
        <f>$C21+D21</f>
        <v>2020</v>
      </c>
      <c r="N21">
        <f>$C21+E21</f>
        <v>4500</v>
      </c>
      <c r="P21">
        <f>2/M21</f>
        <v>9.9009900990099011E-4</v>
      </c>
      <c r="Q21">
        <f>1/P21</f>
        <v>1010</v>
      </c>
    </row>
    <row r="22" spans="2:19" x14ac:dyDescent="0.25">
      <c r="B22" s="9" t="s">
        <v>75</v>
      </c>
      <c r="C22">
        <v>465</v>
      </c>
      <c r="D22">
        <v>8</v>
      </c>
      <c r="E22">
        <v>200</v>
      </c>
      <c r="F22" s="2">
        <f>Vin/($C22+D22)*1000</f>
        <v>6.9978858350951381</v>
      </c>
      <c r="G22" s="2">
        <f>Vin/($C22+E22)*1000</f>
        <v>4.977443609022556</v>
      </c>
      <c r="H22" s="2">
        <f>D22*F22/1000</f>
        <v>5.5983086680761102E-2</v>
      </c>
      <c r="I22" s="2">
        <f>E22*G22/1000</f>
        <v>0.9954887218045112</v>
      </c>
      <c r="J22" s="4">
        <f>H22*1000</f>
        <v>55.983086680761105</v>
      </c>
      <c r="K22" s="4">
        <f>I22*1000</f>
        <v>995.48872180451121</v>
      </c>
      <c r="L22" s="34">
        <f>Vin*G22/1000</f>
        <v>1.6475338345864659E-2</v>
      </c>
      <c r="M22">
        <f>$C22+D22</f>
        <v>473</v>
      </c>
      <c r="N22">
        <f>$C22+E22</f>
        <v>665</v>
      </c>
      <c r="P22">
        <f>2/M22</f>
        <v>4.2283298097251587E-3</v>
      </c>
      <c r="Q22">
        <f>1/P22</f>
        <v>236.5</v>
      </c>
      <c r="R22">
        <f>1/Q21+1/Q22</f>
        <v>5.2184288196261489E-3</v>
      </c>
      <c r="S22">
        <f>1/R22</f>
        <v>191.62855996791015</v>
      </c>
    </row>
    <row r="25" spans="2:19" x14ac:dyDescent="0.25">
      <c r="B25" t="s">
        <v>97</v>
      </c>
      <c r="C25">
        <v>162</v>
      </c>
      <c r="D25" t="s">
        <v>100</v>
      </c>
      <c r="F25" t="s">
        <v>127</v>
      </c>
    </row>
    <row r="26" spans="2:19" x14ac:dyDescent="0.25">
      <c r="B26" t="s">
        <v>96</v>
      </c>
      <c r="C26" s="38">
        <f>Vin*1000-C25</f>
        <v>3148</v>
      </c>
      <c r="D26" t="s">
        <v>100</v>
      </c>
      <c r="F26" t="s">
        <v>134</v>
      </c>
      <c r="G26" t="s">
        <v>133</v>
      </c>
      <c r="H26" t="s">
        <v>132</v>
      </c>
      <c r="I26" t="s">
        <v>131</v>
      </c>
      <c r="J26" t="s">
        <v>130</v>
      </c>
      <c r="K26" t="s">
        <v>129</v>
      </c>
      <c r="L26" t="s">
        <v>128</v>
      </c>
    </row>
    <row r="27" spans="2:19" x14ac:dyDescent="0.25">
      <c r="B27" t="s">
        <v>1</v>
      </c>
      <c r="C27">
        <v>2000</v>
      </c>
      <c r="D27" t="s">
        <v>7</v>
      </c>
      <c r="F27">
        <v>470</v>
      </c>
      <c r="G27">
        <v>500</v>
      </c>
      <c r="H27">
        <v>3.3</v>
      </c>
      <c r="I27">
        <v>3.31</v>
      </c>
    </row>
    <row r="28" spans="2:19" x14ac:dyDescent="0.25">
      <c r="B28" t="s">
        <v>4</v>
      </c>
      <c r="C28" s="38">
        <f>C26/C27</f>
        <v>1.5740000000000001</v>
      </c>
      <c r="D28" t="s">
        <v>5</v>
      </c>
      <c r="F28">
        <f>F27/1000000</f>
        <v>4.6999999999999999E-4</v>
      </c>
      <c r="G28">
        <f>G27</f>
        <v>500</v>
      </c>
      <c r="H28">
        <f>H27</f>
        <v>3.3</v>
      </c>
      <c r="I28">
        <f>I27</f>
        <v>3.31</v>
      </c>
      <c r="J28" s="37">
        <f>-F28*G28*LN(I28/H28)</f>
        <v>-7.1104441538622117E-4</v>
      </c>
      <c r="K28">
        <f>J28*1000</f>
        <v>-0.71104441538622121</v>
      </c>
      <c r="L28">
        <f>K28*1000</f>
        <v>-711.0444153862212</v>
      </c>
    </row>
    <row r="29" spans="2:19" x14ac:dyDescent="0.25">
      <c r="B29" t="s">
        <v>2</v>
      </c>
      <c r="C29" s="39">
        <f>C25/C28</f>
        <v>102.92249047013976</v>
      </c>
      <c r="D29" t="s">
        <v>7</v>
      </c>
    </row>
    <row r="30" spans="2:19" x14ac:dyDescent="0.25">
      <c r="B30" t="s">
        <v>98</v>
      </c>
      <c r="C30" s="40">
        <f>polA+polB*LN(C29)+polC*(LN(C29))^3</f>
        <v>100.2536849560461</v>
      </c>
      <c r="D30" t="s">
        <v>99</v>
      </c>
    </row>
    <row r="31" spans="2:19" x14ac:dyDescent="0.25">
      <c r="B31" t="s">
        <v>142</v>
      </c>
      <c r="C31" s="40">
        <f>ppolA+ppolB*C29+ppolC*C29^2</f>
        <v>2.6771651558268528</v>
      </c>
      <c r="D31" t="s">
        <v>17</v>
      </c>
    </row>
    <row r="33" spans="2:4" x14ac:dyDescent="0.25">
      <c r="B33" t="s">
        <v>139</v>
      </c>
    </row>
    <row r="34" spans="2:4" x14ac:dyDescent="0.25">
      <c r="B34" t="s">
        <v>140</v>
      </c>
      <c r="C34" t="s">
        <v>141</v>
      </c>
      <c r="D34" t="s">
        <v>100</v>
      </c>
    </row>
    <row r="35" spans="2:4" x14ac:dyDescent="0.25">
      <c r="B35">
        <v>4</v>
      </c>
      <c r="C35">
        <v>47</v>
      </c>
      <c r="D35">
        <f>C35*B35</f>
        <v>188</v>
      </c>
    </row>
    <row r="36" spans="2:4" x14ac:dyDescent="0.25">
      <c r="B36">
        <v>20</v>
      </c>
      <c r="C36">
        <v>47</v>
      </c>
      <c r="D36">
        <f>C36*B36</f>
        <v>940</v>
      </c>
    </row>
  </sheetData>
  <pageMargins left="0.7" right="0.7" top="0.75" bottom="0.75" header="0.3" footer="0.3"/>
  <pageSetup paperSize="9" orientation="portrait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CC8DD-5DD0-4266-935E-E84E0B0CCB9F}">
  <sheetPr>
    <pageSetUpPr fitToPage="1"/>
  </sheetPr>
  <dimension ref="B1:Q34"/>
  <sheetViews>
    <sheetView tabSelected="1" zoomScale="85" zoomScaleNormal="85" workbookViewId="0">
      <selection activeCell="I25" sqref="I25"/>
    </sheetView>
  </sheetViews>
  <sheetFormatPr defaultRowHeight="15" x14ac:dyDescent="0.25"/>
  <cols>
    <col min="2" max="2" width="14.7109375" bestFit="1" customWidth="1"/>
    <col min="3" max="3" width="11.5703125" bestFit="1" customWidth="1"/>
    <col min="5" max="5" width="12.5703125" bestFit="1" customWidth="1"/>
    <col min="6" max="6" width="10.42578125" bestFit="1" customWidth="1"/>
    <col min="7" max="7" width="9.85546875" bestFit="1" customWidth="1"/>
    <col min="12" max="12" width="13.140625" customWidth="1"/>
    <col min="13" max="13" width="3" bestFit="1" customWidth="1"/>
    <col min="14" max="15" width="5.140625" customWidth="1"/>
    <col min="16" max="16" width="3" bestFit="1" customWidth="1"/>
    <col min="17" max="17" width="13.140625" customWidth="1"/>
  </cols>
  <sheetData>
    <row r="1" spans="2:17" ht="15.75" thickBot="1" x14ac:dyDescent="0.3"/>
    <row r="2" spans="2:17" x14ac:dyDescent="0.25">
      <c r="B2" s="1" t="s">
        <v>95</v>
      </c>
      <c r="G2" t="s">
        <v>51</v>
      </c>
      <c r="L2" t="s">
        <v>56</v>
      </c>
      <c r="M2">
        <v>1</v>
      </c>
      <c r="N2" s="14" t="s">
        <v>53</v>
      </c>
      <c r="O2" s="15" t="s">
        <v>52</v>
      </c>
      <c r="P2">
        <v>2</v>
      </c>
      <c r="Q2" t="s">
        <v>70</v>
      </c>
    </row>
    <row r="3" spans="2:17" x14ac:dyDescent="0.25">
      <c r="B3" t="s">
        <v>22</v>
      </c>
      <c r="F3" t="s">
        <v>38</v>
      </c>
      <c r="G3">
        <v>6</v>
      </c>
      <c r="L3" t="s">
        <v>58</v>
      </c>
      <c r="M3">
        <f>M2+2</f>
        <v>3</v>
      </c>
      <c r="N3" s="10" t="s">
        <v>55</v>
      </c>
      <c r="O3" s="16" t="s">
        <v>52</v>
      </c>
      <c r="P3">
        <f>P2+2</f>
        <v>4</v>
      </c>
      <c r="Q3" t="s">
        <v>57</v>
      </c>
    </row>
    <row r="4" spans="2:17" x14ac:dyDescent="0.25">
      <c r="B4" t="s">
        <v>19</v>
      </c>
      <c r="C4" t="s">
        <v>25</v>
      </c>
      <c r="F4" t="s">
        <v>39</v>
      </c>
      <c r="G4">
        <v>4</v>
      </c>
      <c r="L4" t="s">
        <v>59</v>
      </c>
      <c r="M4">
        <f t="shared" ref="M4:M21" si="0">M3+2</f>
        <v>5</v>
      </c>
      <c r="N4" s="18" t="s">
        <v>64</v>
      </c>
      <c r="O4" s="17" t="s">
        <v>54</v>
      </c>
      <c r="P4">
        <f t="shared" ref="P4:P21" si="1">P3+2</f>
        <v>6</v>
      </c>
      <c r="Q4" t="s">
        <v>69</v>
      </c>
    </row>
    <row r="5" spans="2:17" x14ac:dyDescent="0.25">
      <c r="B5" t="s">
        <v>20</v>
      </c>
      <c r="C5" t="s">
        <v>25</v>
      </c>
      <c r="F5" t="s">
        <v>40</v>
      </c>
      <c r="G5">
        <v>1</v>
      </c>
      <c r="M5">
        <f t="shared" si="0"/>
        <v>7</v>
      </c>
      <c r="N5" s="10"/>
      <c r="O5" s="23" t="s">
        <v>61</v>
      </c>
      <c r="P5">
        <f t="shared" si="1"/>
        <v>8</v>
      </c>
      <c r="Q5" t="s">
        <v>67</v>
      </c>
    </row>
    <row r="6" spans="2:17" x14ac:dyDescent="0.25">
      <c r="B6" t="s">
        <v>21</v>
      </c>
      <c r="C6" t="s">
        <v>24</v>
      </c>
      <c r="F6" s="25" t="s">
        <v>41</v>
      </c>
      <c r="G6" s="25" t="s">
        <v>21</v>
      </c>
      <c r="L6" t="s">
        <v>71</v>
      </c>
      <c r="M6">
        <f t="shared" si="0"/>
        <v>9</v>
      </c>
      <c r="N6" s="17" t="s">
        <v>54</v>
      </c>
      <c r="O6" s="24" t="s">
        <v>62</v>
      </c>
      <c r="P6">
        <f t="shared" si="1"/>
        <v>10</v>
      </c>
      <c r="Q6" t="s">
        <v>68</v>
      </c>
    </row>
    <row r="7" spans="2:17" x14ac:dyDescent="0.25">
      <c r="B7" t="s">
        <v>26</v>
      </c>
      <c r="C7" t="s">
        <v>35</v>
      </c>
      <c r="D7" t="s">
        <v>33</v>
      </c>
      <c r="F7" t="s">
        <v>43</v>
      </c>
      <c r="G7">
        <v>3</v>
      </c>
      <c r="L7" t="s">
        <v>72</v>
      </c>
      <c r="M7">
        <f t="shared" si="0"/>
        <v>11</v>
      </c>
      <c r="N7" s="18" t="s">
        <v>64</v>
      </c>
      <c r="O7" s="11"/>
      <c r="P7">
        <f t="shared" si="1"/>
        <v>12</v>
      </c>
    </row>
    <row r="8" spans="2:17" x14ac:dyDescent="0.25">
      <c r="B8" t="s">
        <v>23</v>
      </c>
      <c r="C8" t="s">
        <v>35</v>
      </c>
      <c r="D8" t="s">
        <v>34</v>
      </c>
      <c r="F8" t="s">
        <v>42</v>
      </c>
      <c r="L8" t="s">
        <v>73</v>
      </c>
      <c r="M8">
        <f t="shared" si="0"/>
        <v>13</v>
      </c>
      <c r="N8" s="22" t="s">
        <v>63</v>
      </c>
      <c r="O8" s="17" t="s">
        <v>54</v>
      </c>
      <c r="P8">
        <f t="shared" si="1"/>
        <v>14</v>
      </c>
      <c r="Q8" t="s">
        <v>143</v>
      </c>
    </row>
    <row r="9" spans="2:17" x14ac:dyDescent="0.25">
      <c r="B9" t="s">
        <v>27</v>
      </c>
      <c r="C9" t="s">
        <v>36</v>
      </c>
      <c r="D9" t="s">
        <v>33</v>
      </c>
      <c r="E9" t="s">
        <v>37</v>
      </c>
      <c r="F9" t="s">
        <v>44</v>
      </c>
      <c r="L9" t="s">
        <v>101</v>
      </c>
      <c r="M9">
        <f t="shared" si="0"/>
        <v>15</v>
      </c>
      <c r="N9" s="22" t="s">
        <v>63</v>
      </c>
      <c r="O9" s="11"/>
      <c r="P9">
        <f t="shared" si="1"/>
        <v>16</v>
      </c>
    </row>
    <row r="10" spans="2:17" x14ac:dyDescent="0.25">
      <c r="B10" t="s">
        <v>28</v>
      </c>
      <c r="C10" t="s">
        <v>36</v>
      </c>
      <c r="D10" t="s">
        <v>34</v>
      </c>
      <c r="E10" t="s">
        <v>37</v>
      </c>
      <c r="F10" t="s">
        <v>45</v>
      </c>
      <c r="M10">
        <f t="shared" si="0"/>
        <v>17</v>
      </c>
      <c r="N10" s="10"/>
      <c r="O10" s="11"/>
      <c r="P10">
        <f t="shared" si="1"/>
        <v>18</v>
      </c>
    </row>
    <row r="11" spans="2:17" ht="15.75" thickBot="1" x14ac:dyDescent="0.3">
      <c r="B11" t="s">
        <v>29</v>
      </c>
      <c r="C11" t="s">
        <v>31</v>
      </c>
      <c r="F11" t="s">
        <v>47</v>
      </c>
      <c r="M11">
        <f t="shared" si="0"/>
        <v>19</v>
      </c>
      <c r="N11" s="12"/>
      <c r="O11" s="13"/>
      <c r="P11">
        <f t="shared" si="1"/>
        <v>20</v>
      </c>
    </row>
    <row r="12" spans="2:17" x14ac:dyDescent="0.25">
      <c r="B12" t="s">
        <v>30</v>
      </c>
      <c r="C12" t="s">
        <v>32</v>
      </c>
      <c r="F12" t="s">
        <v>46</v>
      </c>
      <c r="M12">
        <f t="shared" si="0"/>
        <v>21</v>
      </c>
      <c r="N12" s="19"/>
      <c r="O12" s="20"/>
      <c r="P12">
        <f t="shared" si="1"/>
        <v>22</v>
      </c>
    </row>
    <row r="13" spans="2:17" x14ac:dyDescent="0.25">
      <c r="M13">
        <f t="shared" si="0"/>
        <v>23</v>
      </c>
      <c r="N13" s="10"/>
      <c r="O13" s="11"/>
      <c r="P13">
        <f t="shared" si="1"/>
        <v>24</v>
      </c>
    </row>
    <row r="14" spans="2:17" x14ac:dyDescent="0.25">
      <c r="M14">
        <f t="shared" si="0"/>
        <v>25</v>
      </c>
      <c r="N14" s="10"/>
      <c r="O14" s="11"/>
      <c r="P14">
        <f t="shared" si="1"/>
        <v>26</v>
      </c>
    </row>
    <row r="15" spans="2:17" x14ac:dyDescent="0.25">
      <c r="L15" t="s">
        <v>65</v>
      </c>
      <c r="M15">
        <f t="shared" si="0"/>
        <v>27</v>
      </c>
      <c r="N15" s="21" t="s">
        <v>60</v>
      </c>
      <c r="O15" s="22" t="s">
        <v>63</v>
      </c>
      <c r="P15">
        <f t="shared" si="1"/>
        <v>28</v>
      </c>
      <c r="Q15" t="s">
        <v>66</v>
      </c>
    </row>
    <row r="16" spans="2:17" x14ac:dyDescent="0.25">
      <c r="M16">
        <f t="shared" si="0"/>
        <v>29</v>
      </c>
      <c r="N16" s="10"/>
      <c r="O16" s="11"/>
      <c r="P16">
        <f t="shared" si="1"/>
        <v>30</v>
      </c>
    </row>
    <row r="17" spans="2:16" x14ac:dyDescent="0.25">
      <c r="B17" s="1" t="s">
        <v>84</v>
      </c>
      <c r="F17" s="1" t="s">
        <v>110</v>
      </c>
      <c r="G17" s="1" t="s">
        <v>112</v>
      </c>
      <c r="H17" s="1" t="s">
        <v>123</v>
      </c>
      <c r="M17">
        <f t="shared" si="0"/>
        <v>31</v>
      </c>
      <c r="N17" s="10"/>
      <c r="O17" s="11"/>
      <c r="P17">
        <f t="shared" si="1"/>
        <v>32</v>
      </c>
    </row>
    <row r="18" spans="2:16" x14ac:dyDescent="0.25">
      <c r="B18" s="26" t="s">
        <v>87</v>
      </c>
      <c r="C18" t="s">
        <v>85</v>
      </c>
      <c r="F18" t="s">
        <v>124</v>
      </c>
      <c r="G18" t="s">
        <v>116</v>
      </c>
      <c r="H18" s="22" t="s">
        <v>91</v>
      </c>
      <c r="M18">
        <f t="shared" si="0"/>
        <v>33</v>
      </c>
      <c r="N18" s="10"/>
      <c r="O18" s="11"/>
      <c r="P18">
        <f t="shared" si="1"/>
        <v>34</v>
      </c>
    </row>
    <row r="19" spans="2:16" x14ac:dyDescent="0.25">
      <c r="B19" s="27" t="s">
        <v>38</v>
      </c>
      <c r="C19" t="s">
        <v>22</v>
      </c>
      <c r="F19" t="s">
        <v>125</v>
      </c>
      <c r="G19" t="s">
        <v>117</v>
      </c>
      <c r="H19" s="28" t="s">
        <v>89</v>
      </c>
      <c r="M19">
        <f t="shared" si="0"/>
        <v>35</v>
      </c>
      <c r="N19" s="10"/>
      <c r="O19" s="11"/>
      <c r="P19">
        <f t="shared" si="1"/>
        <v>36</v>
      </c>
    </row>
    <row r="20" spans="2:16" x14ac:dyDescent="0.25">
      <c r="B20" s="26" t="s">
        <v>86</v>
      </c>
      <c r="C20" t="s">
        <v>88</v>
      </c>
      <c r="F20" t="s">
        <v>111</v>
      </c>
      <c r="G20" t="s">
        <v>114</v>
      </c>
      <c r="H20" s="25" t="s">
        <v>41</v>
      </c>
      <c r="M20">
        <f t="shared" si="0"/>
        <v>37</v>
      </c>
      <c r="N20" s="10"/>
      <c r="O20" s="11"/>
      <c r="P20">
        <f t="shared" si="1"/>
        <v>38</v>
      </c>
    </row>
    <row r="21" spans="2:16" ht="15.75" thickBot="1" x14ac:dyDescent="0.3">
      <c r="B21" s="28" t="s">
        <v>89</v>
      </c>
      <c r="C21" t="s">
        <v>90</v>
      </c>
      <c r="F21" t="s">
        <v>113</v>
      </c>
      <c r="G21" t="s">
        <v>115</v>
      </c>
      <c r="H21" s="30" t="s">
        <v>93</v>
      </c>
      <c r="M21">
        <f t="shared" si="0"/>
        <v>39</v>
      </c>
      <c r="N21" s="12"/>
      <c r="O21" s="13"/>
      <c r="P21">
        <f t="shared" si="1"/>
        <v>40</v>
      </c>
    </row>
    <row r="22" spans="2:16" x14ac:dyDescent="0.25">
      <c r="B22" s="29" t="s">
        <v>91</v>
      </c>
      <c r="C22" t="s">
        <v>92</v>
      </c>
    </row>
    <row r="23" spans="2:16" x14ac:dyDescent="0.25">
      <c r="B23" s="30" t="s">
        <v>93</v>
      </c>
      <c r="C23" t="s">
        <v>94</v>
      </c>
      <c r="F23" t="s">
        <v>149</v>
      </c>
      <c r="G23" t="s">
        <v>150</v>
      </c>
      <c r="H23" s="42" t="s">
        <v>154</v>
      </c>
      <c r="I23" s="43" t="s">
        <v>153</v>
      </c>
    </row>
    <row r="25" spans="2:16" x14ac:dyDescent="0.25">
      <c r="F25" t="s">
        <v>151</v>
      </c>
      <c r="G25" t="s">
        <v>152</v>
      </c>
    </row>
    <row r="30" spans="2:16" x14ac:dyDescent="0.25">
      <c r="G30" s="1" t="s">
        <v>48</v>
      </c>
    </row>
    <row r="31" spans="2:16" x14ac:dyDescent="0.25">
      <c r="G31" s="9" t="s">
        <v>138</v>
      </c>
      <c r="H31" t="s">
        <v>50</v>
      </c>
    </row>
    <row r="32" spans="2:16" x14ac:dyDescent="0.25">
      <c r="G32" s="9" t="s">
        <v>49</v>
      </c>
      <c r="H32" t="s">
        <v>83</v>
      </c>
    </row>
    <row r="33" spans="7:8" x14ac:dyDescent="0.25">
      <c r="G33" t="s">
        <v>136</v>
      </c>
      <c r="H33" t="s">
        <v>135</v>
      </c>
    </row>
    <row r="34" spans="7:8" x14ac:dyDescent="0.25">
      <c r="G34" t="s">
        <v>137</v>
      </c>
      <c r="H34" t="s">
        <v>126</v>
      </c>
    </row>
  </sheetData>
  <pageMargins left="0.31" right="0.25" top="0.75" bottom="0.75" header="0.3" footer="0.3"/>
  <pageSetup paperSize="9" scale="88" fitToWidth="2" orientation="landscape" horizontalDpi="4294967293" r:id="rId1"/>
  <colBreaks count="1" manualBreakCount="1">
    <brk id="18" max="3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96A59-DB25-45D2-BE1C-6FD458C3B096}">
  <dimension ref="B1:S56"/>
  <sheetViews>
    <sheetView zoomScale="85" zoomScaleNormal="85" workbookViewId="0">
      <selection activeCell="B8" sqref="B8"/>
    </sheetView>
  </sheetViews>
  <sheetFormatPr defaultRowHeight="15" x14ac:dyDescent="0.25"/>
  <cols>
    <col min="5" max="5" width="9.5703125" bestFit="1" customWidth="1"/>
    <col min="6" max="6" width="10.28515625" bestFit="1" customWidth="1"/>
    <col min="7" max="7" width="12.140625" bestFit="1" customWidth="1"/>
    <col min="12" max="12" width="12.140625" bestFit="1" customWidth="1"/>
  </cols>
  <sheetData>
    <row r="1" spans="2:11" x14ac:dyDescent="0.25">
      <c r="E1" t="s">
        <v>14</v>
      </c>
      <c r="F1" t="s">
        <v>15</v>
      </c>
      <c r="G1" t="s">
        <v>16</v>
      </c>
    </row>
    <row r="2" spans="2:11" x14ac:dyDescent="0.25">
      <c r="E2" s="3">
        <v>276.31200009032909</v>
      </c>
      <c r="F2" s="2">
        <v>-39.954820138689989</v>
      </c>
      <c r="G2" s="32">
        <v>9.1362491468999538E-2</v>
      </c>
    </row>
    <row r="3" spans="2:11" x14ac:dyDescent="0.25">
      <c r="B3" t="s">
        <v>7</v>
      </c>
      <c r="C3" t="s">
        <v>16</v>
      </c>
    </row>
    <row r="4" spans="2:11" x14ac:dyDescent="0.25">
      <c r="B4" s="6">
        <v>30</v>
      </c>
      <c r="C4" s="8">
        <f>E4</f>
        <v>144.01247699614063</v>
      </c>
      <c r="D4" s="6"/>
      <c r="E4" s="8">
        <f t="shared" ref="E4:E48" si="0">polA+polB*LN(B4)+polC*(LN(B4))^3</f>
        <v>144.01247699614063</v>
      </c>
      <c r="F4" s="8">
        <f>F5+F$50</f>
        <v>1.1550000000000042</v>
      </c>
      <c r="G4" s="8">
        <f t="shared" ref="G4:G44" si="1">E4+F4</f>
        <v>145.16747699614064</v>
      </c>
      <c r="H4" s="2">
        <f t="shared" ref="H4:H7" si="2">(E4-C4)^2</f>
        <v>0</v>
      </c>
      <c r="I4" s="6"/>
      <c r="J4" s="6"/>
      <c r="K4" s="5">
        <f>(E4-32)/1.8</f>
        <v>62.229153886744797</v>
      </c>
    </row>
    <row r="5" spans="2:11" x14ac:dyDescent="0.25">
      <c r="B5" s="6">
        <v>50</v>
      </c>
      <c r="C5" s="8">
        <f>E5</f>
        <v>125.47763319102907</v>
      </c>
      <c r="D5" s="6"/>
      <c r="E5" s="8">
        <f t="shared" si="0"/>
        <v>125.47763319102907</v>
      </c>
      <c r="F5" s="8">
        <f>F7+F$50</f>
        <v>1.1700000000000041</v>
      </c>
      <c r="G5" s="8">
        <f t="shared" si="1"/>
        <v>126.64763319102907</v>
      </c>
      <c r="H5" s="2">
        <f t="shared" si="2"/>
        <v>0</v>
      </c>
      <c r="I5" s="6"/>
      <c r="J5" s="6"/>
      <c r="K5" s="5">
        <f>(E5-32)/1.8</f>
        <v>51.932018439460592</v>
      </c>
    </row>
    <row r="6" spans="2:11" x14ac:dyDescent="0.25">
      <c r="B6" s="6">
        <v>80</v>
      </c>
      <c r="C6" s="8">
        <f>E6</f>
        <v>108.91655291479977</v>
      </c>
      <c r="D6" s="6"/>
      <c r="E6" s="8">
        <f t="shared" si="0"/>
        <v>108.91655291479977</v>
      </c>
      <c r="F6" s="8">
        <f>F8+F$50</f>
        <v>1.1850000000000041</v>
      </c>
      <c r="G6" s="8">
        <f t="shared" si="1"/>
        <v>110.10155291479977</v>
      </c>
      <c r="H6" s="2">
        <f t="shared" si="2"/>
        <v>0</v>
      </c>
      <c r="I6" s="6"/>
      <c r="J6" s="6"/>
      <c r="K6" s="5">
        <f>(E6-32)/1.8</f>
        <v>42.731418285999872</v>
      </c>
    </row>
    <row r="7" spans="2:11" x14ac:dyDescent="0.25">
      <c r="B7" s="6">
        <v>110</v>
      </c>
      <c r="C7" s="8">
        <f>E7</f>
        <v>97.993589177734378</v>
      </c>
      <c r="D7" s="6"/>
      <c r="E7" s="8">
        <f t="shared" si="0"/>
        <v>97.993589177734378</v>
      </c>
      <c r="F7" s="8">
        <f t="shared" ref="F7:F17" si="3">F8+F$50</f>
        <v>1.1850000000000041</v>
      </c>
      <c r="G7" s="8">
        <f t="shared" si="1"/>
        <v>99.178589177734381</v>
      </c>
      <c r="H7" s="2">
        <f t="shared" si="2"/>
        <v>0</v>
      </c>
      <c r="I7" s="6"/>
      <c r="J7" s="6"/>
      <c r="K7" s="5">
        <f>(E7-32)/1.8</f>
        <v>36.663105098741319</v>
      </c>
    </row>
    <row r="8" spans="2:11" x14ac:dyDescent="0.25">
      <c r="B8">
        <v>140</v>
      </c>
      <c r="C8" s="3">
        <v>91.111111111111114</v>
      </c>
      <c r="E8" s="33">
        <f>polA+polB*LN(B8)+polC*(LN(B8))^3</f>
        <v>89.894649327124952</v>
      </c>
      <c r="F8" s="33">
        <f t="shared" si="3"/>
        <v>1.200000000000004</v>
      </c>
      <c r="G8" s="33">
        <f t="shared" si="1"/>
        <v>91.094649327124955</v>
      </c>
      <c r="H8" s="2">
        <f>(G8-C8)^2</f>
        <v>2.7099033200696622E-4</v>
      </c>
      <c r="K8" s="3">
        <f>C8</f>
        <v>91.111111111111114</v>
      </c>
    </row>
    <row r="9" spans="2:11" x14ac:dyDescent="0.25">
      <c r="B9">
        <v>152</v>
      </c>
      <c r="C9" s="3">
        <v>87.777777777777771</v>
      </c>
      <c r="E9" s="33">
        <f t="shared" si="0"/>
        <v>87.168485482688169</v>
      </c>
      <c r="F9" s="33">
        <f t="shared" si="3"/>
        <v>1.2150000000000039</v>
      </c>
      <c r="G9" s="33">
        <f t="shared" si="1"/>
        <v>88.383485482688172</v>
      </c>
      <c r="H9" s="2">
        <f t="shared" ref="H9:H45" si="4">(G9-C9)^2</f>
        <v>0.36688182378782536</v>
      </c>
      <c r="K9" s="3">
        <f t="shared" ref="K9:K45" si="5">C9</f>
        <v>87.777777777777771</v>
      </c>
    </row>
    <row r="10" spans="2:11" x14ac:dyDescent="0.25">
      <c r="B10">
        <v>165</v>
      </c>
      <c r="C10" s="3">
        <v>85.555555555555557</v>
      </c>
      <c r="E10" s="33">
        <f t="shared" si="0"/>
        <v>84.466627703579547</v>
      </c>
      <c r="F10" s="33">
        <f t="shared" si="3"/>
        <v>1.2300000000000038</v>
      </c>
      <c r="G10" s="33">
        <f t="shared" si="1"/>
        <v>85.696627703579551</v>
      </c>
      <c r="H10" s="2">
        <f t="shared" si="4"/>
        <v>1.9901350948103746E-2</v>
      </c>
      <c r="K10" s="3">
        <f t="shared" si="5"/>
        <v>85.555555555555557</v>
      </c>
    </row>
    <row r="11" spans="2:11" x14ac:dyDescent="0.25">
      <c r="B11">
        <v>180</v>
      </c>
      <c r="C11" s="3">
        <v>83.333333333333329</v>
      </c>
      <c r="E11" s="33">
        <f t="shared" si="0"/>
        <v>81.622511925461069</v>
      </c>
      <c r="F11" s="33">
        <f t="shared" si="3"/>
        <v>1.2450000000000037</v>
      </c>
      <c r="G11" s="33">
        <f t="shared" si="1"/>
        <v>82.867511925461073</v>
      </c>
      <c r="H11" s="2">
        <f t="shared" si="4"/>
        <v>0.21698958403208987</v>
      </c>
      <c r="K11" s="3">
        <f t="shared" si="5"/>
        <v>83.333333333333329</v>
      </c>
    </row>
    <row r="12" spans="2:11" x14ac:dyDescent="0.25">
      <c r="B12">
        <v>195</v>
      </c>
      <c r="C12" s="3">
        <v>81.111111111111114</v>
      </c>
      <c r="E12" s="33">
        <f t="shared" si="0"/>
        <v>79.02520244509617</v>
      </c>
      <c r="F12" s="33">
        <f t="shared" si="3"/>
        <v>1.2600000000000036</v>
      </c>
      <c r="G12" s="33">
        <f t="shared" si="1"/>
        <v>80.285202445096175</v>
      </c>
      <c r="H12" s="2">
        <f t="shared" si="4"/>
        <v>0.68212512459857655</v>
      </c>
      <c r="K12" s="3">
        <f t="shared" si="5"/>
        <v>81.111111111111114</v>
      </c>
    </row>
    <row r="13" spans="2:11" x14ac:dyDescent="0.25">
      <c r="B13">
        <v>205</v>
      </c>
      <c r="C13" s="3">
        <v>78.888888888888886</v>
      </c>
      <c r="E13" s="33">
        <f t="shared" si="0"/>
        <v>77.411794184060966</v>
      </c>
      <c r="F13" s="33">
        <f t="shared" si="3"/>
        <v>1.2750000000000035</v>
      </c>
      <c r="G13" s="33">
        <f t="shared" si="1"/>
        <v>78.686794184060972</v>
      </c>
      <c r="H13" s="2">
        <f t="shared" si="4"/>
        <v>4.0842269719481697E-2</v>
      </c>
      <c r="K13" s="3">
        <f t="shared" si="5"/>
        <v>78.888888888888886</v>
      </c>
    </row>
    <row r="14" spans="2:11" x14ac:dyDescent="0.25">
      <c r="B14">
        <v>216</v>
      </c>
      <c r="C14" s="3">
        <v>76.666666666666671</v>
      </c>
      <c r="E14" s="33">
        <f t="shared" si="0"/>
        <v>75.733340023153175</v>
      </c>
      <c r="F14" s="33">
        <f t="shared" si="3"/>
        <v>1.2900000000000034</v>
      </c>
      <c r="G14" s="33">
        <f t="shared" si="1"/>
        <v>77.023340023153182</v>
      </c>
      <c r="H14" s="2">
        <f t="shared" si="4"/>
        <v>0.12721588322735328</v>
      </c>
      <c r="K14" s="3">
        <f t="shared" si="5"/>
        <v>76.666666666666671</v>
      </c>
    </row>
    <row r="15" spans="2:11" x14ac:dyDescent="0.25">
      <c r="B15">
        <v>226</v>
      </c>
      <c r="C15" s="3">
        <v>75.555555555555557</v>
      </c>
      <c r="E15" s="33">
        <f t="shared" si="0"/>
        <v>74.286551151136905</v>
      </c>
      <c r="F15" s="33">
        <f t="shared" si="3"/>
        <v>1.3050000000000033</v>
      </c>
      <c r="G15" s="33">
        <f t="shared" si="1"/>
        <v>75.591551151136912</v>
      </c>
      <c r="H15" s="2">
        <f t="shared" si="4"/>
        <v>1.2956829012564404E-3</v>
      </c>
      <c r="K15" s="3">
        <f t="shared" si="5"/>
        <v>75.555555555555557</v>
      </c>
    </row>
    <row r="16" spans="2:11" x14ac:dyDescent="0.25">
      <c r="B16">
        <v>230</v>
      </c>
      <c r="C16" s="3">
        <v>75</v>
      </c>
      <c r="E16" s="33">
        <f t="shared" si="0"/>
        <v>73.727318675192208</v>
      </c>
      <c r="F16" s="33">
        <f t="shared" si="3"/>
        <v>1.3200000000000032</v>
      </c>
      <c r="G16" s="33">
        <f t="shared" si="1"/>
        <v>75.047318675192216</v>
      </c>
      <c r="H16" s="2">
        <f t="shared" si="4"/>
        <v>2.2390570219464061E-3</v>
      </c>
      <c r="K16" s="3">
        <f t="shared" si="5"/>
        <v>75</v>
      </c>
    </row>
    <row r="17" spans="2:11" x14ac:dyDescent="0.25">
      <c r="B17">
        <v>239</v>
      </c>
      <c r="C17" s="3">
        <v>73.333333333333329</v>
      </c>
      <c r="E17" s="33">
        <f t="shared" si="0"/>
        <v>72.507008164972135</v>
      </c>
      <c r="F17" s="33">
        <f t="shared" si="3"/>
        <v>1.3350000000000031</v>
      </c>
      <c r="G17" s="33">
        <f t="shared" si="1"/>
        <v>73.842008164972142</v>
      </c>
      <c r="H17" s="2">
        <f t="shared" si="4"/>
        <v>0.25875008434277563</v>
      </c>
      <c r="K17" s="3">
        <f t="shared" si="5"/>
        <v>73.333333333333329</v>
      </c>
    </row>
    <row r="18" spans="2:11" x14ac:dyDescent="0.25">
      <c r="B18">
        <v>252</v>
      </c>
      <c r="C18" s="3">
        <v>72.222222222222214</v>
      </c>
      <c r="E18" s="33">
        <f t="shared" si="0"/>
        <v>70.830398726074264</v>
      </c>
      <c r="F18" s="41">
        <f t="shared" ref="F18:F24" si="6">F19+F$50</f>
        <v>1.350000000000003</v>
      </c>
      <c r="G18" s="33">
        <f t="shared" si="1"/>
        <v>72.180398726074273</v>
      </c>
      <c r="H18" s="2">
        <f t="shared" si="4"/>
        <v>1.7492048300368642E-3</v>
      </c>
      <c r="K18" s="3">
        <f t="shared" si="5"/>
        <v>72.222222222222214</v>
      </c>
    </row>
    <row r="19" spans="2:11" x14ac:dyDescent="0.25">
      <c r="B19">
        <v>261</v>
      </c>
      <c r="C19" s="3">
        <v>71.111111111111114</v>
      </c>
      <c r="E19" s="33">
        <f t="shared" si="0"/>
        <v>69.724270705990051</v>
      </c>
      <c r="F19" s="41">
        <f t="shared" si="6"/>
        <v>1.3650000000000029</v>
      </c>
      <c r="G19" s="33">
        <f t="shared" si="1"/>
        <v>71.08927070599006</v>
      </c>
      <c r="H19" s="2">
        <f t="shared" si="4"/>
        <v>4.7700329585176695E-4</v>
      </c>
      <c r="K19" s="3">
        <f t="shared" si="5"/>
        <v>71.111111111111114</v>
      </c>
    </row>
    <row r="20" spans="2:11" x14ac:dyDescent="0.25">
      <c r="B20">
        <v>280</v>
      </c>
      <c r="C20" s="3">
        <v>68.888888888888886</v>
      </c>
      <c r="E20" s="33">
        <f t="shared" si="0"/>
        <v>67.520601798136738</v>
      </c>
      <c r="F20" s="41">
        <f t="shared" si="6"/>
        <v>1.3800000000000028</v>
      </c>
      <c r="G20" s="33">
        <f t="shared" si="1"/>
        <v>68.900601798136748</v>
      </c>
      <c r="H20" s="2">
        <f t="shared" si="4"/>
        <v>1.371922430486525E-4</v>
      </c>
      <c r="K20" s="3">
        <f t="shared" si="5"/>
        <v>68.888888888888886</v>
      </c>
    </row>
    <row r="21" spans="2:11" x14ac:dyDescent="0.25">
      <c r="B21">
        <v>300</v>
      </c>
      <c r="C21" s="3">
        <v>66.666666666666671</v>
      </c>
      <c r="E21" s="33">
        <f t="shared" si="0"/>
        <v>65.371796767566536</v>
      </c>
      <c r="F21" s="41">
        <f t="shared" si="6"/>
        <v>1.3950000000000027</v>
      </c>
      <c r="G21" s="33">
        <f t="shared" si="1"/>
        <v>66.766796767566532</v>
      </c>
      <c r="H21" s="2">
        <f t="shared" si="4"/>
        <v>1.0026037106216338E-2</v>
      </c>
      <c r="K21" s="3">
        <f t="shared" si="5"/>
        <v>66.666666666666671</v>
      </c>
    </row>
    <row r="22" spans="2:11" x14ac:dyDescent="0.25">
      <c r="B22">
        <v>312</v>
      </c>
      <c r="C22" s="3">
        <v>65.555555555555557</v>
      </c>
      <c r="E22" s="33">
        <f t="shared" si="0"/>
        <v>64.156878707749783</v>
      </c>
      <c r="F22" s="41">
        <f t="shared" si="6"/>
        <v>1.4100000000000026</v>
      </c>
      <c r="G22" s="33">
        <f t="shared" si="1"/>
        <v>65.56687870774978</v>
      </c>
      <c r="H22" s="2">
        <f t="shared" si="4"/>
        <v>1.2821377561352649E-4</v>
      </c>
      <c r="K22" s="3">
        <f t="shared" si="5"/>
        <v>65.555555555555557</v>
      </c>
    </row>
    <row r="23" spans="2:11" x14ac:dyDescent="0.25">
      <c r="B23">
        <v>323</v>
      </c>
      <c r="C23" s="3">
        <v>64.444444444444443</v>
      </c>
      <c r="E23" s="33">
        <f t="shared" si="0"/>
        <v>63.08759969424446</v>
      </c>
      <c r="F23" s="41">
        <f t="shared" si="6"/>
        <v>1.4250000000000025</v>
      </c>
      <c r="G23" s="33">
        <f t="shared" si="1"/>
        <v>64.512599694244457</v>
      </c>
      <c r="H23" s="2">
        <f t="shared" si="4"/>
        <v>4.6451380753023651E-3</v>
      </c>
      <c r="K23" s="3">
        <f t="shared" si="5"/>
        <v>64.444444444444443</v>
      </c>
    </row>
    <row r="24" spans="2:11" x14ac:dyDescent="0.25">
      <c r="B24">
        <v>342</v>
      </c>
      <c r="C24" s="3">
        <v>62.777777777777779</v>
      </c>
      <c r="E24" s="33">
        <f t="shared" si="0"/>
        <v>61.332000755326007</v>
      </c>
      <c r="F24" s="41">
        <f t="shared" si="6"/>
        <v>1.4400000000000024</v>
      </c>
      <c r="G24" s="33">
        <f t="shared" si="1"/>
        <v>62.772000755326012</v>
      </c>
      <c r="H24" s="2">
        <f t="shared" si="4"/>
        <v>3.3373988408217815E-5</v>
      </c>
      <c r="K24" s="3">
        <f t="shared" si="5"/>
        <v>62.777777777777779</v>
      </c>
    </row>
    <row r="25" spans="2:11" x14ac:dyDescent="0.25">
      <c r="B25">
        <v>377</v>
      </c>
      <c r="C25" s="3">
        <v>60</v>
      </c>
      <c r="E25" s="33">
        <f t="shared" si="0"/>
        <v>58.363483054889628</v>
      </c>
      <c r="F25" s="41">
        <f t="shared" ref="F25:F46" si="7">F26+F$50</f>
        <v>1.4550000000000023</v>
      </c>
      <c r="G25" s="33">
        <f t="shared" si="1"/>
        <v>59.818483054889633</v>
      </c>
      <c r="H25" s="2">
        <f t="shared" si="4"/>
        <v>3.2948401362200022E-2</v>
      </c>
      <c r="K25" s="3">
        <f t="shared" si="5"/>
        <v>60</v>
      </c>
    </row>
    <row r="26" spans="2:11" x14ac:dyDescent="0.25">
      <c r="B26">
        <v>439</v>
      </c>
      <c r="C26" s="3">
        <v>55.555555555555557</v>
      </c>
      <c r="E26" s="33">
        <f t="shared" si="0"/>
        <v>53.786784148048866</v>
      </c>
      <c r="F26" s="41">
        <f t="shared" si="7"/>
        <v>1.4700000000000022</v>
      </c>
      <c r="G26" s="33">
        <f t="shared" si="1"/>
        <v>55.256784148048865</v>
      </c>
      <c r="H26" s="2">
        <f t="shared" si="4"/>
        <v>8.9264353943529717E-2</v>
      </c>
      <c r="K26" s="3">
        <f t="shared" si="5"/>
        <v>55.555555555555557</v>
      </c>
    </row>
    <row r="27" spans="2:11" x14ac:dyDescent="0.25">
      <c r="B27">
        <v>480</v>
      </c>
      <c r="C27" s="3">
        <v>52.777777777777779</v>
      </c>
      <c r="E27" s="33">
        <f t="shared" si="0"/>
        <v>51.138705111395296</v>
      </c>
      <c r="F27" s="41">
        <f t="shared" si="7"/>
        <v>1.4850000000000021</v>
      </c>
      <c r="G27" s="33">
        <f t="shared" si="1"/>
        <v>52.623705111395296</v>
      </c>
      <c r="H27" s="2">
        <f t="shared" si="4"/>
        <v>2.3738386526207828E-2</v>
      </c>
      <c r="K27" s="3">
        <f t="shared" si="5"/>
        <v>52.777777777777779</v>
      </c>
    </row>
    <row r="28" spans="2:11" x14ac:dyDescent="0.25">
      <c r="B28">
        <v>499</v>
      </c>
      <c r="C28" s="3">
        <v>51.666666666666664</v>
      </c>
      <c r="E28" s="33">
        <f t="shared" si="0"/>
        <v>49.995767888660652</v>
      </c>
      <c r="F28" s="41">
        <f t="shared" si="7"/>
        <v>1.500000000000002</v>
      </c>
      <c r="G28" s="33">
        <f t="shared" si="1"/>
        <v>51.495767888660652</v>
      </c>
      <c r="H28" s="2">
        <f t="shared" si="4"/>
        <v>2.9206392323948418E-2</v>
      </c>
      <c r="K28" s="3">
        <f t="shared" si="5"/>
        <v>51.666666666666664</v>
      </c>
    </row>
    <row r="29" spans="2:11" x14ac:dyDescent="0.25">
      <c r="B29">
        <v>518</v>
      </c>
      <c r="C29" s="3">
        <v>50.555555555555557</v>
      </c>
      <c r="E29" s="33">
        <f t="shared" si="0"/>
        <v>48.900394114646886</v>
      </c>
      <c r="F29" s="41">
        <f t="shared" si="7"/>
        <v>1.5150000000000019</v>
      </c>
      <c r="G29" s="33">
        <f t="shared" si="1"/>
        <v>50.415394114646887</v>
      </c>
      <c r="H29" s="2">
        <f t="shared" si="4"/>
        <v>1.9645229517594717E-2</v>
      </c>
      <c r="K29" s="3">
        <f t="shared" si="5"/>
        <v>50.555555555555557</v>
      </c>
    </row>
    <row r="30" spans="2:11" x14ac:dyDescent="0.25">
      <c r="B30">
        <v>528</v>
      </c>
      <c r="C30" s="3">
        <v>50</v>
      </c>
      <c r="E30" s="33">
        <f t="shared" si="0"/>
        <v>48.341761904105823</v>
      </c>
      <c r="F30" s="41">
        <f t="shared" si="7"/>
        <v>1.5300000000000018</v>
      </c>
      <c r="G30" s="33">
        <f t="shared" si="1"/>
        <v>49.871761904105824</v>
      </c>
      <c r="H30" s="2">
        <f t="shared" si="4"/>
        <v>1.6445009238563825E-2</v>
      </c>
      <c r="K30" s="3">
        <f t="shared" si="5"/>
        <v>50</v>
      </c>
    </row>
    <row r="31" spans="2:11" x14ac:dyDescent="0.25">
      <c r="B31">
        <v>573</v>
      </c>
      <c r="C31" s="3">
        <v>47.777777777777779</v>
      </c>
      <c r="E31" s="33">
        <f t="shared" si="0"/>
        <v>45.966465564039211</v>
      </c>
      <c r="F31" s="41">
        <f t="shared" si="7"/>
        <v>1.5450000000000017</v>
      </c>
      <c r="G31" s="33">
        <f t="shared" si="1"/>
        <v>47.511465564039213</v>
      </c>
      <c r="H31" s="2">
        <f t="shared" si="4"/>
        <v>7.0922195186335454E-2</v>
      </c>
      <c r="K31" s="3">
        <f t="shared" si="5"/>
        <v>47.777777777777779</v>
      </c>
    </row>
    <row r="32" spans="2:11" x14ac:dyDescent="0.25">
      <c r="B32">
        <v>594</v>
      </c>
      <c r="C32" s="3">
        <v>46.666666666666664</v>
      </c>
      <c r="E32" s="33">
        <f t="shared" si="0"/>
        <v>44.928515443155298</v>
      </c>
      <c r="F32" s="41">
        <f t="shared" si="7"/>
        <v>1.5600000000000016</v>
      </c>
      <c r="G32" s="33">
        <f t="shared" si="1"/>
        <v>46.4885154431553</v>
      </c>
      <c r="H32" s="2">
        <f t="shared" si="4"/>
        <v>3.1737858438595903E-2</v>
      </c>
      <c r="K32" s="3">
        <f t="shared" si="5"/>
        <v>46.666666666666664</v>
      </c>
    </row>
    <row r="33" spans="2:19" x14ac:dyDescent="0.25">
      <c r="B33">
        <v>611</v>
      </c>
      <c r="C33" s="3">
        <v>45.555555555555557</v>
      </c>
      <c r="E33" s="33">
        <f t="shared" si="0"/>
        <v>44.117971865634445</v>
      </c>
      <c r="F33" s="41">
        <f t="shared" si="7"/>
        <v>1.5750000000000015</v>
      </c>
      <c r="G33" s="33">
        <f t="shared" si="1"/>
        <v>45.692971865634448</v>
      </c>
      <c r="H33" s="2">
        <f t="shared" si="4"/>
        <v>1.8883242275697796E-2</v>
      </c>
      <c r="K33" s="3">
        <f t="shared" si="5"/>
        <v>45.555555555555557</v>
      </c>
    </row>
    <row r="34" spans="2:19" x14ac:dyDescent="0.25">
      <c r="B34">
        <v>666</v>
      </c>
      <c r="C34" s="3">
        <v>42.777777777777779</v>
      </c>
      <c r="E34" s="33">
        <f t="shared" si="0"/>
        <v>41.659502454795899</v>
      </c>
      <c r="F34" s="41">
        <f t="shared" si="7"/>
        <v>1.5900000000000014</v>
      </c>
      <c r="G34" s="33">
        <f t="shared" si="1"/>
        <v>43.249502454795902</v>
      </c>
      <c r="H34" s="2">
        <f t="shared" si="4"/>
        <v>0.22252417090785281</v>
      </c>
      <c r="K34" s="3">
        <f t="shared" si="5"/>
        <v>42.777777777777779</v>
      </c>
    </row>
    <row r="35" spans="2:19" x14ac:dyDescent="0.25">
      <c r="B35">
        <v>737</v>
      </c>
      <c r="C35" s="3">
        <v>40</v>
      </c>
      <c r="E35" s="33">
        <f t="shared" si="0"/>
        <v>38.804048864842798</v>
      </c>
      <c r="F35" s="41">
        <f t="shared" si="7"/>
        <v>1.6050000000000013</v>
      </c>
      <c r="G35" s="33">
        <f t="shared" si="1"/>
        <v>40.409048864842802</v>
      </c>
      <c r="H35" s="2">
        <f t="shared" si="4"/>
        <v>0.16732097382918498</v>
      </c>
      <c r="K35" s="3">
        <f t="shared" si="5"/>
        <v>40</v>
      </c>
    </row>
    <row r="36" spans="2:19" x14ac:dyDescent="0.25">
      <c r="B36">
        <v>802</v>
      </c>
      <c r="C36" s="3">
        <v>37.777777777777779</v>
      </c>
      <c r="E36" s="33">
        <f t="shared" si="0"/>
        <v>36.449927486993147</v>
      </c>
      <c r="F36" s="41">
        <f t="shared" si="7"/>
        <v>1.6200000000000012</v>
      </c>
      <c r="G36" s="33">
        <f t="shared" si="1"/>
        <v>38.069927486993151</v>
      </c>
      <c r="H36" s="2">
        <f t="shared" si="4"/>
        <v>8.5351452594626925E-2</v>
      </c>
      <c r="K36" s="3">
        <f t="shared" si="5"/>
        <v>37.777777777777779</v>
      </c>
    </row>
    <row r="37" spans="2:19" x14ac:dyDescent="0.25">
      <c r="B37">
        <v>837</v>
      </c>
      <c r="C37" s="3">
        <v>36.666666666666664</v>
      </c>
      <c r="E37" s="33">
        <f t="shared" si="0"/>
        <v>35.270131656675808</v>
      </c>
      <c r="F37" s="41">
        <f t="shared" si="7"/>
        <v>1.6350000000000011</v>
      </c>
      <c r="G37" s="33">
        <f t="shared" si="1"/>
        <v>36.905131656675806</v>
      </c>
      <c r="H37" s="2">
        <f t="shared" si="4"/>
        <v>5.6865551460060094E-2</v>
      </c>
      <c r="K37" s="3">
        <f t="shared" si="5"/>
        <v>36.666666666666664</v>
      </c>
    </row>
    <row r="38" spans="2:19" x14ac:dyDescent="0.25">
      <c r="B38">
        <v>874</v>
      </c>
      <c r="C38" s="3">
        <v>35.555555555555557</v>
      </c>
      <c r="E38" s="33">
        <f t="shared" si="0"/>
        <v>34.082257595815797</v>
      </c>
      <c r="F38" s="41">
        <f t="shared" si="7"/>
        <v>1.650000000000001</v>
      </c>
      <c r="G38" s="33">
        <f t="shared" si="1"/>
        <v>35.732257595815796</v>
      </c>
      <c r="H38" s="2">
        <f t="shared" si="4"/>
        <v>3.1223611032130911E-2</v>
      </c>
      <c r="K38" s="3">
        <f t="shared" si="5"/>
        <v>35.555555555555557</v>
      </c>
    </row>
    <row r="39" spans="2:19" x14ac:dyDescent="0.25">
      <c r="B39">
        <v>931</v>
      </c>
      <c r="C39" s="3">
        <v>33.888888888888886</v>
      </c>
      <c r="E39" s="33">
        <f t="shared" si="0"/>
        <v>32.359778917868567</v>
      </c>
      <c r="F39" s="41">
        <f t="shared" si="7"/>
        <v>1.6650000000000009</v>
      </c>
      <c r="G39" s="33">
        <f t="shared" si="1"/>
        <v>34.024778917868566</v>
      </c>
      <c r="H39" s="2">
        <f t="shared" si="4"/>
        <v>1.8466099976098466E-2</v>
      </c>
      <c r="K39" s="3">
        <f t="shared" si="5"/>
        <v>33.888888888888886</v>
      </c>
    </row>
    <row r="40" spans="2:19" x14ac:dyDescent="0.25">
      <c r="B40">
        <v>973</v>
      </c>
      <c r="C40" s="3">
        <v>32.777777777777779</v>
      </c>
      <c r="E40" s="33">
        <f t="shared" si="0"/>
        <v>31.165645239518565</v>
      </c>
      <c r="F40" s="41">
        <f t="shared" si="7"/>
        <v>1.6800000000000008</v>
      </c>
      <c r="G40" s="33">
        <f t="shared" si="1"/>
        <v>32.845645239518568</v>
      </c>
      <c r="H40" s="2">
        <f t="shared" si="4"/>
        <v>4.6059923631374972E-3</v>
      </c>
      <c r="K40" s="3">
        <f t="shared" si="5"/>
        <v>32.777777777777779</v>
      </c>
    </row>
    <row r="41" spans="2:19" x14ac:dyDescent="0.25">
      <c r="B41">
        <v>1020</v>
      </c>
      <c r="C41" s="3">
        <v>31.666666666666664</v>
      </c>
      <c r="E41" s="33">
        <f t="shared" si="0"/>
        <v>29.897120333647258</v>
      </c>
      <c r="F41" s="41">
        <f t="shared" si="7"/>
        <v>1.6950000000000007</v>
      </c>
      <c r="G41" s="33">
        <f t="shared" si="1"/>
        <v>31.592120333647259</v>
      </c>
      <c r="H41" s="2">
        <f t="shared" si="4"/>
        <v>5.5571557666401232E-3</v>
      </c>
      <c r="K41" s="3">
        <f t="shared" si="5"/>
        <v>31.666666666666664</v>
      </c>
    </row>
    <row r="42" spans="2:19" x14ac:dyDescent="0.25">
      <c r="B42">
        <v>1108</v>
      </c>
      <c r="C42" s="3">
        <v>29.444444444444443</v>
      </c>
      <c r="E42" s="33">
        <f t="shared" si="0"/>
        <v>27.69228033454543</v>
      </c>
      <c r="F42" s="41">
        <f t="shared" si="7"/>
        <v>1.7100000000000006</v>
      </c>
      <c r="G42" s="33">
        <f t="shared" si="1"/>
        <v>29.402280334545431</v>
      </c>
      <c r="H42" s="2">
        <f t="shared" si="4"/>
        <v>1.7778121635759789E-3</v>
      </c>
      <c r="K42" s="3">
        <f t="shared" si="5"/>
        <v>29.444444444444443</v>
      </c>
    </row>
    <row r="43" spans="2:19" x14ac:dyDescent="0.25">
      <c r="B43">
        <v>1170</v>
      </c>
      <c r="C43" s="3">
        <v>28.333333333333332</v>
      </c>
      <c r="E43" s="33">
        <f t="shared" si="0"/>
        <v>26.255961623520534</v>
      </c>
      <c r="F43" s="41">
        <f t="shared" si="7"/>
        <v>1.7250000000000005</v>
      </c>
      <c r="G43" s="33">
        <f t="shared" si="1"/>
        <v>27.980961623520535</v>
      </c>
      <c r="H43" s="2">
        <f t="shared" si="4"/>
        <v>0.12416582187639384</v>
      </c>
      <c r="K43" s="3">
        <f t="shared" si="5"/>
        <v>28.333333333333332</v>
      </c>
    </row>
    <row r="44" spans="2:19" x14ac:dyDescent="0.25">
      <c r="B44">
        <v>1303</v>
      </c>
      <c r="C44" s="3">
        <v>25.555555555555554</v>
      </c>
      <c r="E44" s="33">
        <f t="shared" si="0"/>
        <v>23.449621292778104</v>
      </c>
      <c r="F44" s="41">
        <f t="shared" si="7"/>
        <v>1.7400000000000004</v>
      </c>
      <c r="G44" s="33">
        <f t="shared" si="1"/>
        <v>25.189621292778106</v>
      </c>
      <c r="H44" s="2">
        <f t="shared" si="4"/>
        <v>0.13390788467447373</v>
      </c>
      <c r="K44" s="3">
        <f t="shared" si="5"/>
        <v>25.555555555555554</v>
      </c>
    </row>
    <row r="45" spans="2:19" x14ac:dyDescent="0.25">
      <c r="B45">
        <v>1395</v>
      </c>
      <c r="C45" s="3">
        <v>23.333333333333332</v>
      </c>
      <c r="E45" s="33">
        <f t="shared" si="0"/>
        <v>21.694857206695026</v>
      </c>
      <c r="F45" s="41">
        <f t="shared" si="7"/>
        <v>1.7550000000000003</v>
      </c>
      <c r="G45" s="33">
        <f>E45+F45</f>
        <v>23.449857206695025</v>
      </c>
      <c r="H45" s="2">
        <f t="shared" si="4"/>
        <v>1.3577813063211895E-2</v>
      </c>
      <c r="K45" s="3">
        <f t="shared" si="5"/>
        <v>23.333333333333332</v>
      </c>
    </row>
    <row r="46" spans="2:19" x14ac:dyDescent="0.25">
      <c r="B46" s="6">
        <v>1600</v>
      </c>
      <c r="C46" s="5">
        <f>E46</f>
        <v>18.224429212821313</v>
      </c>
      <c r="D46" s="6"/>
      <c r="E46" s="8">
        <f t="shared" si="0"/>
        <v>18.224429212821313</v>
      </c>
      <c r="F46" s="7">
        <f t="shared" si="7"/>
        <v>1.7700000000000002</v>
      </c>
      <c r="G46" s="8">
        <f t="shared" ref="G46:G48" si="8">E46+F46</f>
        <v>19.994429212821313</v>
      </c>
      <c r="H46" s="2">
        <f t="shared" ref="H46:H48" si="9">(E46-C46)^2</f>
        <v>0</v>
      </c>
      <c r="I46" s="6"/>
      <c r="J46" s="6"/>
      <c r="K46" s="5">
        <f>(E46-32)/1.8</f>
        <v>-7.653094881765937</v>
      </c>
    </row>
    <row r="47" spans="2:19" x14ac:dyDescent="0.25">
      <c r="B47" s="6">
        <v>1800</v>
      </c>
      <c r="C47" s="5">
        <f>E47</f>
        <v>15.303830090007168</v>
      </c>
      <c r="D47" s="6"/>
      <c r="E47" s="8">
        <f t="shared" si="0"/>
        <v>15.303830090007168</v>
      </c>
      <c r="F47" s="7">
        <f>F48+F$50</f>
        <v>1.7850000000000001</v>
      </c>
      <c r="G47" s="8">
        <f t="shared" si="8"/>
        <v>17.088830090007168</v>
      </c>
      <c r="H47" s="2">
        <f t="shared" si="9"/>
        <v>0</v>
      </c>
      <c r="I47" s="6"/>
      <c r="J47" s="6"/>
      <c r="K47" s="5">
        <f>(E47-32)/1.8</f>
        <v>-9.2756499499960174</v>
      </c>
      <c r="R47">
        <v>57</v>
      </c>
      <c r="S47">
        <v>59</v>
      </c>
    </row>
    <row r="48" spans="2:19" x14ac:dyDescent="0.25">
      <c r="B48" s="6">
        <v>2500</v>
      </c>
      <c r="C48" s="5">
        <f>E48</f>
        <v>7.4621182577231409</v>
      </c>
      <c r="D48" s="6"/>
      <c r="E48" s="8">
        <f t="shared" si="0"/>
        <v>7.4621182577231409</v>
      </c>
      <c r="F48" s="7">
        <v>1.8</v>
      </c>
      <c r="G48" s="8">
        <f t="shared" si="8"/>
        <v>9.2621182577231416</v>
      </c>
      <c r="H48" s="2">
        <f t="shared" si="9"/>
        <v>0</v>
      </c>
      <c r="I48" s="6"/>
      <c r="J48" s="6"/>
      <c r="K48" s="5">
        <f>(E48-32)/1.8</f>
        <v>-13.632156523487144</v>
      </c>
      <c r="R48">
        <v>42</v>
      </c>
      <c r="S48">
        <v>45</v>
      </c>
    </row>
    <row r="49" spans="6:19" x14ac:dyDescent="0.25">
      <c r="R49">
        <v>30</v>
      </c>
      <c r="S49">
        <v>32</v>
      </c>
    </row>
    <row r="50" spans="6:19" x14ac:dyDescent="0.25">
      <c r="F50">
        <v>-1.4999999999999999E-2</v>
      </c>
      <c r="H50" s="4">
        <f>SUM(H8:H45)</f>
        <v>2.9318434227459549</v>
      </c>
      <c r="Q50">
        <v>21</v>
      </c>
      <c r="R50">
        <v>22</v>
      </c>
    </row>
    <row r="51" spans="6:19" x14ac:dyDescent="0.25">
      <c r="L51" t="s">
        <v>120</v>
      </c>
      <c r="M51" t="s">
        <v>105</v>
      </c>
      <c r="Q51">
        <v>9</v>
      </c>
      <c r="R51">
        <v>10</v>
      </c>
    </row>
    <row r="52" spans="6:19" x14ac:dyDescent="0.25">
      <c r="L52" s="31" t="s">
        <v>107</v>
      </c>
      <c r="M52">
        <v>100</v>
      </c>
      <c r="N52" s="4">
        <f>M52*1.8+32</f>
        <v>212</v>
      </c>
      <c r="Q52">
        <v>7</v>
      </c>
      <c r="R52">
        <v>8</v>
      </c>
    </row>
    <row r="53" spans="6:19" x14ac:dyDescent="0.25">
      <c r="L53" s="31" t="s">
        <v>103</v>
      </c>
      <c r="M53">
        <v>125</v>
      </c>
      <c r="N53" s="4">
        <f>M53*1.8+32</f>
        <v>257</v>
      </c>
      <c r="Q53">
        <v>5</v>
      </c>
      <c r="R53">
        <v>6</v>
      </c>
    </row>
    <row r="54" spans="6:19" x14ac:dyDescent="0.25">
      <c r="L54" s="31" t="s">
        <v>104</v>
      </c>
      <c r="M54">
        <v>135</v>
      </c>
      <c r="N54" s="4">
        <f>M54*1.8+32</f>
        <v>275</v>
      </c>
    </row>
    <row r="56" spans="6:19" x14ac:dyDescent="0.25">
      <c r="L56" s="31" t="s">
        <v>103</v>
      </c>
      <c r="M56">
        <v>135</v>
      </c>
      <c r="N56" s="4">
        <f>M56*1.8+32</f>
        <v>275</v>
      </c>
    </row>
  </sheetData>
  <sortState xmlns:xlrd2="http://schemas.microsoft.com/office/spreadsheetml/2017/richdata2" ref="B8:H48">
    <sortCondition ref="B8:B48"/>
  </sortState>
  <pageMargins left="0.7" right="0.7" top="0.75" bottom="0.75" header="0.3" footer="0.3"/>
  <pageSetup paperSize="9" orientation="portrait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F49D-8C3A-42CF-AA09-87F9A0902ABA}">
  <dimension ref="B1:M64"/>
  <sheetViews>
    <sheetView zoomScale="70" zoomScaleNormal="70" workbookViewId="0">
      <selection activeCell="R41" sqref="R41"/>
    </sheetView>
  </sheetViews>
  <sheetFormatPr defaultRowHeight="15" x14ac:dyDescent="0.25"/>
  <cols>
    <col min="8" max="8" width="9.5703125" bestFit="1" customWidth="1"/>
    <col min="9" max="9" width="13.7109375" bestFit="1" customWidth="1"/>
    <col min="11" max="11" width="12" bestFit="1" customWidth="1"/>
  </cols>
  <sheetData>
    <row r="1" spans="2:13" x14ac:dyDescent="0.25">
      <c r="B1" t="s">
        <v>13</v>
      </c>
      <c r="G1" t="s">
        <v>14</v>
      </c>
      <c r="H1" t="s">
        <v>15</v>
      </c>
      <c r="I1" t="s">
        <v>16</v>
      </c>
    </row>
    <row r="2" spans="2:13" x14ac:dyDescent="0.25">
      <c r="B2">
        <v>6.8947599999999998E-2</v>
      </c>
      <c r="G2" s="35">
        <v>-0.29666662644569519</v>
      </c>
      <c r="H2" s="32">
        <v>2.5286608389334247E-2</v>
      </c>
      <c r="I2" s="36">
        <v>3.5048588958920229E-5</v>
      </c>
    </row>
    <row r="3" spans="2:13" x14ac:dyDescent="0.25">
      <c r="K3" s="34">
        <v>2E-3</v>
      </c>
    </row>
    <row r="4" spans="2:13" x14ac:dyDescent="0.25">
      <c r="B4" t="s">
        <v>7</v>
      </c>
      <c r="C4" t="s">
        <v>17</v>
      </c>
      <c r="I4" t="s">
        <v>121</v>
      </c>
    </row>
    <row r="5" spans="2:13" x14ac:dyDescent="0.25">
      <c r="B5" s="3">
        <v>11</v>
      </c>
      <c r="C5" s="2">
        <v>0</v>
      </c>
      <c r="E5" s="3">
        <f t="shared" ref="E5:E34" si="0">ppolA+ppolB*B5+ppolC*B5^2</f>
        <v>-1.4273054898989151E-2</v>
      </c>
      <c r="G5" s="3">
        <f t="shared" ref="G5:G33" si="1">(E5-C5)^2</f>
        <v>2.0372009614955819E-4</v>
      </c>
      <c r="I5" s="2">
        <f t="shared" ref="I5:I34" si="2">C5/PsiToBar</f>
        <v>0</v>
      </c>
      <c r="K5">
        <v>0</v>
      </c>
      <c r="L5" s="3">
        <f>K5+E5</f>
        <v>-1.4273054898989151E-2</v>
      </c>
      <c r="M5" s="34">
        <f>(L5-C5)^2</f>
        <v>2.0372009614955819E-4</v>
      </c>
    </row>
    <row r="6" spans="2:13" x14ac:dyDescent="0.25">
      <c r="B6" s="3">
        <v>21</v>
      </c>
      <c r="C6" s="2">
        <v>0.27579039999999999</v>
      </c>
      <c r="E6" s="3">
        <f t="shared" si="0"/>
        <v>0.24980857746120785</v>
      </c>
      <c r="G6" s="3">
        <f t="shared" si="1"/>
        <v>6.7505510243728709E-4</v>
      </c>
      <c r="I6" s="2">
        <f t="shared" si="2"/>
        <v>4</v>
      </c>
      <c r="K6">
        <f>K5+K$3</f>
        <v>2E-3</v>
      </c>
      <c r="L6" s="3">
        <f t="shared" ref="L6:L33" si="3">K6+E6</f>
        <v>0.25180857746120783</v>
      </c>
      <c r="M6" s="34">
        <f t="shared" ref="M6:M33" si="4">(L6-C6)^2</f>
        <v>5.7512781228211986E-4</v>
      </c>
    </row>
    <row r="7" spans="2:13" x14ac:dyDescent="0.25">
      <c r="B7" s="3">
        <v>24.9</v>
      </c>
      <c r="C7" s="2">
        <v>0.34473799999999999</v>
      </c>
      <c r="E7" s="3">
        <f t="shared" si="0"/>
        <v>0.35470039808914772</v>
      </c>
      <c r="G7" s="3">
        <f t="shared" si="1"/>
        <v>9.924937568665431E-5</v>
      </c>
      <c r="I7" s="2">
        <f t="shared" si="2"/>
        <v>5</v>
      </c>
      <c r="K7">
        <f t="shared" ref="K7:K33" si="5">K6+K$3</f>
        <v>4.0000000000000001E-3</v>
      </c>
      <c r="L7" s="3">
        <f t="shared" si="3"/>
        <v>0.35870039808914772</v>
      </c>
      <c r="M7" s="34">
        <f t="shared" si="4"/>
        <v>1.9494856039983623E-4</v>
      </c>
    </row>
    <row r="8" spans="2:13" x14ac:dyDescent="0.25">
      <c r="B8" s="3">
        <v>31.8</v>
      </c>
      <c r="C8" s="2">
        <v>0.55158079999999998</v>
      </c>
      <c r="E8" s="3">
        <f t="shared" si="0"/>
        <v>0.5428900554339523</v>
      </c>
      <c r="G8" s="3">
        <f t="shared" si="1"/>
        <v>7.5529041112287296E-5</v>
      </c>
      <c r="I8" s="2">
        <f t="shared" si="2"/>
        <v>8</v>
      </c>
      <c r="K8">
        <f t="shared" si="5"/>
        <v>6.0000000000000001E-3</v>
      </c>
      <c r="L8" s="3">
        <f t="shared" si="3"/>
        <v>0.54889005543395231</v>
      </c>
      <c r="M8" s="34">
        <f t="shared" si="4"/>
        <v>7.2401063197150958E-6</v>
      </c>
    </row>
    <row r="9" spans="2:13" x14ac:dyDescent="0.25">
      <c r="B9" s="3">
        <v>38.799999999999997</v>
      </c>
      <c r="C9" s="2">
        <v>0.75842359999999998</v>
      </c>
      <c r="E9" s="3">
        <f t="shared" si="0"/>
        <v>0.7372173268227904</v>
      </c>
      <c r="G9" s="3">
        <f t="shared" si="1"/>
        <v>4.4970602206643843E-4</v>
      </c>
      <c r="I9" s="2">
        <f t="shared" si="2"/>
        <v>11</v>
      </c>
      <c r="K9">
        <f t="shared" si="5"/>
        <v>8.0000000000000002E-3</v>
      </c>
      <c r="L9" s="3">
        <f t="shared" si="3"/>
        <v>0.7452173268227904</v>
      </c>
      <c r="M9" s="34">
        <f t="shared" si="4"/>
        <v>1.7440565123108496E-4</v>
      </c>
    </row>
    <row r="10" spans="2:13" x14ac:dyDescent="0.25">
      <c r="B10" s="3">
        <v>45.8</v>
      </c>
      <c r="C10" s="2">
        <v>0.89631879999999997</v>
      </c>
      <c r="E10" s="3">
        <f t="shared" si="0"/>
        <v>0.93497935992960268</v>
      </c>
      <c r="G10" s="3">
        <f t="shared" si="1"/>
        <v>1.4946388940704027E-3</v>
      </c>
      <c r="I10" s="2">
        <f t="shared" si="2"/>
        <v>13</v>
      </c>
      <c r="K10">
        <f t="shared" si="5"/>
        <v>0.01</v>
      </c>
      <c r="L10" s="3">
        <f t="shared" si="3"/>
        <v>0.94497935992960269</v>
      </c>
      <c r="M10" s="34">
        <f t="shared" si="4"/>
        <v>2.3678500926624579E-3</v>
      </c>
    </row>
    <row r="11" spans="2:13" x14ac:dyDescent="0.25">
      <c r="B11" s="3">
        <v>50.4</v>
      </c>
      <c r="C11" s="2">
        <v>1.034214</v>
      </c>
      <c r="E11" s="3">
        <f t="shared" si="0"/>
        <v>1.0668074601066415</v>
      </c>
      <c r="G11" s="3">
        <f t="shared" si="1"/>
        <v>1.062333641723234E-3</v>
      </c>
      <c r="I11" s="2">
        <f t="shared" si="2"/>
        <v>15</v>
      </c>
      <c r="K11">
        <f t="shared" si="5"/>
        <v>1.2E-2</v>
      </c>
      <c r="L11" s="3">
        <f t="shared" si="3"/>
        <v>1.0788074601066415</v>
      </c>
      <c r="M11" s="34">
        <f t="shared" si="4"/>
        <v>1.988576684282632E-3</v>
      </c>
    </row>
    <row r="12" spans="2:13" x14ac:dyDescent="0.25">
      <c r="B12" s="3">
        <v>55</v>
      </c>
      <c r="C12" s="2">
        <v>1.1721092</v>
      </c>
      <c r="E12" s="3">
        <f t="shared" si="0"/>
        <v>1.2001188165684222</v>
      </c>
      <c r="G12" s="3">
        <f t="shared" si="1"/>
        <v>7.8453862031003531E-4</v>
      </c>
      <c r="I12" s="2">
        <f t="shared" si="2"/>
        <v>17</v>
      </c>
      <c r="K12">
        <f t="shared" si="5"/>
        <v>1.4E-2</v>
      </c>
      <c r="L12" s="3">
        <f t="shared" si="3"/>
        <v>1.2141188165684222</v>
      </c>
      <c r="M12" s="34">
        <f t="shared" si="4"/>
        <v>1.7648078842258598E-3</v>
      </c>
    </row>
    <row r="13" spans="2:13" x14ac:dyDescent="0.25">
      <c r="B13" s="3">
        <v>57.4</v>
      </c>
      <c r="C13" s="2">
        <v>1.3100044</v>
      </c>
      <c r="E13" s="3">
        <f t="shared" si="0"/>
        <v>1.2702613840603827</v>
      </c>
      <c r="G13" s="3">
        <f t="shared" si="1"/>
        <v>1.5795073159766721E-3</v>
      </c>
      <c r="I13" s="2">
        <f t="shared" si="2"/>
        <v>19</v>
      </c>
      <c r="K13">
        <f t="shared" si="5"/>
        <v>1.6E-2</v>
      </c>
      <c r="L13" s="3">
        <f t="shared" si="3"/>
        <v>1.2862613840603827</v>
      </c>
      <c r="M13" s="34">
        <f t="shared" si="4"/>
        <v>5.6373080590891883E-4</v>
      </c>
    </row>
    <row r="14" spans="2:13" x14ac:dyDescent="0.25">
      <c r="B14" s="3">
        <v>64.400000000000006</v>
      </c>
      <c r="C14" s="2">
        <v>1.5168472</v>
      </c>
      <c r="E14" s="3">
        <f t="shared" si="0"/>
        <v>1.4771500697320978</v>
      </c>
      <c r="G14" s="3">
        <f t="shared" si="1"/>
        <v>1.5758621515067901E-3</v>
      </c>
      <c r="I14" s="2">
        <f t="shared" si="2"/>
        <v>22</v>
      </c>
      <c r="K14">
        <f t="shared" si="5"/>
        <v>1.8000000000000002E-2</v>
      </c>
      <c r="L14" s="3">
        <f t="shared" si="3"/>
        <v>1.4951500697320979</v>
      </c>
      <c r="M14" s="34">
        <f t="shared" si="4"/>
        <v>4.7076546186231336E-4</v>
      </c>
    </row>
    <row r="15" spans="2:13" x14ac:dyDescent="0.25">
      <c r="B15" s="3">
        <v>69</v>
      </c>
      <c r="C15" s="2">
        <v>1.6547423999999999</v>
      </c>
      <c r="E15" s="3">
        <f t="shared" si="0"/>
        <v>1.6149756844517871</v>
      </c>
      <c r="G15" s="3">
        <f t="shared" si="1"/>
        <v>1.5813916654924753E-3</v>
      </c>
      <c r="I15" s="2">
        <f t="shared" si="2"/>
        <v>24</v>
      </c>
      <c r="K15">
        <f t="shared" si="5"/>
        <v>2.0000000000000004E-2</v>
      </c>
      <c r="L15" s="3">
        <f t="shared" si="3"/>
        <v>1.6349756844517871</v>
      </c>
      <c r="M15" s="34">
        <f t="shared" si="4"/>
        <v>3.9072304356395978E-4</v>
      </c>
    </row>
    <row r="16" spans="2:13" x14ac:dyDescent="0.25">
      <c r="B16" s="3">
        <v>78.3</v>
      </c>
      <c r="C16" s="2">
        <v>1.9305327999999999</v>
      </c>
      <c r="E16" s="3">
        <f t="shared" si="0"/>
        <v>1.8981538540015308</v>
      </c>
      <c r="G16" s="3">
        <f t="shared" si="1"/>
        <v>1.0483961439717803E-3</v>
      </c>
      <c r="I16" s="2">
        <f t="shared" si="2"/>
        <v>28</v>
      </c>
      <c r="K16">
        <f t="shared" si="5"/>
        <v>2.2000000000000006E-2</v>
      </c>
      <c r="L16" s="3">
        <f t="shared" si="3"/>
        <v>1.9201538540015308</v>
      </c>
      <c r="M16" s="34">
        <f t="shared" si="4"/>
        <v>1.0772252003913802E-4</v>
      </c>
    </row>
    <row r="17" spans="2:13" x14ac:dyDescent="0.25">
      <c r="B17" s="3">
        <v>82.9</v>
      </c>
      <c r="C17" s="2">
        <v>2.0684279999999999</v>
      </c>
      <c r="E17" s="3">
        <f t="shared" si="0"/>
        <v>2.0404614822772871</v>
      </c>
      <c r="G17" s="3">
        <f t="shared" si="1"/>
        <v>7.8212611353481237E-4</v>
      </c>
      <c r="I17" s="2">
        <f t="shared" si="2"/>
        <v>30</v>
      </c>
      <c r="K17">
        <f t="shared" si="5"/>
        <v>2.4000000000000007E-2</v>
      </c>
      <c r="L17" s="3">
        <f t="shared" si="3"/>
        <v>2.0644614822772871</v>
      </c>
      <c r="M17" s="34">
        <f t="shared" si="4"/>
        <v>1.5733262844595027E-5</v>
      </c>
    </row>
    <row r="18" spans="2:13" x14ac:dyDescent="0.25">
      <c r="B18" s="3">
        <v>87.5</v>
      </c>
      <c r="C18" s="2">
        <v>2.2752707999999999</v>
      </c>
      <c r="E18" s="3">
        <f t="shared" si="0"/>
        <v>2.1842523668377845</v>
      </c>
      <c r="G18" s="3">
        <f t="shared" si="1"/>
        <v>8.2843551753046859E-3</v>
      </c>
      <c r="I18" s="2">
        <f t="shared" si="2"/>
        <v>33</v>
      </c>
      <c r="K18">
        <f t="shared" si="5"/>
        <v>2.6000000000000009E-2</v>
      </c>
      <c r="L18" s="3">
        <f t="shared" si="3"/>
        <v>2.2102523668377843</v>
      </c>
      <c r="M18" s="34">
        <f t="shared" si="4"/>
        <v>4.2273966508695063E-3</v>
      </c>
    </row>
    <row r="19" spans="2:13" x14ac:dyDescent="0.25">
      <c r="B19" s="3">
        <v>94.5</v>
      </c>
      <c r="C19" s="2">
        <v>2.4131659999999999</v>
      </c>
      <c r="E19" s="3">
        <f t="shared" si="0"/>
        <v>2.4059105278967885</v>
      </c>
      <c r="G19" s="3">
        <f t="shared" si="1"/>
        <v>5.264187544047921E-5</v>
      </c>
      <c r="I19" s="2">
        <f t="shared" si="2"/>
        <v>35</v>
      </c>
      <c r="K19">
        <f t="shared" si="5"/>
        <v>2.8000000000000011E-2</v>
      </c>
      <c r="L19" s="3">
        <f t="shared" si="3"/>
        <v>2.4339105278967885</v>
      </c>
      <c r="M19" s="34">
        <f t="shared" si="4"/>
        <v>4.3033543766064048E-4</v>
      </c>
    </row>
    <row r="20" spans="2:13" x14ac:dyDescent="0.25">
      <c r="B20" s="3">
        <v>96.8</v>
      </c>
      <c r="C20" s="2">
        <v>2.4821135999999999</v>
      </c>
      <c r="E20" s="3">
        <f t="shared" si="0"/>
        <v>2.4794907558482926</v>
      </c>
      <c r="G20" s="3">
        <f t="shared" si="1"/>
        <v>6.8793114441453245E-6</v>
      </c>
      <c r="I20" s="2">
        <f t="shared" si="2"/>
        <v>36</v>
      </c>
      <c r="K20">
        <f t="shared" si="5"/>
        <v>3.0000000000000013E-2</v>
      </c>
      <c r="L20" s="3">
        <f t="shared" si="3"/>
        <v>2.5094907558482924</v>
      </c>
      <c r="M20" s="34">
        <f t="shared" si="4"/>
        <v>7.4950866234169502E-4</v>
      </c>
    </row>
    <row r="21" spans="2:13" x14ac:dyDescent="0.25">
      <c r="B21" s="3">
        <v>103.7</v>
      </c>
      <c r="C21" s="2">
        <v>2.7579039999999999</v>
      </c>
      <c r="E21" s="3">
        <f t="shared" si="0"/>
        <v>2.7024563241299173</v>
      </c>
      <c r="G21" s="3">
        <f t="shared" si="1"/>
        <v>3.0744447593937393E-3</v>
      </c>
      <c r="I21" s="2">
        <f t="shared" si="2"/>
        <v>40</v>
      </c>
      <c r="K21">
        <f t="shared" si="5"/>
        <v>3.2000000000000015E-2</v>
      </c>
      <c r="L21" s="3">
        <f t="shared" si="3"/>
        <v>2.7344563241299173</v>
      </c>
      <c r="M21" s="34">
        <f t="shared" si="4"/>
        <v>5.4979350370845204E-4</v>
      </c>
    </row>
    <row r="22" spans="2:13" x14ac:dyDescent="0.25">
      <c r="B22" s="3">
        <v>108.4</v>
      </c>
      <c r="C22" s="2">
        <v>2.8957991999999999</v>
      </c>
      <c r="E22" s="3">
        <f t="shared" si="0"/>
        <v>2.8562422704352666</v>
      </c>
      <c r="G22" s="3">
        <f t="shared" si="1"/>
        <v>1.5647506765892741E-3</v>
      </c>
      <c r="I22" s="2">
        <f t="shared" si="2"/>
        <v>42</v>
      </c>
      <c r="K22">
        <f t="shared" si="5"/>
        <v>3.4000000000000016E-2</v>
      </c>
      <c r="L22" s="3">
        <f t="shared" si="3"/>
        <v>2.8902422704352664</v>
      </c>
      <c r="M22" s="34">
        <f t="shared" si="4"/>
        <v>3.0879466187409531E-5</v>
      </c>
    </row>
    <row r="23" spans="2:13" x14ac:dyDescent="0.25">
      <c r="B23" s="3">
        <v>113</v>
      </c>
      <c r="C23" s="2">
        <v>3.0336943999999999</v>
      </c>
      <c r="E23" s="3">
        <f t="shared" si="0"/>
        <v>3.0082555539655269</v>
      </c>
      <c r="G23" s="3">
        <f t="shared" si="1"/>
        <v>6.471348875656224E-4</v>
      </c>
      <c r="I23" s="2">
        <f t="shared" si="2"/>
        <v>44</v>
      </c>
      <c r="K23">
        <f t="shared" si="5"/>
        <v>3.6000000000000018E-2</v>
      </c>
      <c r="L23" s="3">
        <f t="shared" si="3"/>
        <v>3.0442555539655269</v>
      </c>
      <c r="M23" s="34">
        <f t="shared" si="4"/>
        <v>1.1153797308356746E-4</v>
      </c>
    </row>
    <row r="24" spans="2:13" x14ac:dyDescent="0.25">
      <c r="B24" s="3">
        <v>117.7</v>
      </c>
      <c r="C24" s="2">
        <v>3.1715895999999999</v>
      </c>
      <c r="E24" s="3">
        <f t="shared" si="0"/>
        <v>3.1651054479176661</v>
      </c>
      <c r="G24" s="3">
        <f t="shared" si="1"/>
        <v>4.2044228226833387E-5</v>
      </c>
      <c r="I24" s="2">
        <f t="shared" si="2"/>
        <v>46</v>
      </c>
      <c r="K24">
        <f t="shared" si="5"/>
        <v>3.800000000000002E-2</v>
      </c>
      <c r="L24" s="3">
        <f t="shared" si="3"/>
        <v>3.2031054479176659</v>
      </c>
      <c r="M24" s="34">
        <f t="shared" si="4"/>
        <v>9.9324866996945487E-4</v>
      </c>
    </row>
    <row r="25" spans="2:13" x14ac:dyDescent="0.25">
      <c r="B25" s="3">
        <v>119</v>
      </c>
      <c r="C25" s="2">
        <v>3.2405371999999999</v>
      </c>
      <c r="E25" s="3">
        <f t="shared" si="0"/>
        <v>3.2087628401323496</v>
      </c>
      <c r="G25" s="3">
        <f t="shared" si="1"/>
        <v>1.009609944998947E-3</v>
      </c>
      <c r="I25" s="2">
        <f t="shared" si="2"/>
        <v>47</v>
      </c>
      <c r="K25">
        <f t="shared" si="5"/>
        <v>4.0000000000000022E-2</v>
      </c>
      <c r="L25" s="3">
        <f t="shared" si="3"/>
        <v>3.2487628401323496</v>
      </c>
      <c r="M25" s="34">
        <f t="shared" si="4"/>
        <v>6.7661155586922335E-5</v>
      </c>
    </row>
    <row r="26" spans="2:13" x14ac:dyDescent="0.25">
      <c r="B26" s="3">
        <v>124.6</v>
      </c>
      <c r="C26" s="2">
        <v>3.4473799999999999</v>
      </c>
      <c r="E26" s="3">
        <f t="shared" si="0"/>
        <v>3.398179730226822</v>
      </c>
      <c r="G26" s="3">
        <f t="shared" si="1"/>
        <v>2.4206665457534859E-3</v>
      </c>
      <c r="I26" s="2">
        <f t="shared" si="2"/>
        <v>50</v>
      </c>
      <c r="K26">
        <f t="shared" si="5"/>
        <v>4.2000000000000023E-2</v>
      </c>
      <c r="L26" s="3">
        <f t="shared" si="3"/>
        <v>3.4401797302268218</v>
      </c>
      <c r="M26" s="34">
        <f t="shared" si="4"/>
        <v>5.1843884806542411E-5</v>
      </c>
    </row>
    <row r="27" spans="2:13" x14ac:dyDescent="0.25">
      <c r="B27" s="3">
        <v>129.19999999999999</v>
      </c>
      <c r="C27" s="2">
        <v>3.5852751999999999</v>
      </c>
      <c r="E27" s="3">
        <f t="shared" si="0"/>
        <v>3.5554166554555193</v>
      </c>
      <c r="G27" s="3">
        <f t="shared" si="1"/>
        <v>8.9153268231472978E-4</v>
      </c>
      <c r="I27" s="2">
        <f t="shared" si="2"/>
        <v>52</v>
      </c>
      <c r="K27">
        <f t="shared" si="5"/>
        <v>4.4000000000000025E-2</v>
      </c>
      <c r="L27" s="3">
        <f t="shared" si="3"/>
        <v>3.5994166554555194</v>
      </c>
      <c r="M27" s="34">
        <f t="shared" si="4"/>
        <v>1.9998076240044168E-4</v>
      </c>
    </row>
    <row r="28" spans="2:13" x14ac:dyDescent="0.25">
      <c r="B28" s="3">
        <v>129.19999999999999</v>
      </c>
      <c r="C28" s="2">
        <v>3.5852751999999999</v>
      </c>
      <c r="E28" s="3">
        <f t="shared" si="0"/>
        <v>3.5554166554555193</v>
      </c>
      <c r="G28" s="3">
        <f t="shared" si="1"/>
        <v>8.9153268231472978E-4</v>
      </c>
      <c r="I28" s="2">
        <f t="shared" si="2"/>
        <v>52</v>
      </c>
      <c r="K28">
        <f t="shared" si="5"/>
        <v>4.6000000000000027E-2</v>
      </c>
      <c r="L28" s="3">
        <f t="shared" si="3"/>
        <v>3.6014166554555191</v>
      </c>
      <c r="M28" s="34">
        <f t="shared" si="4"/>
        <v>2.605465842225125E-4</v>
      </c>
    </row>
    <row r="29" spans="2:13" x14ac:dyDescent="0.25">
      <c r="B29" s="3">
        <v>131.5</v>
      </c>
      <c r="C29" s="2">
        <v>3.7231703999999999</v>
      </c>
      <c r="E29" s="3">
        <f t="shared" si="0"/>
        <v>3.6345913391766467</v>
      </c>
      <c r="G29" s="3">
        <f t="shared" si="1"/>
        <v>7.8462500163473062E-3</v>
      </c>
      <c r="I29" s="2">
        <f t="shared" si="2"/>
        <v>54</v>
      </c>
      <c r="K29">
        <f t="shared" si="5"/>
        <v>4.8000000000000029E-2</v>
      </c>
      <c r="L29" s="3">
        <f t="shared" si="3"/>
        <v>3.6825913391766467</v>
      </c>
      <c r="M29" s="34">
        <f t="shared" si="4"/>
        <v>1.6466601773053955E-3</v>
      </c>
    </row>
    <row r="30" spans="2:13" x14ac:dyDescent="0.25">
      <c r="B30" s="3">
        <v>133.80000000000001</v>
      </c>
      <c r="C30" s="2">
        <v>3.7921179999999999</v>
      </c>
      <c r="E30" s="3">
        <f t="shared" si="0"/>
        <v>3.7141368369689594</v>
      </c>
      <c r="G30" s="3">
        <f t="shared" si="1"/>
        <v>6.081061787673721E-3</v>
      </c>
      <c r="I30" s="2">
        <f t="shared" si="2"/>
        <v>55</v>
      </c>
      <c r="K30">
        <f t="shared" si="5"/>
        <v>5.0000000000000031E-2</v>
      </c>
      <c r="L30" s="3">
        <f t="shared" si="3"/>
        <v>3.7641368369689592</v>
      </c>
      <c r="M30" s="34">
        <f t="shared" si="4"/>
        <v>7.8294548456967882E-4</v>
      </c>
    </row>
    <row r="31" spans="2:13" x14ac:dyDescent="0.25">
      <c r="B31" s="3">
        <v>138.5</v>
      </c>
      <c r="C31" s="2">
        <v>3.9300131999999999</v>
      </c>
      <c r="E31" s="3">
        <f t="shared" si="0"/>
        <v>3.8778394310343454</v>
      </c>
      <c r="G31" s="3">
        <f t="shared" si="1"/>
        <v>2.7221021680814937E-3</v>
      </c>
      <c r="I31" s="2">
        <f t="shared" si="2"/>
        <v>57</v>
      </c>
      <c r="K31">
        <f t="shared" si="5"/>
        <v>5.2000000000000032E-2</v>
      </c>
      <c r="L31" s="3">
        <f t="shared" si="3"/>
        <v>3.9298394310343454</v>
      </c>
      <c r="M31" s="34">
        <f t="shared" si="4"/>
        <v>3.0195653424622242E-8</v>
      </c>
    </row>
    <row r="32" spans="2:13" x14ac:dyDescent="0.25">
      <c r="B32" s="3">
        <v>145.4</v>
      </c>
      <c r="C32" s="2">
        <v>4.1368559999999999</v>
      </c>
      <c r="E32" s="3">
        <f t="shared" si="0"/>
        <v>4.1209740603182698</v>
      </c>
      <c r="G32" s="3">
        <f t="shared" si="1"/>
        <v>2.5223600805411058E-4</v>
      </c>
      <c r="I32" s="2">
        <f t="shared" si="2"/>
        <v>60</v>
      </c>
      <c r="K32">
        <f t="shared" si="5"/>
        <v>5.4000000000000034E-2</v>
      </c>
      <c r="L32" s="3">
        <f t="shared" si="3"/>
        <v>4.1749740603182701</v>
      </c>
      <c r="M32" s="34">
        <f t="shared" si="4"/>
        <v>1.4529865224272892E-3</v>
      </c>
    </row>
    <row r="33" spans="2:13" x14ac:dyDescent="0.25">
      <c r="B33" s="3">
        <v>147.80000000000001</v>
      </c>
      <c r="C33" s="2">
        <v>4.2747511999999999</v>
      </c>
      <c r="E33" s="3">
        <f t="shared" si="0"/>
        <v>4.2063249115312864</v>
      </c>
      <c r="G33" s="3">
        <f t="shared" si="1"/>
        <v>4.6821569536035883E-3</v>
      </c>
      <c r="I33" s="2">
        <f t="shared" si="2"/>
        <v>62</v>
      </c>
      <c r="K33">
        <f t="shared" si="5"/>
        <v>5.6000000000000036E-2</v>
      </c>
      <c r="L33" s="3">
        <f t="shared" si="3"/>
        <v>4.2623249115312865</v>
      </c>
      <c r="M33" s="34">
        <f t="shared" si="4"/>
        <v>1.5441264510767982E-4</v>
      </c>
    </row>
    <row r="34" spans="2:13" x14ac:dyDescent="0.25">
      <c r="B34" s="5">
        <v>180</v>
      </c>
      <c r="C34" s="6"/>
      <c r="D34" s="6"/>
      <c r="E34" s="8">
        <f t="shared" si="0"/>
        <v>5.3904971659034846</v>
      </c>
      <c r="F34" s="6"/>
      <c r="G34" s="7"/>
      <c r="H34" s="8"/>
      <c r="I34" s="7">
        <f t="shared" si="2"/>
        <v>0</v>
      </c>
    </row>
    <row r="36" spans="2:13" x14ac:dyDescent="0.25">
      <c r="B36" s="4"/>
      <c r="G36" s="3">
        <f>SUM(G5:G34)</f>
        <v>5.1881453887145323E-2</v>
      </c>
      <c r="M36" s="3">
        <f>SUM(M5:M34)</f>
        <v>2.0535119757672804E-2</v>
      </c>
    </row>
    <row r="39" spans="2:13" x14ac:dyDescent="0.25">
      <c r="B39" s="4"/>
      <c r="L39" t="s">
        <v>17</v>
      </c>
      <c r="M39" t="s">
        <v>121</v>
      </c>
    </row>
    <row r="40" spans="2:13" x14ac:dyDescent="0.25">
      <c r="B40" s="4"/>
      <c r="K40" s="31" t="s">
        <v>104</v>
      </c>
      <c r="L40">
        <v>5.5</v>
      </c>
      <c r="M40" s="4">
        <f>L40*14.5038</f>
        <v>79.770899999999997</v>
      </c>
    </row>
    <row r="41" spans="2:13" x14ac:dyDescent="0.25">
      <c r="B41" s="4"/>
      <c r="K41" s="31" t="s">
        <v>103</v>
      </c>
      <c r="L41" s="3">
        <v>5</v>
      </c>
      <c r="M41" s="4">
        <f>L41*14.5038</f>
        <v>72.519000000000005</v>
      </c>
    </row>
    <row r="42" spans="2:13" x14ac:dyDescent="0.25">
      <c r="B42" s="4"/>
      <c r="K42" s="31" t="s">
        <v>102</v>
      </c>
      <c r="L42">
        <v>1.3</v>
      </c>
      <c r="M42" s="4">
        <f>L42*14.5038</f>
        <v>18.854939999999999</v>
      </c>
    </row>
    <row r="43" spans="2:13" x14ac:dyDescent="0.25">
      <c r="B43" s="4"/>
      <c r="K43" s="31" t="s">
        <v>106</v>
      </c>
      <c r="L43">
        <v>0.8</v>
      </c>
      <c r="M43" s="4">
        <f>L43*14.5038</f>
        <v>11.60304</v>
      </c>
    </row>
    <row r="44" spans="2:13" x14ac:dyDescent="0.25">
      <c r="B44" s="4"/>
    </row>
    <row r="45" spans="2:13" x14ac:dyDescent="0.25">
      <c r="B45" s="4"/>
    </row>
    <row r="46" spans="2:13" x14ac:dyDescent="0.25">
      <c r="B46" s="4"/>
    </row>
    <row r="47" spans="2:13" x14ac:dyDescent="0.25">
      <c r="B47" s="4"/>
    </row>
    <row r="48" spans="2:13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</sheetData>
  <sortState xmlns:xlrd2="http://schemas.microsoft.com/office/spreadsheetml/2017/richdata2" ref="B5:G33">
    <sortCondition ref="B5:B33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58717-C5D7-4239-91FE-70F1BC01BC7C}">
  <dimension ref="B1:H18"/>
  <sheetViews>
    <sheetView zoomScaleNormal="100" workbookViewId="0">
      <selection activeCell="C12" sqref="C12"/>
    </sheetView>
  </sheetViews>
  <sheetFormatPr defaultRowHeight="15" x14ac:dyDescent="0.25"/>
  <cols>
    <col min="2" max="2" width="10.140625" bestFit="1" customWidth="1"/>
  </cols>
  <sheetData>
    <row r="1" spans="2:8" x14ac:dyDescent="0.25">
      <c r="G1" t="s">
        <v>5</v>
      </c>
      <c r="H1" t="s">
        <v>99</v>
      </c>
    </row>
    <row r="2" spans="2:8" x14ac:dyDescent="0.25">
      <c r="B2" t="s">
        <v>144</v>
      </c>
      <c r="C2">
        <v>12</v>
      </c>
      <c r="D2" t="s">
        <v>6</v>
      </c>
      <c r="G2">
        <v>4</v>
      </c>
      <c r="H2">
        <v>0</v>
      </c>
    </row>
    <row r="3" spans="2:8" x14ac:dyDescent="0.25">
      <c r="B3" t="s">
        <v>81</v>
      </c>
      <c r="C3">
        <v>4</v>
      </c>
      <c r="D3" t="s">
        <v>5</v>
      </c>
      <c r="G3">
        <v>5</v>
      </c>
      <c r="H3">
        <v>62.5</v>
      </c>
    </row>
    <row r="4" spans="2:8" x14ac:dyDescent="0.25">
      <c r="B4" t="s">
        <v>82</v>
      </c>
      <c r="C4">
        <v>20</v>
      </c>
      <c r="D4" t="s">
        <v>5</v>
      </c>
      <c r="G4">
        <v>6</v>
      </c>
      <c r="H4">
        <v>125</v>
      </c>
    </row>
    <row r="5" spans="2:8" x14ac:dyDescent="0.25">
      <c r="B5" t="s">
        <v>1</v>
      </c>
      <c r="C5">
        <v>47</v>
      </c>
      <c r="D5" t="s">
        <v>7</v>
      </c>
      <c r="G5">
        <v>7</v>
      </c>
      <c r="H5">
        <v>187.5</v>
      </c>
    </row>
    <row r="6" spans="2:8" x14ac:dyDescent="0.25">
      <c r="G6">
        <v>8</v>
      </c>
      <c r="H6">
        <v>250</v>
      </c>
    </row>
    <row r="7" spans="2:8" x14ac:dyDescent="0.25">
      <c r="B7" t="s">
        <v>145</v>
      </c>
      <c r="C7">
        <f>(C3/1000)*C5</f>
        <v>0.188</v>
      </c>
      <c r="G7">
        <v>9</v>
      </c>
      <c r="H7">
        <v>312.5</v>
      </c>
    </row>
    <row r="8" spans="2:8" x14ac:dyDescent="0.25">
      <c r="B8" t="s">
        <v>146</v>
      </c>
      <c r="C8">
        <f>(C4/1000)*C5</f>
        <v>0.94000000000000006</v>
      </c>
      <c r="G8">
        <v>10</v>
      </c>
      <c r="H8">
        <v>375</v>
      </c>
    </row>
    <row r="9" spans="2:8" x14ac:dyDescent="0.25">
      <c r="B9" t="s">
        <v>147</v>
      </c>
      <c r="C9">
        <f>C2-C8</f>
        <v>11.06</v>
      </c>
      <c r="G9">
        <v>11</v>
      </c>
      <c r="H9">
        <v>437.5</v>
      </c>
    </row>
    <row r="10" spans="2:8" x14ac:dyDescent="0.25">
      <c r="B10" t="s">
        <v>148</v>
      </c>
      <c r="C10">
        <f>C2-C7</f>
        <v>11.811999999999999</v>
      </c>
      <c r="G10">
        <v>12</v>
      </c>
      <c r="H10">
        <v>500</v>
      </c>
    </row>
    <row r="11" spans="2:8" x14ac:dyDescent="0.25">
      <c r="G11">
        <v>13</v>
      </c>
      <c r="H11">
        <v>562.5</v>
      </c>
    </row>
    <row r="12" spans="2:8" x14ac:dyDescent="0.25">
      <c r="G12">
        <v>14</v>
      </c>
      <c r="H12">
        <v>625</v>
      </c>
    </row>
    <row r="13" spans="2:8" x14ac:dyDescent="0.25">
      <c r="G13">
        <v>15</v>
      </c>
      <c r="H13">
        <v>687.5</v>
      </c>
    </row>
    <row r="14" spans="2:8" x14ac:dyDescent="0.25">
      <c r="B14" t="s">
        <v>14</v>
      </c>
      <c r="C14">
        <v>-250</v>
      </c>
      <c r="G14">
        <v>16</v>
      </c>
      <c r="H14">
        <v>750</v>
      </c>
    </row>
    <row r="15" spans="2:8" x14ac:dyDescent="0.25">
      <c r="B15" t="s">
        <v>15</v>
      </c>
      <c r="C15">
        <v>62.5</v>
      </c>
      <c r="G15">
        <v>17</v>
      </c>
      <c r="H15">
        <v>812.5</v>
      </c>
    </row>
    <row r="16" spans="2:8" x14ac:dyDescent="0.25">
      <c r="G16">
        <v>18</v>
      </c>
      <c r="H16">
        <v>875</v>
      </c>
    </row>
    <row r="17" spans="7:8" x14ac:dyDescent="0.25">
      <c r="G17">
        <v>19</v>
      </c>
      <c r="H17">
        <v>937.5</v>
      </c>
    </row>
    <row r="18" spans="7:8" x14ac:dyDescent="0.25">
      <c r="G18">
        <v>20</v>
      </c>
      <c r="H18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HeadingPairs>
  <TitlesOfParts>
    <vt:vector size="19" baseType="lpstr">
      <vt:lpstr>Calcs</vt:lpstr>
      <vt:lpstr>Pinouts</vt:lpstr>
      <vt:lpstr>Temp</vt:lpstr>
      <vt:lpstr>Pressure</vt:lpstr>
      <vt:lpstr>RotorTemp</vt:lpstr>
      <vt:lpstr>polA</vt:lpstr>
      <vt:lpstr>polB</vt:lpstr>
      <vt:lpstr>polC</vt:lpstr>
      <vt:lpstr>ppolA</vt:lpstr>
      <vt:lpstr>ppolB</vt:lpstr>
      <vt:lpstr>ppolC</vt:lpstr>
      <vt:lpstr>Pinouts!Print_Area</vt:lpstr>
      <vt:lpstr>PsiToBar</vt:lpstr>
      <vt:lpstr>ROTOR_A</vt:lpstr>
      <vt:lpstr>ROTOR_B</vt:lpstr>
      <vt:lpstr>Rref</vt:lpstr>
      <vt:lpstr>Rsensor</vt:lpstr>
      <vt:lpstr>Vin</vt:lpstr>
      <vt:lpstr>Vout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D</dc:creator>
  <cp:lastModifiedBy>Tomasz D</cp:lastModifiedBy>
  <cp:lastPrinted>2023-05-31T14:21:28Z</cp:lastPrinted>
  <dcterms:created xsi:type="dcterms:W3CDTF">2022-09-21T09:22:55Z</dcterms:created>
  <dcterms:modified xsi:type="dcterms:W3CDTF">2023-09-02T08:39:09Z</dcterms:modified>
</cp:coreProperties>
</file>