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0E44054E-46AF-4AC1-A292-AC171036AA3C}" xr6:coauthVersionLast="47" xr6:coauthVersionMax="47" xr10:uidLastSave="{00000000-0000-0000-0000-000000000000}"/>
  <bookViews>
    <workbookView xWindow="38280" yWindow="2025" windowWidth="29040" windowHeight="16440" activeTab="4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</sheets>
  <definedNames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Pinouts!$A$1:$AH$38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3" hidden="1">Pressure!$G$2:$I$2</definedName>
    <definedName name="solver_adj" localSheetId="2" hidden="1">Temp!$E$2:$G$2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Pressure!$M$36</definedName>
    <definedName name="solver_opt" localSheetId="2" hidden="1">Temp!$H$50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G6" i="3" l="1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C15" i="1"/>
  <c r="E15" i="1" s="1"/>
  <c r="G5" i="2" l="1"/>
  <c r="L5" i="2"/>
  <c r="M5" i="2" s="1"/>
  <c r="G6" i="2"/>
  <c r="G36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<sst xmlns="http://schemas.openxmlformats.org/spreadsheetml/2006/main" count="205" uniqueCount="149">
  <si>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</si>
  <si>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</si>
  <si>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</si>
  <si>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</si>
  <si>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</si>
  <si>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</si>
  <si>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</si>
  <si>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</si>
  <si>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</si>
  <si>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</si>
  <si>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</si>
  <si>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</si>
  <si>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</si>
  <si>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</si>
  <si>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</si>
  <si>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</si>
  <si>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</si>
  <si>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</si>
  <si>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</si>
  <si>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</si>
  <si>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</si>
  <si>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</si>
  <si>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</si>
  <si>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</si>
  <si>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</si>
  <si>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</si>
  <si>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</si>
  <si>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GPIO0</t>
  </si>
  <si>
    <t>GPIO1</t>
  </si>
  <si>
    <t>GPIO14</t>
  </si>
  <si>
    <t>GPIO15</t>
  </si>
  <si>
    <t>UART_TX</t>
  </si>
  <si>
    <t>UART_RX</t>
  </si>
  <si>
    <t>Data</t>
  </si>
  <si>
    <t>Clock</t>
  </si>
  <si>
    <t>I2C1</t>
  </si>
  <si>
    <t>I2C0</t>
  </si>
  <si>
    <t>Alternate I2C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</si>
  <si>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</si>
  <si>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</si>
  <si>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</si>
  <si>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</si>
  <si>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</si>
  <si>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</si>
  <si>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</si>
  <si>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</si>
  <si>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</si>
  <si>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</si>
  <si>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</si>
  <si>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</si>
  <si>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</si>
  <si>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</si>
  <si>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</si>
  <si>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</si>
  <si>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</si>
  <si>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</si>
  <si>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</si>
  <si>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</si>
  <si>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</si>
  <si>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</si>
  <si>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</si>
  <si>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</si>
  <si>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</si>
  <si>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</si>
  <si>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</si>
  <si>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</si>
  <si>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</si>
  <si>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</si>
  <si>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</si>
  <si>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</si>
  <si>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</si>
  <si>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</si>
  <si>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</si>
  <si>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</si>
  <si>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</si>
  <si>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</si>
  <si>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</si>
  <si>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</si>
  <si>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</si>
  <si>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vmin</t>
  </si>
  <si>
    <t>vmax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</si>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</sst>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21</xdr:row>
      <xdr:rowOff>19709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76818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A21" sqref="A21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3.31</v>
      </c>
      <c r="D12" t="s">
        <v>6</v>
      </c>
    </row>
    <row r="13" spans="2:19" x14ac:dyDescent="0.25">
      <c r="B13" t="s">
        <v>1</v>
      </c>
      <c r="C13">
        <v>2000</v>
      </c>
      <c r="D13" t="s">
        <v>7</v>
      </c>
    </row>
    <row r="14" spans="2:19" x14ac:dyDescent="0.25">
      <c r="B14" t="s">
        <v>2</v>
      </c>
      <c r="C14">
        <v>1200</v>
      </c>
      <c r="D14" t="s">
        <v>7</v>
      </c>
    </row>
    <row r="15" spans="2:19" x14ac:dyDescent="0.25">
      <c r="B15" t="s">
        <v>3</v>
      </c>
      <c r="C15" s="2">
        <f>Vin*Rsensor/(Rsensor+Rref)</f>
        <v>1.24125</v>
      </c>
      <c r="D15" t="s">
        <v>6</v>
      </c>
      <c r="E15">
        <f>Vout*2</f>
        <v>2.4824999999999999</v>
      </c>
    </row>
    <row r="16" spans="2:19" x14ac:dyDescent="0.25">
      <c r="B16" t="s">
        <v>4</v>
      </c>
    </row>
    <row r="20" spans="2:19" x14ac:dyDescent="0.25">
      <c r="C20" t="s">
        <v>76</v>
      </c>
      <c r="D20" t="s">
        <v>77</v>
      </c>
      <c r="E20" t="s">
        <v>78</v>
      </c>
      <c r="F20" t="s">
        <v>81</v>
      </c>
      <c r="G20" t="s">
        <v>82</v>
      </c>
      <c r="H20" t="s">
        <v>79</v>
      </c>
      <c r="I20" t="s">
        <v>80</v>
      </c>
      <c r="J20" t="s">
        <v>108</v>
      </c>
      <c r="K20" t="s">
        <v>109</v>
      </c>
      <c r="L20" t="s">
        <v>122</v>
      </c>
      <c r="M20" t="s">
        <v>118</v>
      </c>
      <c r="N20" t="s">
        <v>119</v>
      </c>
    </row>
    <row r="21" spans="2:19" x14ac:dyDescent="0.25">
      <c r="B21" s="9" t="s">
        <v>74</v>
      </c>
      <c r="C21">
        <v>2000</v>
      </c>
      <c r="D21">
        <v>20</v>
      </c>
      <c r="E21">
        <v>2500</v>
      </c>
      <c r="F21" s="2">
        <f>Vin/($C21+D21)*1000</f>
        <v>1.6386138613861385</v>
      </c>
      <c r="G21" s="2">
        <f>Vin/($C21+E21)*1000</f>
        <v>0.73555555555555563</v>
      </c>
      <c r="H21" s="2">
        <f>D21*F21/1000</f>
        <v>3.2772277227722767E-2</v>
      </c>
      <c r="I21" s="2">
        <f>E21*G21/1000</f>
        <v>1.8388888888888892</v>
      </c>
      <c r="J21" s="4">
        <f>H21*1000</f>
        <v>32.772277227722768</v>
      </c>
      <c r="K21" s="4">
        <f>I21*1000</f>
        <v>1838.8888888888891</v>
      </c>
      <c r="L21" s="34">
        <f>Vin*G21/1000</f>
        <v>2.4346888888888891E-3</v>
      </c>
      <c r="M21">
        <f>$C21+D21</f>
        <v>2020</v>
      </c>
      <c r="N21">
        <f>$C21+E21</f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75</v>
      </c>
      <c r="C22">
        <v>465</v>
      </c>
      <c r="D22">
        <v>8</v>
      </c>
      <c r="E22">
        <v>200</v>
      </c>
      <c r="F22" s="2">
        <f>Vin/($C22+D22)*1000</f>
        <v>6.9978858350951381</v>
      </c>
      <c r="G22" s="2">
        <f>Vin/($C22+E22)*1000</f>
        <v>4.977443609022556</v>
      </c>
      <c r="H22" s="2">
        <f>D22*F22/1000</f>
        <v>5.5983086680761102E-2</v>
      </c>
      <c r="I22" s="2">
        <f>E22*G22/1000</f>
        <v>0.9954887218045112</v>
      </c>
      <c r="J22" s="4">
        <f>H22*1000</f>
        <v>55.983086680761105</v>
      </c>
      <c r="K22" s="4">
        <f>I22*1000</f>
        <v>995.48872180451121</v>
      </c>
      <c r="L22" s="34">
        <f>Vin*G22/1000</f>
        <v>1.6475338345864659E-2</v>
      </c>
      <c r="M22">
        <f>$C22+D22</f>
        <v>473</v>
      </c>
      <c r="N22">
        <f>$C22+E22</f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5" spans="2:19" x14ac:dyDescent="0.25">
      <c r="B25" t="s">
        <v>97</v>
      </c>
      <c r="C25">
        <v>162</v>
      </c>
      <c r="D25" t="s">
        <v>100</v>
      </c>
      <c r="F25" t="s">
        <v>127</v>
      </c>
    </row>
    <row r="26" spans="2:19" x14ac:dyDescent="0.25">
      <c r="B26" t="s">
        <v>96</v>
      </c>
      <c r="C26" s="38">
        <f>Vin*1000-C25</f>
        <v>3148</v>
      </c>
      <c r="D26" t="s">
        <v>100</v>
      </c>
      <c r="F26" t="s">
        <v>134</v>
      </c>
      <c r="G26" t="s">
        <v>133</v>
      </c>
      <c r="H26" t="s">
        <v>132</v>
      </c>
      <c r="I26" t="s">
        <v>131</v>
      </c>
      <c r="J26" t="s">
        <v>130</v>
      </c>
      <c r="K26" t="s">
        <v>129</v>
      </c>
      <c r="L26" t="s">
        <v>128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1.5740000000000001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102.92249047013976</v>
      </c>
      <c r="D29" t="s">
        <v>7</v>
      </c>
    </row>
    <row r="30" spans="2:19" x14ac:dyDescent="0.25">
      <c r="B30" t="s">
        <v>98</v>
      </c>
      <c r="C30" s="40">
        <f>polA+polB*LN(C29)+polC*(LN(C29))^3</f>
        <v>100.2536849560461</v>
      </c>
      <c r="D30" t="s">
        <v>99</v>
      </c>
    </row>
    <row r="31" spans="2:19" x14ac:dyDescent="0.25">
      <c r="B31" t="s">
        <v>142</v>
      </c>
      <c r="C31" s="40">
        <f>ppolA+ppolB*C29+ppolC*C29^2</f>
        <v>2.6771651558268528</v>
      </c>
      <c r="D31" t="s">
        <v>17</v>
      </c>
    </row>
    <row r="33" spans="2:4" x14ac:dyDescent="0.25">
      <c r="B33" t="s">
        <v>139</v>
      </c>
    </row>
    <row r="34" spans="2:4" x14ac:dyDescent="0.25">
      <c r="B34" t="s">
        <v>140</v>
      </c>
      <c r="C34" t="s">
        <v>141</v>
      </c>
      <c r="D34" t="s">
        <v>100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sheetPr>
    <pageSetUpPr fitToPage="1"/>
  </sheetPr>
  <dimension ref="B1:Q30"/>
  <sheetViews>
    <sheetView zoomScale="85" zoomScaleNormal="85" workbookViewId="0">
      <selection activeCell="E30" sqref="E30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9.85546875" bestFit="1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95</v>
      </c>
      <c r="G2" t="s">
        <v>51</v>
      </c>
      <c r="L2" t="s">
        <v>56</v>
      </c>
      <c r="M2">
        <v>1</v>
      </c>
      <c r="N2" s="14" t="s">
        <v>53</v>
      </c>
      <c r="O2" s="15" t="s">
        <v>52</v>
      </c>
      <c r="P2">
        <v>2</v>
      </c>
      <c r="Q2" t="s">
        <v>70</v>
      </c>
    </row>
    <row r="3" spans="2:17" x14ac:dyDescent="0.25">
      <c r="B3" t="s">
        <v>22</v>
      </c>
      <c r="F3" t="s">
        <v>38</v>
      </c>
      <c r="G3">
        <v>6</v>
      </c>
      <c r="L3" t="s">
        <v>58</v>
      </c>
      <c r="M3">
        <f>M2+2</f>
        <v>3</v>
      </c>
      <c r="N3" s="10" t="s">
        <v>55</v>
      </c>
      <c r="O3" s="16" t="s">
        <v>52</v>
      </c>
      <c r="P3">
        <f>P2+2</f>
        <v>4</v>
      </c>
      <c r="Q3" t="s">
        <v>57</v>
      </c>
    </row>
    <row r="4" spans="2:17" x14ac:dyDescent="0.25">
      <c r="B4" t="s">
        <v>19</v>
      </c>
      <c r="C4" t="s">
        <v>25</v>
      </c>
      <c r="F4" t="s">
        <v>39</v>
      </c>
      <c r="G4">
        <v>4</v>
      </c>
      <c r="L4" t="s">
        <v>59</v>
      </c>
      <c r="M4">
        <f t="shared" ref="M4:M21" si="0">M3+2</f>
        <v>5</v>
      </c>
      <c r="N4" s="18" t="s">
        <v>64</v>
      </c>
      <c r="O4" s="17" t="s">
        <v>54</v>
      </c>
      <c r="P4">
        <f t="shared" ref="P4:P21" si="1">P3+2</f>
        <v>6</v>
      </c>
      <c r="Q4" t="s">
        <v>69</v>
      </c>
    </row>
    <row r="5" spans="2:17" x14ac:dyDescent="0.25">
      <c r="B5" t="s">
        <v>20</v>
      </c>
      <c r="C5" t="s">
        <v>25</v>
      </c>
      <c r="F5" t="s">
        <v>40</v>
      </c>
      <c r="G5">
        <v>1</v>
      </c>
      <c r="M5">
        <f t="shared" si="0"/>
        <v>7</v>
      </c>
      <c r="N5" s="10"/>
      <c r="O5" s="23" t="s">
        <v>61</v>
      </c>
      <c r="P5">
        <f t="shared" si="1"/>
        <v>8</v>
      </c>
      <c r="Q5" t="s">
        <v>67</v>
      </c>
    </row>
    <row r="6" spans="2:17" x14ac:dyDescent="0.25">
      <c r="B6" t="s">
        <v>21</v>
      </c>
      <c r="C6" t="s">
        <v>24</v>
      </c>
      <c r="F6" s="25" t="s">
        <v>41</v>
      </c>
      <c r="G6" s="25" t="s">
        <v>21</v>
      </c>
      <c r="L6" t="s">
        <v>71</v>
      </c>
      <c r="M6">
        <f t="shared" si="0"/>
        <v>9</v>
      </c>
      <c r="N6" s="17" t="s">
        <v>54</v>
      </c>
      <c r="O6" s="24" t="s">
        <v>62</v>
      </c>
      <c r="P6">
        <f t="shared" si="1"/>
        <v>10</v>
      </c>
      <c r="Q6" t="s">
        <v>68</v>
      </c>
    </row>
    <row r="7" spans="2:17" x14ac:dyDescent="0.25">
      <c r="B7" t="s">
        <v>26</v>
      </c>
      <c r="C7" t="s">
        <v>35</v>
      </c>
      <c r="D7" t="s">
        <v>33</v>
      </c>
      <c r="F7" t="s">
        <v>43</v>
      </c>
      <c r="G7">
        <v>3</v>
      </c>
      <c r="L7" t="s">
        <v>72</v>
      </c>
      <c r="M7">
        <f t="shared" si="0"/>
        <v>11</v>
      </c>
      <c r="N7" s="18" t="s">
        <v>64</v>
      </c>
      <c r="O7" s="11"/>
      <c r="P7">
        <f t="shared" si="1"/>
        <v>12</v>
      </c>
    </row>
    <row r="8" spans="2:17" x14ac:dyDescent="0.25">
      <c r="B8" t="s">
        <v>23</v>
      </c>
      <c r="C8" t="s">
        <v>35</v>
      </c>
      <c r="D8" t="s">
        <v>34</v>
      </c>
      <c r="F8" t="s">
        <v>42</v>
      </c>
      <c r="L8" t="s">
        <v>73</v>
      </c>
      <c r="M8">
        <f t="shared" si="0"/>
        <v>13</v>
      </c>
      <c r="N8" s="22" t="s">
        <v>63</v>
      </c>
      <c r="O8" s="17" t="s">
        <v>54</v>
      </c>
      <c r="P8">
        <f t="shared" si="1"/>
        <v>14</v>
      </c>
      <c r="Q8" t="s">
        <v>143</v>
      </c>
    </row>
    <row r="9" spans="2:17" x14ac:dyDescent="0.25">
      <c r="B9" t="s">
        <v>27</v>
      </c>
      <c r="C9" t="s">
        <v>36</v>
      </c>
      <c r="D9" t="s">
        <v>33</v>
      </c>
      <c r="E9" t="s">
        <v>37</v>
      </c>
      <c r="F9" t="s">
        <v>44</v>
      </c>
      <c r="L9" t="s">
        <v>101</v>
      </c>
      <c r="M9">
        <f t="shared" si="0"/>
        <v>15</v>
      </c>
      <c r="N9" s="22" t="s">
        <v>63</v>
      </c>
      <c r="O9" s="11"/>
      <c r="P9">
        <f t="shared" si="1"/>
        <v>16</v>
      </c>
    </row>
    <row r="10" spans="2:17" x14ac:dyDescent="0.25">
      <c r="B10" t="s">
        <v>28</v>
      </c>
      <c r="C10" t="s">
        <v>36</v>
      </c>
      <c r="D10" t="s">
        <v>34</v>
      </c>
      <c r="E10" t="s">
        <v>37</v>
      </c>
      <c r="F10" t="s">
        <v>45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B11" t="s">
        <v>29</v>
      </c>
      <c r="C11" t="s">
        <v>31</v>
      </c>
      <c r="F11" t="s">
        <v>47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B12" t="s">
        <v>30</v>
      </c>
      <c r="C12" t="s">
        <v>32</v>
      </c>
      <c r="F12" t="s">
        <v>46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65</v>
      </c>
      <c r="M15">
        <f t="shared" si="0"/>
        <v>27</v>
      </c>
      <c r="N15" s="21" t="s">
        <v>60</v>
      </c>
      <c r="O15" s="22" t="s">
        <v>63</v>
      </c>
      <c r="P15">
        <f t="shared" si="1"/>
        <v>28</v>
      </c>
      <c r="Q15" t="s">
        <v>66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84</v>
      </c>
      <c r="F17" s="1" t="s">
        <v>110</v>
      </c>
      <c r="G17" s="1" t="s">
        <v>112</v>
      </c>
      <c r="H17" s="1" t="s">
        <v>123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87</v>
      </c>
      <c r="C18" t="s">
        <v>85</v>
      </c>
      <c r="F18" t="s">
        <v>124</v>
      </c>
      <c r="G18" t="s">
        <v>116</v>
      </c>
      <c r="H18" s="22" t="s">
        <v>91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38</v>
      </c>
      <c r="C19" t="s">
        <v>22</v>
      </c>
      <c r="F19" t="s">
        <v>125</v>
      </c>
      <c r="G19" t="s">
        <v>117</v>
      </c>
      <c r="H19" s="28" t="s">
        <v>89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86</v>
      </c>
      <c r="C20" t="s">
        <v>88</v>
      </c>
      <c r="F20" t="s">
        <v>111</v>
      </c>
      <c r="G20" t="s">
        <v>114</v>
      </c>
      <c r="H20" s="25" t="s">
        <v>41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89</v>
      </c>
      <c r="C21" t="s">
        <v>90</v>
      </c>
      <c r="F21" t="s">
        <v>113</v>
      </c>
      <c r="G21" t="s">
        <v>115</v>
      </c>
      <c r="H21" s="30" t="s">
        <v>93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91</v>
      </c>
      <c r="C22" t="s">
        <v>92</v>
      </c>
    </row>
    <row r="23" spans="2:16" x14ac:dyDescent="0.25">
      <c r="B23" s="30" t="s">
        <v>93</v>
      </c>
      <c r="C23" t="s">
        <v>94</v>
      </c>
    </row>
    <row r="26" spans="2:16" x14ac:dyDescent="0.25">
      <c r="G26" s="1" t="s">
        <v>48</v>
      </c>
    </row>
    <row r="27" spans="2:16" x14ac:dyDescent="0.25">
      <c r="G27" s="9" t="s">
        <v>138</v>
      </c>
      <c r="H27" t="s">
        <v>50</v>
      </c>
    </row>
    <row r="28" spans="2:16" x14ac:dyDescent="0.25">
      <c r="G28" s="9" t="s">
        <v>49</v>
      </c>
      <c r="H28" t="s">
        <v>83</v>
      </c>
    </row>
    <row r="29" spans="2:16" x14ac:dyDescent="0.25">
      <c r="G29" t="s">
        <v>136</v>
      </c>
      <c r="H29" t="s">
        <v>135</v>
      </c>
    </row>
    <row r="30" spans="2:16" x14ac:dyDescent="0.25">
      <c r="G30" t="s">
        <v>137</v>
      </c>
      <c r="H30" t="s">
        <v>126</v>
      </c>
    </row>
  </sheetData>
  <pageMargins left="0.31" right="0.25" top="0.75" bottom="0.75" header="0.3" footer="0.3"/>
  <pageSetup paperSize="9" scale="88" fitToWidth="2" orientation="landscape" horizontalDpi="4294967293" r:id="rId1"/>
  <colBreaks count="1" manualBreakCount="1">
    <brk id="18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zoomScale="85" zoomScaleNormal="85" workbookViewId="0">
      <selection activeCell="B8" sqref="B8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 t="shared" si="3"/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 t="shared" si="3"/>
        <v>1.2150000000000039</v>
      </c>
      <c r="G9" s="33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 t="shared" si="3"/>
        <v>1.2300000000000038</v>
      </c>
      <c r="G10" s="33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 t="shared" si="3"/>
        <v>1.2450000000000037</v>
      </c>
      <c r="G11" s="33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 t="shared" si="3"/>
        <v>1.2600000000000036</v>
      </c>
      <c r="G12" s="33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 t="shared" si="3"/>
        <v>1.2750000000000035</v>
      </c>
      <c r="G13" s="33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 t="shared" si="3"/>
        <v>1.2900000000000034</v>
      </c>
      <c r="G14" s="33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 t="shared" si="3"/>
        <v>1.3050000000000033</v>
      </c>
      <c r="G15" s="33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 t="shared" si="3"/>
        <v>1.3200000000000032</v>
      </c>
      <c r="G16" s="33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 t="shared" si="3"/>
        <v>1.3350000000000031</v>
      </c>
      <c r="G17" s="33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6">F19+F$50</f>
        <v>1.350000000000003</v>
      </c>
      <c r="G18" s="33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6"/>
        <v>1.3650000000000029</v>
      </c>
      <c r="G19" s="33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6"/>
        <v>1.3800000000000028</v>
      </c>
      <c r="G20" s="33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6"/>
        <v>1.3950000000000027</v>
      </c>
      <c r="G21" s="33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6"/>
        <v>1.4100000000000026</v>
      </c>
      <c r="G22" s="33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6"/>
        <v>1.4250000000000025</v>
      </c>
      <c r="G23" s="33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6"/>
        <v>1.4400000000000024</v>
      </c>
      <c r="G24" s="33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7">F26+F$50</f>
        <v>1.4550000000000023</v>
      </c>
      <c r="G25" s="33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7"/>
        <v>1.4700000000000022</v>
      </c>
      <c r="G26" s="33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7"/>
        <v>1.4850000000000021</v>
      </c>
      <c r="G27" s="33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7"/>
        <v>1.500000000000002</v>
      </c>
      <c r="G28" s="33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7"/>
        <v>1.5150000000000019</v>
      </c>
      <c r="G29" s="33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7"/>
        <v>1.5300000000000018</v>
      </c>
      <c r="G30" s="33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7"/>
        <v>1.5450000000000017</v>
      </c>
      <c r="G31" s="33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7"/>
        <v>1.5600000000000016</v>
      </c>
      <c r="G32" s="33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7"/>
        <v>1.5750000000000015</v>
      </c>
      <c r="G33" s="33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7"/>
        <v>1.5900000000000014</v>
      </c>
      <c r="G34" s="33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7"/>
        <v>1.6050000000000013</v>
      </c>
      <c r="G35" s="33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7"/>
        <v>1.6200000000000012</v>
      </c>
      <c r="G36" s="33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7"/>
        <v>1.6350000000000011</v>
      </c>
      <c r="G37" s="33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7"/>
        <v>1.650000000000001</v>
      </c>
      <c r="G38" s="33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7"/>
        <v>1.6650000000000009</v>
      </c>
      <c r="G39" s="33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7"/>
        <v>1.6800000000000008</v>
      </c>
      <c r="G40" s="33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7"/>
        <v>1.6950000000000007</v>
      </c>
      <c r="G41" s="33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7"/>
        <v>1.7100000000000006</v>
      </c>
      <c r="G42" s="33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7"/>
        <v>1.7250000000000005</v>
      </c>
      <c r="G43" s="33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7"/>
        <v>1.7400000000000004</v>
      </c>
      <c r="G44" s="33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7"/>
        <v>1.7550000000000003</v>
      </c>
      <c r="G45" s="33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120</v>
      </c>
      <c r="M51" t="s">
        <v>105</v>
      </c>
      <c r="Q51">
        <v>9</v>
      </c>
      <c r="R51">
        <v>10</v>
      </c>
    </row>
    <row r="52" spans="6:19" x14ac:dyDescent="0.25">
      <c r="L52" s="31" t="s">
        <v>107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103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104</v>
      </c>
      <c r="M54">
        <v>135</v>
      </c>
      <c r="N54" s="4">
        <f>M54*1.8+32</f>
        <v>275</v>
      </c>
    </row>
    <row r="56" spans="6:19" x14ac:dyDescent="0.25">
      <c r="L56" s="31" t="s">
        <v>103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R41" sqref="R41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121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121</v>
      </c>
    </row>
    <row r="40" spans="2:13" x14ac:dyDescent="0.25">
      <c r="B40" s="4"/>
      <c r="K40" s="31" t="s">
        <v>104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103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102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106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18"/>
  <sheetViews>
    <sheetView tabSelected="1" zoomScaleNormal="100" workbookViewId="0">
      <selection activeCell="C12" sqref="C12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99</v>
      </c>
    </row>
    <row r="2" spans="2:8" x14ac:dyDescent="0.25">
      <c r="B2" t="s">
        <v>144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81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82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145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146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147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148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7:8" x14ac:dyDescent="0.25">
      <c r="G17">
        <v>19</v>
      </c>
      <c r="H17">
        <v>937.5</v>
      </c>
    </row>
    <row r="18" spans="7:8" x14ac:dyDescent="0.25">
      <c r="G18">
        <v>20</v>
      </c>
      <c r="H18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Calcs</vt:lpstr>
      <vt:lpstr>Pinouts</vt:lpstr>
      <vt:lpstr>Temp</vt:lpstr>
      <vt:lpstr>Pressure</vt:lpstr>
      <vt:lpstr>RotorTemp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2023-05-31T14:21:28Z</cp:lastPrinted>
  <dcterms:created xsi:type="dcterms:W3CDTF">2022-09-21T09:22:55Z</dcterms:created>
  <dcterms:modified xsi:type="dcterms:W3CDTF">2023-08-31T10:27:39Z</dcterms:modified>
</cp:coreProperties>
</file>