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85C21597-001E-4CDE-A80B-E60BCD484833}" xr6:coauthVersionLast="47" xr6:coauthVersionMax="47" xr10:uidLastSave="{00000000-0000-0000-0000-000000000000}"/>
  <bookViews>
    <workbookView xWindow="31350" yWindow="3135" windowWidth="19185" windowHeight="10200" tabRatio="673" firstSheet="3" activeTab="5" xr2:uid="{00000000-000D-0000-FFFF-FFFF00000000}"/>
  </bookViews>
  <sheets>
    <sheet name="steel" sheetId="6" r:id="rId1"/>
    <sheet name="steel_stainless" sheetId="17" r:id="rId2"/>
    <sheet name="alu_prim" sheetId="9" r:id="rId3"/>
    <sheet name="alu_sec" sheetId="18" r:id="rId4"/>
    <sheet name="copper_prim" sheetId="20" r:id="rId5"/>
    <sheet name="copper_sec" sheetId="21" r:id="rId6"/>
    <sheet name="paper" sheetId="13" r:id="rId7"/>
    <sheet name="cement" sheetId="14" r:id="rId8"/>
    <sheet name="glass" sheetId="16" r:id="rId9"/>
    <sheet name="chlorine" sheetId="10" r:id="rId10"/>
    <sheet name="ammonia" sheetId="15" r:id="rId11"/>
    <sheet name="methanol" sheetId="11" r:id="rId12"/>
    <sheet name="ethylene" sheetId="3" r:id="rId13"/>
    <sheet name="propylene" sheetId="8" r:id="rId14"/>
    <sheet name="aromate" sheetId="12" r:id="rId15"/>
    <sheet name="Info" sheetId="22" r:id="rId16"/>
    <sheet name="Info_alu_sek" sheetId="19" r:id="rId17"/>
  </sheets>
  <definedNames>
    <definedName name="_xlnm._FilterDatabase" localSheetId="14" hidden="1">aromate!$J$2:$J$315</definedName>
    <definedName name="_xlnm._FilterDatabase" localSheetId="16" hidden="1">Info_alu_sek!$A$1:$F$2649</definedName>
    <definedName name="albania" localSheetId="16">Info_alu_sek!#REF!</definedName>
    <definedName name="algeria" localSheetId="16">Info_alu_sek!#REF!</definedName>
    <definedName name="argentina" localSheetId="16">Info_alu_sek!#REF!</definedName>
    <definedName name="armenia" localSheetId="16">Info_alu_sek!#REF!</definedName>
    <definedName name="australia" localSheetId="16">Info_alu_sek!#REF!</definedName>
    <definedName name="austria" localSheetId="16">Info_alu_sek!#REF!</definedName>
    <definedName name="azerbaijan" localSheetId="16">Info_alu_sek!#REF!</definedName>
    <definedName name="bahrain" localSheetId="16">Info_alu_sek!#REF!</definedName>
    <definedName name="bangladesh" localSheetId="16">Info_alu_sek!#REF!</definedName>
    <definedName name="belarus" localSheetId="16">Info_alu_sek!#REF!</definedName>
    <definedName name="belgium" localSheetId="16">Info_alu_sek!#REF!</definedName>
    <definedName name="bolivia" localSheetId="16">Info_alu_sek!#REF!</definedName>
    <definedName name="brazil" localSheetId="16">Info_alu_sek!#REF!</definedName>
    <definedName name="bulgaria" localSheetId="16">Info_alu_sek!#REF!</definedName>
    <definedName name="cameroon" localSheetId="16">Info_alu_sek!#REF!</definedName>
    <definedName name="canada" localSheetId="16">Info_alu_sek!#REF!</definedName>
    <definedName name="chile" localSheetId="16">Info_alu_sek!#REF!</definedName>
    <definedName name="china" localSheetId="16">Info_alu_sek!#REF!</definedName>
    <definedName name="colombia" localSheetId="16">Info_alu_sek!#REF!</definedName>
    <definedName name="croatia" localSheetId="16">Info_alu_sek!#REF!</definedName>
    <definedName name="cyprus" localSheetId="16">Info_alu_sek!#REF!</definedName>
    <definedName name="denmark" localSheetId="16">Info_alu_sek!#REF!</definedName>
    <definedName name="ecuador" localSheetId="16">Info_alu_sek!#REF!</definedName>
    <definedName name="egypt" localSheetId="16">Info_alu_sek!#REF!</definedName>
    <definedName name="estonia" localSheetId="16">Info_alu_sek!#REF!</definedName>
    <definedName name="finland" localSheetId="16">Info_alu_sek!#REF!</definedName>
    <definedName name="france" localSheetId="16">Info_alu_sek!#REF!</definedName>
    <definedName name="georgia" localSheetId="16">Info_alu_sek!#REF!</definedName>
    <definedName name="germany" localSheetId="16">Info_alu_sek!#REF!</definedName>
    <definedName name="ghana" localSheetId="16">Info_alu_sek!#REF!</definedName>
    <definedName name="greece" localSheetId="16">Info_alu_sek!#REF!</definedName>
    <definedName name="guatemala" localSheetId="16">Info_alu_sek!#REF!</definedName>
    <definedName name="hungary" localSheetId="16">Info_alu_sek!#REF!</definedName>
    <definedName name="iceland" localSheetId="16">Info_alu_sek!#REF!</definedName>
    <definedName name="india" localSheetId="16">Info_alu_sek!#REF!</definedName>
    <definedName name="indonesia" localSheetId="16">Info_alu_sek!#REF!</definedName>
    <definedName name="iran" localSheetId="16">Info_alu_sek!#REF!</definedName>
    <definedName name="israel" localSheetId="16">Info_alu_sek!#REF!</definedName>
    <definedName name="italy" localSheetId="16">Info_alu_sek!#REF!</definedName>
    <definedName name="japan" localSheetId="16">Info_alu_sek!#REF!</definedName>
    <definedName name="jordan" localSheetId="16">Info_alu_sek!#REF!</definedName>
    <definedName name="kenya" localSheetId="16">Info_alu_sek!#REF!</definedName>
    <definedName name="kuwait" localSheetId="16">Info_alu_sek!#REF!</definedName>
    <definedName name="kyrgyzstan" localSheetId="16">Info_alu_sek!#REF!</definedName>
    <definedName name="latvia" localSheetId="16">Info_alu_sek!#REF!</definedName>
    <definedName name="lebanon" localSheetId="16">Info_alu_sek!#REF!</definedName>
    <definedName name="lithuania" localSheetId="16">Info_alu_sek!#REF!</definedName>
    <definedName name="luxembourg" localSheetId="16">Info_alu_sek!#REF!</definedName>
    <definedName name="malaysia" localSheetId="16">Info_alu_sek!#REF!</definedName>
    <definedName name="malta" localSheetId="16">Info_alu_sek!#REF!</definedName>
    <definedName name="mexico" localSheetId="16">Info_alu_sek!#REF!</definedName>
    <definedName name="montenegro" localSheetId="16">Info_alu_sek!#REF!</definedName>
    <definedName name="morocco" localSheetId="16">Info_alu_sek!#REF!</definedName>
    <definedName name="netherlands" localSheetId="16">Info_alu_sek!#REF!</definedName>
    <definedName name="nicaragua" localSheetId="16">Info_alu_sek!#REF!</definedName>
    <definedName name="nigeria" localSheetId="16">Info_alu_sek!#REF!</definedName>
    <definedName name="norway" localSheetId="16">Info_alu_sek!#REF!</definedName>
    <definedName name="oman" localSheetId="16">Info_alu_sek!#REF!</definedName>
    <definedName name="pakistan" localSheetId="16">Info_alu_sek!#REF!</definedName>
    <definedName name="peru" localSheetId="16">Info_alu_sek!#REF!</definedName>
    <definedName name="philippines" localSheetId="16">Info_alu_sek!#REF!</definedName>
    <definedName name="poland" localSheetId="16">Info_alu_sek!#REF!</definedName>
    <definedName name="portugal" localSheetId="16">Info_alu_sek!#REF!</definedName>
    <definedName name="romania" localSheetId="16">Info_alu_sek!#REF!</definedName>
    <definedName name="russia" localSheetId="16">Info_alu_sek!#REF!</definedName>
    <definedName name="serbia" localSheetId="16">Info_alu_sek!#REF!</definedName>
    <definedName name="singapore" localSheetId="16">Info_alu_sek!#REF!</definedName>
    <definedName name="slovakia" localSheetId="16">Info_alu_sek!#REF!</definedName>
    <definedName name="slovenia" localSheetId="16">Info_alu_sek!#REF!</definedName>
    <definedName name="spain" localSheetId="16">Info_alu_sek!#REF!</definedName>
    <definedName name="sweden" localSheetId="16">Info_alu_sek!#REF!</definedName>
    <definedName name="switzerland" localSheetId="16">Info_alu_sek!#REF!</definedName>
    <definedName name="syria" localSheetId="16">Info_alu_sek!#REF!</definedName>
    <definedName name="taiwan" localSheetId="16">Info_alu_sek!#REF!</definedName>
    <definedName name="tanzania" localSheetId="16">Info_alu_sek!#REF!</definedName>
    <definedName name="thailand" localSheetId="16">Info_alu_sek!#REF!</definedName>
    <definedName name="tunesia" localSheetId="16">Info_alu_sek!#REF!</definedName>
    <definedName name="turkey" localSheetId="16">Info_alu_sek!#REF!</definedName>
    <definedName name="u.s.a." localSheetId="16">Info_alu_sek!#REF!</definedName>
    <definedName name="uganda" localSheetId="16">Info_alu_sek!#REF!</definedName>
    <definedName name="ukraine" localSheetId="16">Info_alu_sek!#REF!</definedName>
    <definedName name="uruguay" localSheetId="16">Info_alu_sek!#REF!</definedName>
    <definedName name="usbekistan" localSheetId="16">Info_alu_sek!#REF!</definedName>
    <definedName name="venezuela" localSheetId="16">Info_alu_sek!#REF!</definedName>
    <definedName name="vietnam" localSheetId="16">Info_alu_sek!#REF!</definedName>
    <definedName name="zambia" localSheetId="16">Info_alu_sek!#REF!</definedName>
    <definedName name="zimbabwe" localSheetId="16">Info_alu_sek!#REF!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9" i="12" l="1"/>
  <c r="F309" i="8"/>
  <c r="F282" i="8"/>
  <c r="F245" i="8"/>
  <c r="F241" i="8"/>
  <c r="F233" i="8"/>
  <c r="F228" i="8"/>
  <c r="F215" i="8"/>
  <c r="F210" i="8"/>
  <c r="F186" i="8"/>
  <c r="F184" i="8"/>
  <c r="F183" i="8"/>
  <c r="F182" i="8"/>
  <c r="F169" i="8"/>
  <c r="F152" i="8"/>
  <c r="F148" i="8"/>
  <c r="F145" i="8"/>
  <c r="F126" i="8"/>
  <c r="F125" i="8"/>
  <c r="F112" i="8"/>
  <c r="F111" i="8"/>
  <c r="F98" i="8"/>
  <c r="F96" i="8"/>
  <c r="F68" i="8"/>
  <c r="F66" i="8"/>
  <c r="F62" i="8"/>
  <c r="F56" i="8"/>
  <c r="F55" i="8"/>
  <c r="F36" i="8"/>
  <c r="F22" i="8"/>
  <c r="F5" i="8"/>
  <c r="F3" i="8"/>
  <c r="F282" i="3"/>
  <c r="F245" i="3"/>
  <c r="F241" i="3"/>
  <c r="F233" i="3"/>
  <c r="F228" i="3"/>
  <c r="F215" i="3"/>
  <c r="F210" i="3"/>
  <c r="F186" i="3"/>
  <c r="F184" i="3"/>
  <c r="F183" i="3"/>
  <c r="F182" i="3"/>
  <c r="F169" i="3"/>
  <c r="F152" i="3"/>
  <c r="F148" i="3"/>
  <c r="F145" i="3"/>
  <c r="F126" i="3"/>
  <c r="F125" i="3"/>
  <c r="F112" i="3"/>
  <c r="F111" i="3"/>
  <c r="F98" i="3"/>
  <c r="F96" i="3"/>
  <c r="F68" i="3"/>
  <c r="F66" i="3"/>
  <c r="F62" i="3"/>
  <c r="F56" i="3"/>
  <c r="F55" i="3"/>
  <c r="F36" i="3"/>
  <c r="F22" i="3"/>
  <c r="F5" i="3"/>
  <c r="F3" i="3"/>
  <c r="F156" i="15"/>
  <c r="F154" i="15"/>
  <c r="E156" i="15"/>
  <c r="G9" i="18" l="1"/>
  <c r="G7" i="18"/>
  <c r="G4" i="18"/>
  <c r="F7" i="18"/>
  <c r="F126" i="19"/>
  <c r="F127" i="19"/>
  <c r="F128" i="19"/>
  <c r="F129" i="19"/>
  <c r="F125" i="19"/>
  <c r="F291" i="9"/>
  <c r="G312" i="21" l="1"/>
  <c r="G311" i="21"/>
  <c r="G310" i="21"/>
  <c r="G309" i="21"/>
  <c r="G308" i="21"/>
  <c r="G307" i="21"/>
  <c r="G306" i="21"/>
  <c r="G303" i="21"/>
  <c r="G302" i="21"/>
  <c r="G301" i="21"/>
  <c r="G300" i="21"/>
  <c r="G299" i="21"/>
  <c r="G298" i="21"/>
  <c r="G297" i="21"/>
  <c r="G296" i="21"/>
  <c r="G295" i="21"/>
  <c r="G294" i="21"/>
  <c r="G293" i="21"/>
  <c r="G292" i="21"/>
  <c r="G291" i="21"/>
  <c r="G290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9" i="21"/>
  <c r="G268" i="21"/>
  <c r="G267" i="21"/>
  <c r="G266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5" i="21"/>
  <c r="G244" i="21"/>
  <c r="G243" i="21"/>
  <c r="G242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21" i="21"/>
  <c r="G220" i="21"/>
  <c r="G219" i="21"/>
  <c r="G218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7" i="21"/>
  <c r="G196" i="21"/>
  <c r="G195" i="21"/>
  <c r="G194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73" i="21"/>
  <c r="G171" i="21"/>
  <c r="G170" i="21"/>
  <c r="G169" i="21"/>
  <c r="G168" i="21"/>
  <c r="G167" i="21"/>
  <c r="G166" i="21"/>
  <c r="G165" i="21"/>
  <c r="G164" i="21"/>
  <c r="G158" i="21"/>
  <c r="G157" i="21"/>
  <c r="G156" i="21"/>
  <c r="G155" i="2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310" i="20"/>
  <c r="G311" i="20"/>
  <c r="G312" i="20"/>
  <c r="G309" i="20"/>
  <c r="G287" i="20"/>
  <c r="G288" i="20"/>
  <c r="G289" i="20"/>
  <c r="G290" i="20"/>
  <c r="G291" i="20"/>
  <c r="G292" i="20"/>
  <c r="G293" i="20"/>
  <c r="G294" i="20"/>
  <c r="G295" i="20"/>
  <c r="G296" i="20"/>
  <c r="G286" i="20"/>
  <c r="G220" i="20"/>
  <c r="G221" i="20"/>
  <c r="G222" i="20"/>
  <c r="G223" i="20"/>
  <c r="G224" i="20"/>
  <c r="G225" i="20"/>
  <c r="G219" i="20"/>
  <c r="G218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195" i="20"/>
  <c r="G194" i="20"/>
  <c r="G174" i="20"/>
  <c r="G175" i="20"/>
  <c r="G176" i="20"/>
  <c r="G177" i="20"/>
  <c r="G178" i="20"/>
  <c r="G179" i="20"/>
  <c r="G180" i="20"/>
  <c r="G181" i="20"/>
  <c r="G182" i="20"/>
  <c r="G183" i="20"/>
  <c r="G184" i="20"/>
  <c r="G134" i="20"/>
  <c r="G135" i="20"/>
  <c r="G136" i="20"/>
  <c r="G137" i="20"/>
  <c r="G133" i="20"/>
  <c r="G165" i="11"/>
  <c r="G166" i="11"/>
  <c r="G167" i="11"/>
  <c r="G168" i="11"/>
  <c r="G169" i="11"/>
  <c r="G170" i="11"/>
  <c r="G171" i="11"/>
  <c r="G165" i="20"/>
  <c r="G166" i="20"/>
  <c r="G167" i="20"/>
  <c r="G168" i="20"/>
  <c r="G169" i="20"/>
  <c r="G170" i="20"/>
  <c r="G171" i="20"/>
  <c r="G173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53" i="20"/>
  <c r="G54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32" i="20"/>
  <c r="G308" i="20"/>
  <c r="G307" i="20"/>
  <c r="G306" i="20"/>
  <c r="G303" i="20"/>
  <c r="G302" i="20"/>
  <c r="G301" i="20"/>
  <c r="G300" i="20"/>
  <c r="G299" i="20"/>
  <c r="G298" i="20"/>
  <c r="G297" i="20"/>
  <c r="G285" i="20"/>
  <c r="G284" i="20"/>
  <c r="G283" i="20"/>
  <c r="G282" i="20"/>
  <c r="G281" i="20"/>
  <c r="G280" i="20"/>
  <c r="G279" i="20"/>
  <c r="G278" i="20"/>
  <c r="G277" i="20"/>
  <c r="G276" i="20"/>
  <c r="G275" i="20"/>
  <c r="G274" i="20"/>
  <c r="G273" i="20"/>
  <c r="G272" i="20"/>
  <c r="G271" i="20"/>
  <c r="G270" i="20"/>
  <c r="G269" i="20"/>
  <c r="G268" i="20"/>
  <c r="G267" i="20"/>
  <c r="G266" i="20"/>
  <c r="G265" i="20"/>
  <c r="G264" i="20"/>
  <c r="G263" i="20"/>
  <c r="G262" i="20"/>
  <c r="G261" i="20"/>
  <c r="G260" i="20"/>
  <c r="G259" i="20"/>
  <c r="G258" i="20"/>
  <c r="G257" i="20"/>
  <c r="G256" i="20"/>
  <c r="G255" i="20"/>
  <c r="G254" i="20"/>
  <c r="G253" i="20"/>
  <c r="G252" i="20"/>
  <c r="G251" i="20"/>
  <c r="G250" i="20"/>
  <c r="G249" i="20"/>
  <c r="G248" i="20"/>
  <c r="G247" i="20"/>
  <c r="G246" i="20"/>
  <c r="G245" i="20"/>
  <c r="G244" i="20"/>
  <c r="G243" i="20"/>
  <c r="G242" i="20"/>
  <c r="G241" i="20"/>
  <c r="G240" i="20"/>
  <c r="G239" i="20"/>
  <c r="G238" i="20"/>
  <c r="G237" i="20"/>
  <c r="G236" i="20"/>
  <c r="G235" i="20"/>
  <c r="G234" i="20"/>
  <c r="G233" i="20"/>
  <c r="G232" i="20"/>
  <c r="G231" i="20"/>
  <c r="G230" i="20"/>
  <c r="G229" i="20"/>
  <c r="G228" i="20"/>
  <c r="G227" i="20"/>
  <c r="G226" i="20"/>
  <c r="G217" i="20"/>
  <c r="G216" i="20"/>
  <c r="G215" i="20"/>
  <c r="G214" i="20"/>
  <c r="G213" i="20"/>
  <c r="G212" i="20"/>
  <c r="G211" i="20"/>
  <c r="G193" i="20"/>
  <c r="G192" i="20"/>
  <c r="G191" i="20"/>
  <c r="G190" i="20"/>
  <c r="G189" i="20"/>
  <c r="G188" i="20"/>
  <c r="G187" i="20"/>
  <c r="G186" i="20"/>
  <c r="G185" i="20"/>
  <c r="G164" i="20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2" i="20"/>
  <c r="G131" i="20"/>
  <c r="G130" i="20"/>
  <c r="G129" i="20"/>
  <c r="G128" i="20"/>
  <c r="G127" i="20"/>
  <c r="G126" i="20"/>
  <c r="G125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J296" i="16"/>
  <c r="J295" i="16"/>
  <c r="J294" i="16"/>
  <c r="J293" i="16"/>
  <c r="G296" i="13"/>
  <c r="G295" i="13"/>
  <c r="G294" i="13"/>
  <c r="G293" i="13"/>
  <c r="G296" i="8"/>
  <c r="G295" i="8"/>
  <c r="G294" i="8"/>
  <c r="G293" i="8"/>
  <c r="J287" i="16"/>
  <c r="J288" i="16"/>
  <c r="J289" i="16"/>
  <c r="J290" i="16"/>
  <c r="J291" i="16"/>
  <c r="J292" i="16"/>
  <c r="J287" i="14"/>
  <c r="J288" i="14"/>
  <c r="J289" i="14"/>
  <c r="J290" i="14"/>
  <c r="J291" i="14"/>
  <c r="J292" i="14"/>
  <c r="G287" i="13"/>
  <c r="G288" i="13"/>
  <c r="G289" i="13"/>
  <c r="G290" i="13"/>
  <c r="G291" i="13"/>
  <c r="G292" i="13"/>
  <c r="K287" i="12"/>
  <c r="K288" i="12"/>
  <c r="K289" i="12"/>
  <c r="K294" i="12" s="1"/>
  <c r="K290" i="12"/>
  <c r="K291" i="12"/>
  <c r="K292" i="12"/>
  <c r="G287" i="8"/>
  <c r="G288" i="8"/>
  <c r="G289" i="8"/>
  <c r="G290" i="8"/>
  <c r="G291" i="8"/>
  <c r="G292" i="8"/>
  <c r="G288" i="3"/>
  <c r="G289" i="3"/>
  <c r="G290" i="3"/>
  <c r="G291" i="3"/>
  <c r="G296" i="3" s="1"/>
  <c r="G292" i="3"/>
  <c r="G287" i="3"/>
  <c r="G296" i="11"/>
  <c r="G295" i="11"/>
  <c r="G294" i="11"/>
  <c r="G293" i="11"/>
  <c r="F296" i="15"/>
  <c r="F295" i="15"/>
  <c r="F294" i="15"/>
  <c r="F293" i="15"/>
  <c r="J296" i="14"/>
  <c r="J295" i="14"/>
  <c r="J294" i="14"/>
  <c r="J293" i="14"/>
  <c r="K296" i="12"/>
  <c r="K295" i="12"/>
  <c r="G295" i="3"/>
  <c r="G294" i="3"/>
  <c r="G293" i="3"/>
  <c r="G294" i="18"/>
  <c r="G293" i="18"/>
  <c r="G14" i="18"/>
  <c r="G15" i="18"/>
  <c r="G16" i="18"/>
  <c r="G17" i="18"/>
  <c r="G19" i="18"/>
  <c r="G20" i="18"/>
  <c r="G22" i="18"/>
  <c r="G23" i="18"/>
  <c r="G32" i="18"/>
  <c r="G34" i="18"/>
  <c r="G35" i="18"/>
  <c r="G36" i="18"/>
  <c r="G37" i="18"/>
  <c r="G42" i="18"/>
  <c r="G43" i="18"/>
  <c r="G46" i="18"/>
  <c r="G49" i="18"/>
  <c r="G51" i="18"/>
  <c r="G52" i="18"/>
  <c r="G55" i="18"/>
  <c r="G57" i="18"/>
  <c r="G59" i="18"/>
  <c r="G66" i="18"/>
  <c r="G67" i="18"/>
  <c r="G74" i="18"/>
  <c r="G77" i="18"/>
  <c r="G78" i="18"/>
  <c r="G79" i="18"/>
  <c r="G85" i="18"/>
  <c r="G87" i="18"/>
  <c r="G88" i="18"/>
  <c r="G90" i="18"/>
  <c r="G91" i="18"/>
  <c r="G93" i="18"/>
  <c r="G94" i="18"/>
  <c r="G95" i="18"/>
  <c r="G96" i="18"/>
  <c r="G98" i="18"/>
  <c r="G99" i="18"/>
  <c r="G101" i="18"/>
  <c r="G107" i="18"/>
  <c r="G108" i="18"/>
  <c r="G111" i="18"/>
  <c r="G113" i="18"/>
  <c r="G114" i="18"/>
  <c r="G121" i="18"/>
  <c r="G124" i="18"/>
  <c r="G126" i="18"/>
  <c r="G138" i="18"/>
  <c r="G141" i="18"/>
  <c r="G142" i="18"/>
  <c r="G143" i="18"/>
  <c r="G145" i="18"/>
  <c r="G152" i="18"/>
  <c r="G153" i="18"/>
  <c r="G157" i="18"/>
  <c r="G158" i="18"/>
  <c r="G166" i="18"/>
  <c r="G167" i="18"/>
  <c r="G173" i="18"/>
  <c r="G176" i="18"/>
  <c r="G179" i="18"/>
  <c r="G182" i="18"/>
  <c r="G184" i="18"/>
  <c r="G186" i="18"/>
  <c r="G190" i="18"/>
  <c r="G191" i="18"/>
  <c r="G193" i="18"/>
  <c r="G194" i="18"/>
  <c r="G195" i="18"/>
  <c r="G196" i="18"/>
  <c r="G198" i="18"/>
  <c r="G199" i="18"/>
  <c r="G207" i="18"/>
  <c r="G211" i="18"/>
  <c r="G214" i="18"/>
  <c r="G218" i="18"/>
  <c r="G223" i="18"/>
  <c r="G224" i="18"/>
  <c r="G225" i="18"/>
  <c r="G230" i="18"/>
  <c r="G231" i="18"/>
  <c r="G238" i="18"/>
  <c r="G239" i="18"/>
  <c r="G240" i="18"/>
  <c r="G249" i="18"/>
  <c r="G250" i="18"/>
  <c r="G256" i="18"/>
  <c r="G260" i="18"/>
  <c r="G261" i="18"/>
  <c r="G278" i="18"/>
  <c r="G279" i="18"/>
  <c r="G281" i="18"/>
  <c r="G286" i="18"/>
  <c r="G288" i="18"/>
  <c r="G290" i="18"/>
  <c r="G291" i="18"/>
  <c r="G295" i="18"/>
  <c r="G296" i="18"/>
  <c r="G297" i="18"/>
  <c r="G299" i="18"/>
  <c r="G306" i="18"/>
  <c r="G307" i="18"/>
  <c r="G308" i="18"/>
  <c r="G310" i="18"/>
  <c r="G311" i="18"/>
  <c r="G312" i="18"/>
  <c r="G296" i="10"/>
  <c r="G295" i="10"/>
  <c r="G294" i="10"/>
  <c r="G293" i="10"/>
  <c r="G294" i="9"/>
  <c r="G293" i="9"/>
  <c r="I296" i="6"/>
  <c r="I295" i="6"/>
  <c r="I294" i="6"/>
  <c r="I293" i="6"/>
  <c r="G136" i="13"/>
  <c r="G133" i="13"/>
  <c r="F136" i="13"/>
  <c r="F135" i="13"/>
  <c r="F133" i="13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161" i="14"/>
  <c r="H162" i="14"/>
  <c r="H164" i="14"/>
  <c r="H165" i="14"/>
  <c r="H166" i="14"/>
  <c r="H167" i="14"/>
  <c r="H168" i="14"/>
  <c r="H169" i="14"/>
  <c r="H170" i="14"/>
  <c r="H171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136" i="16"/>
  <c r="I136" i="16"/>
  <c r="G135" i="16"/>
  <c r="F135" i="16"/>
  <c r="G135" i="14"/>
  <c r="F135" i="14"/>
  <c r="G137" i="8"/>
  <c r="G136" i="8"/>
  <c r="G134" i="8"/>
  <c r="G133" i="8"/>
  <c r="G137" i="3"/>
  <c r="G136" i="3"/>
  <c r="G134" i="3"/>
  <c r="G133" i="3"/>
  <c r="G137" i="11"/>
  <c r="G136" i="11"/>
  <c r="G134" i="11"/>
  <c r="G133" i="11"/>
  <c r="G137" i="10"/>
  <c r="G136" i="10"/>
  <c r="G134" i="10"/>
  <c r="G133" i="10"/>
  <c r="G137" i="9"/>
  <c r="G136" i="9"/>
  <c r="G134" i="9"/>
  <c r="G133" i="9"/>
  <c r="F135" i="9"/>
  <c r="G135" i="17"/>
  <c r="F135" i="17"/>
  <c r="G135" i="6"/>
  <c r="F162" i="13"/>
  <c r="F161" i="13"/>
  <c r="G162" i="13"/>
  <c r="F70" i="13"/>
  <c r="G71" i="13"/>
  <c r="G72" i="13"/>
  <c r="G73" i="13"/>
  <c r="G286" i="13"/>
  <c r="G297" i="13"/>
  <c r="G298" i="13"/>
  <c r="G299" i="13"/>
  <c r="G300" i="13"/>
  <c r="G301" i="13"/>
  <c r="G302" i="13"/>
  <c r="G303" i="13"/>
  <c r="G306" i="13"/>
  <c r="G307" i="13"/>
  <c r="G308" i="13"/>
  <c r="G309" i="13"/>
  <c r="G310" i="13"/>
  <c r="G311" i="13"/>
  <c r="G312" i="13"/>
  <c r="F310" i="15"/>
  <c r="F311" i="15"/>
  <c r="F312" i="15"/>
  <c r="F309" i="15"/>
  <c r="F307" i="15"/>
  <c r="F308" i="15"/>
  <c r="F306" i="15"/>
  <c r="F298" i="15"/>
  <c r="F299" i="15"/>
  <c r="F300" i="15"/>
  <c r="F301" i="15"/>
  <c r="F302" i="15"/>
  <c r="F303" i="15"/>
  <c r="F297" i="15"/>
  <c r="F238" i="15"/>
  <c r="F239" i="15"/>
  <c r="F240" i="15"/>
  <c r="F241" i="15"/>
  <c r="F242" i="15"/>
  <c r="F243" i="15"/>
  <c r="F244" i="15"/>
  <c r="F245" i="15"/>
  <c r="F237" i="15"/>
  <c r="F233" i="15"/>
  <c r="F234" i="15"/>
  <c r="F235" i="15"/>
  <c r="F236" i="15"/>
  <c r="F232" i="15"/>
  <c r="F72" i="15"/>
  <c r="F73" i="15"/>
  <c r="F71" i="15"/>
  <c r="F28" i="15"/>
  <c r="F29" i="15"/>
  <c r="F30" i="15"/>
  <c r="F31" i="15"/>
  <c r="F27" i="15"/>
  <c r="K307" i="12"/>
  <c r="K308" i="12"/>
  <c r="K306" i="12"/>
  <c r="K297" i="12"/>
  <c r="K298" i="12"/>
  <c r="K299" i="12"/>
  <c r="K300" i="12"/>
  <c r="K301" i="12"/>
  <c r="K302" i="12"/>
  <c r="K303" i="12"/>
  <c r="K286" i="12"/>
  <c r="K238" i="12"/>
  <c r="K239" i="12"/>
  <c r="K240" i="12"/>
  <c r="K241" i="12"/>
  <c r="K242" i="12"/>
  <c r="K243" i="12"/>
  <c r="K244" i="12"/>
  <c r="K237" i="12"/>
  <c r="K186" i="12"/>
  <c r="K187" i="12"/>
  <c r="K188" i="12"/>
  <c r="K189" i="12"/>
  <c r="K190" i="12"/>
  <c r="K191" i="12"/>
  <c r="K192" i="12"/>
  <c r="K193" i="12"/>
  <c r="K185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74" i="12"/>
  <c r="K72" i="12"/>
  <c r="K73" i="12"/>
  <c r="K71" i="12"/>
  <c r="K28" i="12"/>
  <c r="K29" i="12"/>
  <c r="K30" i="12"/>
  <c r="K31" i="12"/>
  <c r="K27" i="12"/>
  <c r="K20" i="12"/>
  <c r="K21" i="12"/>
  <c r="K22" i="12"/>
  <c r="K23" i="12"/>
  <c r="K24" i="12"/>
  <c r="K25" i="12"/>
  <c r="K26" i="12"/>
  <c r="K19" i="12"/>
  <c r="K14" i="12"/>
  <c r="K15" i="12"/>
  <c r="K16" i="12"/>
  <c r="K17" i="12"/>
  <c r="K18" i="12"/>
  <c r="K13" i="12"/>
  <c r="G297" i="8"/>
  <c r="G298" i="8"/>
  <c r="G299" i="8"/>
  <c r="G300" i="8"/>
  <c r="G301" i="8"/>
  <c r="G302" i="8"/>
  <c r="G303" i="8"/>
  <c r="G286" i="8"/>
  <c r="G219" i="8"/>
  <c r="G220" i="8"/>
  <c r="G221" i="8"/>
  <c r="G222" i="8"/>
  <c r="G223" i="8"/>
  <c r="G224" i="8"/>
  <c r="G225" i="8"/>
  <c r="G226" i="8"/>
  <c r="G227" i="8"/>
  <c r="G218" i="8"/>
  <c r="G75" i="8"/>
  <c r="G76" i="8"/>
  <c r="G77" i="8"/>
  <c r="G78" i="8"/>
  <c r="G79" i="8"/>
  <c r="G80" i="8"/>
  <c r="G81" i="8"/>
  <c r="G82" i="8"/>
  <c r="G83" i="8"/>
  <c r="G84" i="8"/>
  <c r="G85" i="8"/>
  <c r="G86" i="8"/>
  <c r="G74" i="8"/>
  <c r="G72" i="8"/>
  <c r="G73" i="8"/>
  <c r="G71" i="8"/>
  <c r="G28" i="8"/>
  <c r="G29" i="8"/>
  <c r="G30" i="8"/>
  <c r="G31" i="8"/>
  <c r="G27" i="8"/>
  <c r="G14" i="8"/>
  <c r="G15" i="8"/>
  <c r="G16" i="8"/>
  <c r="G17" i="8"/>
  <c r="G18" i="8"/>
  <c r="G13" i="8"/>
  <c r="G307" i="3"/>
  <c r="G308" i="3"/>
  <c r="G306" i="3"/>
  <c r="G297" i="3"/>
  <c r="G298" i="3"/>
  <c r="G299" i="3"/>
  <c r="G300" i="3"/>
  <c r="G301" i="3"/>
  <c r="G302" i="3"/>
  <c r="G303" i="3"/>
  <c r="G286" i="3"/>
  <c r="G227" i="3"/>
  <c r="G226" i="3"/>
  <c r="G218" i="3"/>
  <c r="G219" i="3"/>
  <c r="G220" i="3"/>
  <c r="G221" i="3"/>
  <c r="G222" i="3"/>
  <c r="G223" i="3"/>
  <c r="G224" i="3"/>
  <c r="G225" i="3"/>
  <c r="G75" i="3"/>
  <c r="G76" i="3"/>
  <c r="G77" i="3"/>
  <c r="G78" i="3"/>
  <c r="G79" i="3"/>
  <c r="G80" i="3"/>
  <c r="G81" i="3"/>
  <c r="G82" i="3"/>
  <c r="G83" i="3"/>
  <c r="G84" i="3"/>
  <c r="G85" i="3"/>
  <c r="G86" i="3"/>
  <c r="G74" i="3"/>
  <c r="G72" i="3"/>
  <c r="G73" i="3"/>
  <c r="G71" i="3"/>
  <c r="G28" i="3"/>
  <c r="G29" i="3"/>
  <c r="G30" i="3"/>
  <c r="G31" i="3"/>
  <c r="G27" i="3"/>
  <c r="G14" i="3"/>
  <c r="G15" i="3"/>
  <c r="G16" i="3"/>
  <c r="G17" i="3"/>
  <c r="G18" i="3"/>
  <c r="G13" i="3"/>
  <c r="I72" i="6"/>
  <c r="I73" i="6"/>
  <c r="I71" i="6"/>
  <c r="I28" i="6"/>
  <c r="I29" i="6"/>
  <c r="I30" i="6"/>
  <c r="I31" i="6"/>
  <c r="I27" i="6"/>
  <c r="J297" i="16"/>
  <c r="J298" i="16"/>
  <c r="J299" i="16"/>
  <c r="J300" i="16"/>
  <c r="J301" i="16"/>
  <c r="J302" i="16"/>
  <c r="J303" i="16"/>
  <c r="J286" i="16"/>
  <c r="J310" i="14"/>
  <c r="J311" i="14"/>
  <c r="J312" i="14"/>
  <c r="J309" i="14"/>
  <c r="J307" i="14"/>
  <c r="J308" i="14"/>
  <c r="J306" i="14"/>
  <c r="J297" i="14"/>
  <c r="J298" i="14"/>
  <c r="J299" i="14"/>
  <c r="J300" i="14"/>
  <c r="J301" i="14"/>
  <c r="J302" i="14"/>
  <c r="J303" i="14"/>
  <c r="J286" i="14"/>
  <c r="K293" i="12" l="1"/>
  <c r="G161" i="13"/>
  <c r="G14" i="17"/>
  <c r="G307" i="11"/>
  <c r="G308" i="11"/>
  <c r="G306" i="11"/>
  <c r="G298" i="11"/>
  <c r="G299" i="11"/>
  <c r="G300" i="11"/>
  <c r="G301" i="11"/>
  <c r="G302" i="11"/>
  <c r="G303" i="11"/>
  <c r="G297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45" i="11"/>
  <c r="G238" i="11"/>
  <c r="G239" i="11"/>
  <c r="G240" i="11"/>
  <c r="G241" i="11"/>
  <c r="G242" i="11"/>
  <c r="G243" i="11"/>
  <c r="G244" i="11"/>
  <c r="G237" i="11"/>
  <c r="G233" i="11"/>
  <c r="G234" i="11"/>
  <c r="G235" i="11"/>
  <c r="G236" i="11"/>
  <c r="G232" i="11"/>
  <c r="G229" i="11"/>
  <c r="G230" i="11"/>
  <c r="G231" i="11"/>
  <c r="G228" i="11"/>
  <c r="G227" i="11"/>
  <c r="G226" i="11"/>
  <c r="G212" i="11"/>
  <c r="G213" i="11"/>
  <c r="G214" i="11"/>
  <c r="G215" i="11"/>
  <c r="G216" i="11"/>
  <c r="G217" i="11"/>
  <c r="G211" i="11"/>
  <c r="G186" i="11"/>
  <c r="G187" i="11"/>
  <c r="G188" i="11"/>
  <c r="G189" i="11"/>
  <c r="G190" i="11"/>
  <c r="G191" i="11"/>
  <c r="G192" i="11"/>
  <c r="G193" i="11"/>
  <c r="G185" i="11"/>
  <c r="G164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38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06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87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74" i="11"/>
  <c r="G28" i="11"/>
  <c r="G29" i="11"/>
  <c r="G30" i="11"/>
  <c r="G31" i="11"/>
  <c r="G27" i="11"/>
  <c r="G20" i="11"/>
  <c r="G21" i="11"/>
  <c r="G22" i="11"/>
  <c r="G23" i="11"/>
  <c r="G24" i="11"/>
  <c r="G25" i="11"/>
  <c r="G26" i="11"/>
  <c r="G19" i="11"/>
  <c r="G14" i="11"/>
  <c r="G15" i="11"/>
  <c r="G16" i="11"/>
  <c r="G17" i="11"/>
  <c r="G18" i="11"/>
  <c r="G13" i="11"/>
  <c r="G3" i="11"/>
  <c r="G4" i="11"/>
  <c r="G5" i="11"/>
  <c r="G6" i="11"/>
  <c r="G7" i="11"/>
  <c r="G8" i="11"/>
  <c r="G9" i="11"/>
  <c r="G10" i="11"/>
  <c r="G11" i="11"/>
  <c r="G12" i="11"/>
  <c r="G2" i="11"/>
  <c r="G28" i="17"/>
  <c r="G29" i="17"/>
  <c r="G30" i="17"/>
  <c r="G31" i="17"/>
  <c r="G27" i="17"/>
  <c r="G20" i="17"/>
  <c r="G21" i="17"/>
  <c r="G22" i="17"/>
  <c r="G23" i="17"/>
  <c r="G24" i="17"/>
  <c r="G25" i="17"/>
  <c r="G26" i="17"/>
  <c r="G19" i="17"/>
  <c r="G15" i="17"/>
  <c r="G16" i="17"/>
  <c r="G17" i="17"/>
  <c r="G18" i="17"/>
  <c r="G13" i="17"/>
  <c r="F1764" i="19" l="1"/>
  <c r="F1768" i="19"/>
  <c r="F1767" i="19"/>
  <c r="F1766" i="19"/>
  <c r="F1772" i="19"/>
  <c r="F1757" i="19"/>
  <c r="F1773" i="19"/>
  <c r="F1756" i="19"/>
  <c r="F1751" i="19"/>
  <c r="F1755" i="19"/>
  <c r="F1754" i="19"/>
  <c r="F1753" i="19"/>
  <c r="F1762" i="19"/>
  <c r="F1758" i="19"/>
  <c r="F1765" i="19"/>
  <c r="F1761" i="19"/>
  <c r="F1760" i="19"/>
  <c r="F1759" i="19"/>
  <c r="F1771" i="19"/>
  <c r="F1770" i="19"/>
  <c r="F1769" i="19"/>
  <c r="F1752" i="19"/>
  <c r="F1763" i="19"/>
  <c r="F1663" i="19"/>
  <c r="F1661" i="19"/>
  <c r="F1660" i="19"/>
  <c r="F1659" i="19"/>
  <c r="F1658" i="19"/>
  <c r="F1657" i="19"/>
  <c r="F1650" i="19"/>
  <c r="F1649" i="19"/>
  <c r="F1574" i="19"/>
  <c r="F1576" i="19"/>
  <c r="F1575" i="19"/>
  <c r="F1573" i="19"/>
  <c r="F1572" i="19"/>
  <c r="F1556" i="19"/>
  <c r="F1548" i="19"/>
  <c r="F1547" i="19"/>
  <c r="F1546" i="19"/>
  <c r="F1557" i="19"/>
  <c r="F1545" i="19"/>
  <c r="F1555" i="19"/>
  <c r="F1544" i="19"/>
  <c r="F1554" i="19"/>
  <c r="F1553" i="19"/>
  <c r="F1543" i="19"/>
  <c r="F1542" i="19"/>
  <c r="F1541" i="19"/>
  <c r="F1552" i="19"/>
  <c r="F1551" i="19"/>
  <c r="F1550" i="19"/>
  <c r="F1549" i="19"/>
  <c r="F1308" i="19"/>
  <c r="F1307" i="19"/>
  <c r="F1304" i="19"/>
  <c r="F1303" i="19"/>
  <c r="F1130" i="19"/>
  <c r="F1071" i="19"/>
  <c r="F1124" i="19"/>
  <c r="F1123" i="19"/>
  <c r="F1122" i="19"/>
  <c r="F1081" i="19"/>
  <c r="F1068" i="19"/>
  <c r="F1074" i="19"/>
  <c r="F1070" i="19"/>
  <c r="F1067" i="19"/>
  <c r="F1066" i="19"/>
  <c r="F1065" i="19"/>
  <c r="F1109" i="19"/>
  <c r="F1064" i="19"/>
  <c r="F1063" i="19"/>
  <c r="F1062" i="19"/>
  <c r="F1075" i="19"/>
  <c r="F1061" i="19"/>
  <c r="F1073" i="19"/>
  <c r="F1072" i="19"/>
  <c r="F1080" i="19"/>
  <c r="F1060" i="19"/>
  <c r="F1079" i="19"/>
  <c r="F1078" i="19"/>
  <c r="F1077" i="19"/>
  <c r="F1095" i="19"/>
  <c r="F1059" i="19"/>
  <c r="F1052" i="19"/>
  <c r="F1058" i="19"/>
  <c r="F1057" i="19"/>
  <c r="F1056" i="19"/>
  <c r="F1055" i="19"/>
  <c r="F1054" i="19"/>
  <c r="F1076" i="19"/>
  <c r="F1069" i="19"/>
  <c r="F1053" i="19"/>
  <c r="F733" i="19"/>
  <c r="F738" i="19"/>
  <c r="F736" i="19"/>
  <c r="F735" i="19"/>
  <c r="F737" i="19"/>
  <c r="F732" i="19"/>
  <c r="F731" i="19"/>
  <c r="F734" i="19"/>
  <c r="F586" i="19"/>
  <c r="F548" i="19"/>
  <c r="F584" i="19"/>
  <c r="F549" i="19"/>
  <c r="F556" i="19"/>
  <c r="F547" i="19"/>
  <c r="F551" i="19"/>
  <c r="F578" i="19"/>
  <c r="F577" i="19"/>
  <c r="F555" i="19"/>
  <c r="F546" i="19"/>
  <c r="F572" i="19"/>
  <c r="F571" i="19"/>
  <c r="F553" i="19"/>
  <c r="F554" i="19"/>
  <c r="F545" i="19"/>
  <c r="F550" i="19"/>
  <c r="F566" i="19"/>
  <c r="F560" i="19"/>
  <c r="F552" i="19"/>
  <c r="F503" i="19"/>
  <c r="F501" i="19"/>
  <c r="F505" i="19"/>
  <c r="F502" i="19"/>
  <c r="F504" i="19"/>
  <c r="F203" i="19"/>
  <c r="F204" i="19"/>
  <c r="F202" i="19"/>
  <c r="F201" i="19"/>
  <c r="F78" i="19"/>
  <c r="F79" i="19"/>
  <c r="F76" i="19"/>
  <c r="F75" i="19"/>
  <c r="F74" i="19"/>
  <c r="F77" i="19"/>
  <c r="F73" i="19"/>
  <c r="F67" i="18" l="1"/>
  <c r="F59" i="18"/>
  <c r="F55" i="18"/>
  <c r="F51" i="18"/>
  <c r="F42" i="18"/>
  <c r="F36" i="18"/>
  <c r="F35" i="18"/>
  <c r="F34" i="18"/>
  <c r="F32" i="18"/>
  <c r="J163" i="16" l="1"/>
  <c r="J70" i="16"/>
  <c r="J70" i="14"/>
  <c r="J159" i="14"/>
  <c r="J160" i="14"/>
  <c r="J163" i="14"/>
  <c r="G14" i="10" l="1"/>
  <c r="G15" i="10"/>
  <c r="G16" i="10"/>
  <c r="G17" i="10"/>
  <c r="G18" i="10"/>
  <c r="G13" i="10"/>
  <c r="G28" i="10"/>
  <c r="G29" i="10"/>
  <c r="G30" i="10"/>
  <c r="G31" i="10"/>
  <c r="G27" i="10"/>
  <c r="G161" i="10"/>
  <c r="G162" i="10"/>
  <c r="G306" i="10"/>
  <c r="G307" i="10"/>
  <c r="G308" i="10"/>
  <c r="G309" i="10"/>
  <c r="G310" i="10"/>
  <c r="G311" i="10"/>
  <c r="G312" i="10"/>
  <c r="G20" i="10"/>
  <c r="G22" i="10"/>
  <c r="G28" i="9"/>
  <c r="G29" i="9"/>
  <c r="G30" i="9"/>
  <c r="G31" i="9"/>
  <c r="G20" i="9"/>
  <c r="G21" i="9"/>
  <c r="G22" i="9"/>
  <c r="G23" i="9"/>
  <c r="G24" i="9"/>
  <c r="G25" i="9"/>
  <c r="G26" i="9"/>
  <c r="G14" i="9"/>
  <c r="G15" i="9"/>
  <c r="G16" i="9"/>
  <c r="G17" i="9"/>
  <c r="G18" i="9"/>
  <c r="G3" i="9"/>
  <c r="G4" i="9"/>
  <c r="G5" i="9"/>
  <c r="G6" i="9"/>
  <c r="G7" i="9"/>
  <c r="G8" i="9"/>
  <c r="G9" i="9"/>
  <c r="G10" i="9"/>
  <c r="G11" i="9"/>
  <c r="G12" i="9"/>
  <c r="G27" i="9"/>
  <c r="G19" i="9"/>
  <c r="G13" i="9"/>
  <c r="G2" i="9"/>
  <c r="G72" i="9"/>
  <c r="G73" i="9"/>
  <c r="G71" i="9"/>
  <c r="G159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38" i="9"/>
  <c r="G163" i="9"/>
  <c r="G162" i="9"/>
  <c r="G161" i="9"/>
  <c r="G160" i="9"/>
  <c r="G165" i="9"/>
  <c r="G166" i="9"/>
  <c r="G167" i="9"/>
  <c r="G168" i="9"/>
  <c r="G169" i="9"/>
  <c r="G170" i="9"/>
  <c r="G171" i="9"/>
  <c r="G16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33" i="9"/>
  <c r="G234" i="9"/>
  <c r="G235" i="9"/>
  <c r="G236" i="9"/>
  <c r="G232" i="9"/>
  <c r="G298" i="9"/>
  <c r="G299" i="9"/>
  <c r="G300" i="9"/>
  <c r="G301" i="9"/>
  <c r="G302" i="9"/>
  <c r="G303" i="9"/>
  <c r="G297" i="9"/>
  <c r="G314" i="9"/>
  <c r="G313" i="9"/>
  <c r="G310" i="9"/>
  <c r="G311" i="9"/>
  <c r="G312" i="9"/>
  <c r="G309" i="9"/>
  <c r="G307" i="9"/>
  <c r="G308" i="9"/>
  <c r="G306" i="9"/>
  <c r="G305" i="9"/>
  <c r="I314" i="6"/>
  <c r="I315" i="6"/>
  <c r="I313" i="6"/>
  <c r="I310" i="6"/>
  <c r="I311" i="6"/>
  <c r="I312" i="6"/>
  <c r="I309" i="6"/>
  <c r="I307" i="6"/>
  <c r="I308" i="6"/>
  <c r="I306" i="6"/>
  <c r="I305" i="6"/>
  <c r="I304" i="6"/>
  <c r="I303" i="6"/>
  <c r="I297" i="6"/>
  <c r="I298" i="6"/>
  <c r="I299" i="6"/>
  <c r="I300" i="6"/>
  <c r="I301" i="6"/>
  <c r="I302" i="6"/>
  <c r="I292" i="6"/>
  <c r="I287" i="6"/>
  <c r="I288" i="6"/>
  <c r="I289" i="6"/>
  <c r="I290" i="6"/>
  <c r="I291" i="6"/>
  <c r="I286" i="6"/>
  <c r="G211" i="16" l="1"/>
  <c r="G152" i="16"/>
  <c r="G138" i="16"/>
  <c r="G112" i="16"/>
  <c r="G96" i="16"/>
  <c r="F250" i="15" l="1"/>
  <c r="F252" i="15"/>
  <c r="F182" i="15"/>
  <c r="F184" i="15"/>
  <c r="F96" i="15"/>
  <c r="F101" i="15"/>
  <c r="F55" i="15"/>
  <c r="F56" i="15"/>
  <c r="F62" i="15"/>
  <c r="F67" i="15"/>
  <c r="F68" i="15"/>
  <c r="F3" i="15"/>
  <c r="F9" i="15"/>
  <c r="E196" i="15"/>
  <c r="E204" i="15"/>
  <c r="E201" i="15"/>
  <c r="E219" i="15"/>
  <c r="E221" i="15"/>
  <c r="E223" i="15"/>
  <c r="E18" i="15"/>
  <c r="E17" i="15"/>
  <c r="E15" i="15"/>
  <c r="E166" i="15"/>
  <c r="E165" i="15"/>
  <c r="E111" i="15"/>
  <c r="F107" i="15" s="1"/>
  <c r="G255" i="16"/>
  <c r="F255" i="16"/>
  <c r="G101" i="16"/>
  <c r="F101" i="16"/>
  <c r="G151" i="16"/>
  <c r="F151" i="16"/>
  <c r="G142" i="16"/>
  <c r="F142" i="16"/>
  <c r="G144" i="16"/>
  <c r="F144" i="16"/>
  <c r="F152" i="16"/>
  <c r="G125" i="16"/>
  <c r="F125" i="16"/>
  <c r="G108" i="16"/>
  <c r="F108" i="16"/>
  <c r="I232" i="16"/>
  <c r="J232" i="16" s="1"/>
  <c r="I233" i="16"/>
  <c r="J233" i="16" s="1"/>
  <c r="I234" i="16"/>
  <c r="J234" i="16" s="1"/>
  <c r="I235" i="16"/>
  <c r="J235" i="16" s="1"/>
  <c r="I236" i="16"/>
  <c r="J236" i="16" s="1"/>
  <c r="H233" i="16"/>
  <c r="H234" i="16"/>
  <c r="H235" i="16"/>
  <c r="H236" i="16"/>
  <c r="H232" i="16"/>
  <c r="G147" i="14"/>
  <c r="F147" i="14"/>
  <c r="G145" i="14"/>
  <c r="F145" i="14"/>
  <c r="G213" i="14"/>
  <c r="I211" i="14" s="1"/>
  <c r="J211" i="14" s="1"/>
  <c r="F213" i="14"/>
  <c r="I228" i="16"/>
  <c r="J228" i="16" s="1"/>
  <c r="I229" i="16"/>
  <c r="J229" i="16" s="1"/>
  <c r="I230" i="16"/>
  <c r="J230" i="16" s="1"/>
  <c r="I231" i="16"/>
  <c r="J231" i="16" s="1"/>
  <c r="H229" i="16"/>
  <c r="H230" i="16"/>
  <c r="H231" i="16"/>
  <c r="H228" i="16"/>
  <c r="I226" i="16"/>
  <c r="J226" i="16" s="1"/>
  <c r="I227" i="16"/>
  <c r="J227" i="16" s="1"/>
  <c r="H227" i="16"/>
  <c r="H226" i="16"/>
  <c r="G241" i="16"/>
  <c r="I239" i="16" s="1"/>
  <c r="J239" i="16" s="1"/>
  <c r="F241" i="16"/>
  <c r="H240" i="16" s="1"/>
  <c r="G213" i="16"/>
  <c r="I214" i="16" s="1"/>
  <c r="J214" i="16" s="1"/>
  <c r="F213" i="16"/>
  <c r="H213" i="16" s="1"/>
  <c r="F211" i="16"/>
  <c r="G195" i="16"/>
  <c r="F195" i="16"/>
  <c r="G196" i="16"/>
  <c r="F196" i="16"/>
  <c r="G210" i="16"/>
  <c r="I201" i="16" s="1"/>
  <c r="J201" i="16" s="1"/>
  <c r="F210" i="16"/>
  <c r="H198" i="16" s="1"/>
  <c r="G181" i="16"/>
  <c r="I175" i="16" s="1"/>
  <c r="J175" i="16" s="1"/>
  <c r="F181" i="16"/>
  <c r="H179" i="16" s="1"/>
  <c r="I161" i="16"/>
  <c r="J161" i="16" s="1"/>
  <c r="I162" i="16"/>
  <c r="J162" i="16" s="1"/>
  <c r="H162" i="16"/>
  <c r="H161" i="16"/>
  <c r="G153" i="16"/>
  <c r="F153" i="16"/>
  <c r="G141" i="16"/>
  <c r="F141" i="16"/>
  <c r="G145" i="16"/>
  <c r="F145" i="16"/>
  <c r="G155" i="16"/>
  <c r="F155" i="16"/>
  <c r="G140" i="16"/>
  <c r="F140" i="16"/>
  <c r="F138" i="16"/>
  <c r="G158" i="14"/>
  <c r="F158" i="14"/>
  <c r="G73" i="14"/>
  <c r="I71" i="14" s="1"/>
  <c r="J71" i="14" s="1"/>
  <c r="F73" i="14"/>
  <c r="G171" i="16"/>
  <c r="I170" i="16" s="1"/>
  <c r="J170" i="16" s="1"/>
  <c r="F171" i="16"/>
  <c r="H164" i="16" s="1"/>
  <c r="I133" i="16"/>
  <c r="I134" i="16"/>
  <c r="J134" i="16" s="1"/>
  <c r="J136" i="16"/>
  <c r="I137" i="16"/>
  <c r="J137" i="16" s="1"/>
  <c r="I74" i="16"/>
  <c r="J74" i="16" s="1"/>
  <c r="I75" i="16"/>
  <c r="J75" i="16" s="1"/>
  <c r="I76" i="16"/>
  <c r="J76" i="16" s="1"/>
  <c r="I77" i="16"/>
  <c r="J77" i="16" s="1"/>
  <c r="I78" i="16"/>
  <c r="J78" i="16" s="1"/>
  <c r="I79" i="16"/>
  <c r="J79" i="16" s="1"/>
  <c r="I80" i="16"/>
  <c r="J80" i="16" s="1"/>
  <c r="I81" i="16"/>
  <c r="J81" i="16" s="1"/>
  <c r="I82" i="16"/>
  <c r="J82" i="16" s="1"/>
  <c r="I83" i="16"/>
  <c r="J83" i="16" s="1"/>
  <c r="I84" i="16"/>
  <c r="J84" i="16" s="1"/>
  <c r="I85" i="16"/>
  <c r="J85" i="16" s="1"/>
  <c r="I86" i="16"/>
  <c r="J86" i="16" s="1"/>
  <c r="H75" i="16"/>
  <c r="H76" i="16"/>
  <c r="H77" i="16"/>
  <c r="H78" i="16"/>
  <c r="H79" i="16"/>
  <c r="H80" i="16"/>
  <c r="H81" i="16"/>
  <c r="H82" i="16"/>
  <c r="H83" i="16"/>
  <c r="H84" i="16"/>
  <c r="H85" i="16"/>
  <c r="H86" i="16"/>
  <c r="H74" i="16"/>
  <c r="G254" i="16"/>
  <c r="I265" i="16" s="1"/>
  <c r="J265" i="16" s="1"/>
  <c r="F254" i="16"/>
  <c r="H247" i="16" s="1"/>
  <c r="G122" i="16"/>
  <c r="F122" i="16"/>
  <c r="F112" i="16"/>
  <c r="G115" i="16"/>
  <c r="F115" i="16"/>
  <c r="G111" i="16"/>
  <c r="F111" i="16"/>
  <c r="G113" i="16"/>
  <c r="F113" i="16"/>
  <c r="G95" i="16"/>
  <c r="F95" i="16"/>
  <c r="G98" i="16"/>
  <c r="F98" i="16"/>
  <c r="F96" i="16"/>
  <c r="I27" i="16"/>
  <c r="J27" i="16" s="1"/>
  <c r="I28" i="16"/>
  <c r="J28" i="16" s="1"/>
  <c r="I29" i="16"/>
  <c r="J29" i="16" s="1"/>
  <c r="I30" i="16"/>
  <c r="J30" i="16" s="1"/>
  <c r="I31" i="16"/>
  <c r="J31" i="16" s="1"/>
  <c r="H28" i="16"/>
  <c r="H29" i="16"/>
  <c r="H30" i="16"/>
  <c r="H31" i="16"/>
  <c r="H27" i="16"/>
  <c r="G39" i="16"/>
  <c r="F39" i="16"/>
  <c r="G52" i="16"/>
  <c r="F52" i="16"/>
  <c r="G69" i="16"/>
  <c r="F69" i="16"/>
  <c r="G44" i="16"/>
  <c r="F44" i="16"/>
  <c r="G36" i="16"/>
  <c r="F36" i="16"/>
  <c r="G55" i="16"/>
  <c r="F55" i="16"/>
  <c r="G64" i="16"/>
  <c r="F64" i="16"/>
  <c r="G56" i="16"/>
  <c r="F56" i="16"/>
  <c r="G67" i="16"/>
  <c r="F67" i="16"/>
  <c r="G22" i="16"/>
  <c r="I23" i="16" s="1"/>
  <c r="J23" i="16" s="1"/>
  <c r="F22" i="16"/>
  <c r="G24" i="16"/>
  <c r="F24" i="16"/>
  <c r="G18" i="16"/>
  <c r="I13" i="16" s="1"/>
  <c r="J13" i="16" s="1"/>
  <c r="F18" i="16"/>
  <c r="H17" i="16" s="1"/>
  <c r="I185" i="16"/>
  <c r="J185" i="16" s="1"/>
  <c r="I186" i="16"/>
  <c r="J186" i="16" s="1"/>
  <c r="I187" i="16"/>
  <c r="J187" i="16" s="1"/>
  <c r="I188" i="16"/>
  <c r="J188" i="16" s="1"/>
  <c r="I189" i="16"/>
  <c r="J189" i="16" s="1"/>
  <c r="I190" i="16"/>
  <c r="J190" i="16" s="1"/>
  <c r="I191" i="16"/>
  <c r="J191" i="16" s="1"/>
  <c r="I192" i="16"/>
  <c r="J192" i="16" s="1"/>
  <c r="I193" i="16"/>
  <c r="J193" i="16" s="1"/>
  <c r="H186" i="16"/>
  <c r="H187" i="16"/>
  <c r="H188" i="16"/>
  <c r="H189" i="16"/>
  <c r="H190" i="16"/>
  <c r="H191" i="16"/>
  <c r="H192" i="16"/>
  <c r="H193" i="16"/>
  <c r="H185" i="16"/>
  <c r="G52" i="14"/>
  <c r="F52" i="14"/>
  <c r="G134" i="14"/>
  <c r="I133" i="14" s="1"/>
  <c r="J133" i="14" s="1"/>
  <c r="F134" i="14"/>
  <c r="G9" i="14"/>
  <c r="I6" i="14" s="1"/>
  <c r="J6" i="14" s="1"/>
  <c r="F9" i="14"/>
  <c r="G57" i="14"/>
  <c r="F57" i="14"/>
  <c r="I245" i="14"/>
  <c r="J245" i="14" s="1"/>
  <c r="I246" i="14"/>
  <c r="J246" i="14" s="1"/>
  <c r="I247" i="14"/>
  <c r="J247" i="14" s="1"/>
  <c r="I248" i="14"/>
  <c r="J248" i="14" s="1"/>
  <c r="I249" i="14"/>
  <c r="J249" i="14" s="1"/>
  <c r="I250" i="14"/>
  <c r="J250" i="14" s="1"/>
  <c r="I251" i="14"/>
  <c r="J251" i="14" s="1"/>
  <c r="I252" i="14"/>
  <c r="J252" i="14" s="1"/>
  <c r="I253" i="14"/>
  <c r="J253" i="14" s="1"/>
  <c r="I254" i="14"/>
  <c r="J254" i="14" s="1"/>
  <c r="I255" i="14"/>
  <c r="J255" i="14" s="1"/>
  <c r="I256" i="14"/>
  <c r="J256" i="14" s="1"/>
  <c r="I257" i="14"/>
  <c r="J257" i="14" s="1"/>
  <c r="I258" i="14"/>
  <c r="J258" i="14" s="1"/>
  <c r="I259" i="14"/>
  <c r="J259" i="14" s="1"/>
  <c r="I260" i="14"/>
  <c r="J260" i="14" s="1"/>
  <c r="I261" i="14"/>
  <c r="J261" i="14" s="1"/>
  <c r="I262" i="14"/>
  <c r="J262" i="14" s="1"/>
  <c r="I263" i="14"/>
  <c r="J263" i="14" s="1"/>
  <c r="I264" i="14"/>
  <c r="J264" i="14" s="1"/>
  <c r="I265" i="14"/>
  <c r="J265" i="14" s="1"/>
  <c r="I266" i="14"/>
  <c r="J266" i="14" s="1"/>
  <c r="I267" i="14"/>
  <c r="J267" i="14" s="1"/>
  <c r="I268" i="14"/>
  <c r="J268" i="14" s="1"/>
  <c r="I269" i="14"/>
  <c r="J269" i="14" s="1"/>
  <c r="I270" i="14"/>
  <c r="J270" i="14" s="1"/>
  <c r="I271" i="14"/>
  <c r="J271" i="14" s="1"/>
  <c r="I272" i="14"/>
  <c r="J272" i="14" s="1"/>
  <c r="I273" i="14"/>
  <c r="J273" i="14" s="1"/>
  <c r="I274" i="14"/>
  <c r="J274" i="14" s="1"/>
  <c r="I275" i="14"/>
  <c r="J275" i="14" s="1"/>
  <c r="I276" i="14"/>
  <c r="J276" i="14" s="1"/>
  <c r="I277" i="14"/>
  <c r="J277" i="14" s="1"/>
  <c r="I278" i="14"/>
  <c r="J278" i="14" s="1"/>
  <c r="I279" i="14"/>
  <c r="J279" i="14" s="1"/>
  <c r="I280" i="14"/>
  <c r="J280" i="14" s="1"/>
  <c r="I281" i="14"/>
  <c r="J281" i="14" s="1"/>
  <c r="I282" i="14"/>
  <c r="J282" i="14" s="1"/>
  <c r="I283" i="14"/>
  <c r="J283" i="14" s="1"/>
  <c r="I284" i="14"/>
  <c r="J284" i="14" s="1"/>
  <c r="I285" i="14"/>
  <c r="J285" i="14" s="1"/>
  <c r="G159" i="14"/>
  <c r="F159" i="14"/>
  <c r="G98" i="14"/>
  <c r="I91" i="14" s="1"/>
  <c r="J91" i="14" s="1"/>
  <c r="F98" i="14"/>
  <c r="G205" i="14"/>
  <c r="I201" i="14" s="1"/>
  <c r="J201" i="14" s="1"/>
  <c r="F205" i="14"/>
  <c r="I254" i="16"/>
  <c r="J254" i="16" s="1"/>
  <c r="H246" i="16"/>
  <c r="I228" i="14"/>
  <c r="J228" i="14" s="1"/>
  <c r="I229" i="14"/>
  <c r="J229" i="14" s="1"/>
  <c r="I230" i="14"/>
  <c r="J230" i="14" s="1"/>
  <c r="I231" i="14"/>
  <c r="J231" i="14" s="1"/>
  <c r="I237" i="14"/>
  <c r="J237" i="14" s="1"/>
  <c r="I238" i="14"/>
  <c r="J238" i="14" s="1"/>
  <c r="I239" i="14"/>
  <c r="J239" i="14" s="1"/>
  <c r="I240" i="14"/>
  <c r="J240" i="14" s="1"/>
  <c r="I241" i="14"/>
  <c r="J241" i="14" s="1"/>
  <c r="I242" i="14"/>
  <c r="J242" i="14" s="1"/>
  <c r="I243" i="14"/>
  <c r="J243" i="14" s="1"/>
  <c r="I244" i="14"/>
  <c r="J244" i="14" s="1"/>
  <c r="I226" i="14"/>
  <c r="J226" i="14" s="1"/>
  <c r="I227" i="14"/>
  <c r="J227" i="14" s="1"/>
  <c r="I237" i="16"/>
  <c r="J237" i="16" s="1"/>
  <c r="I238" i="16"/>
  <c r="J238" i="16" s="1"/>
  <c r="I241" i="16"/>
  <c r="J241" i="16" s="1"/>
  <c r="I242" i="16"/>
  <c r="J242" i="16" s="1"/>
  <c r="H238" i="16"/>
  <c r="H239" i="16"/>
  <c r="I218" i="14"/>
  <c r="J218" i="14" s="1"/>
  <c r="I219" i="14"/>
  <c r="J219" i="14" s="1"/>
  <c r="I220" i="14"/>
  <c r="J220" i="14" s="1"/>
  <c r="I221" i="14"/>
  <c r="J221" i="14" s="1"/>
  <c r="I222" i="14"/>
  <c r="J222" i="14" s="1"/>
  <c r="I223" i="14"/>
  <c r="J223" i="14" s="1"/>
  <c r="I224" i="14"/>
  <c r="J224" i="14" s="1"/>
  <c r="I225" i="14"/>
  <c r="J225" i="14" s="1"/>
  <c r="I218" i="16"/>
  <c r="J218" i="16" s="1"/>
  <c r="I219" i="16"/>
  <c r="J219" i="16" s="1"/>
  <c r="I220" i="16"/>
  <c r="J220" i="16" s="1"/>
  <c r="I221" i="16"/>
  <c r="J221" i="16" s="1"/>
  <c r="I222" i="16"/>
  <c r="J222" i="16" s="1"/>
  <c r="I223" i="16"/>
  <c r="J223" i="16" s="1"/>
  <c r="I224" i="16"/>
  <c r="J224" i="16" s="1"/>
  <c r="I225" i="16"/>
  <c r="J225" i="16" s="1"/>
  <c r="H219" i="16"/>
  <c r="H220" i="16"/>
  <c r="H221" i="16"/>
  <c r="H222" i="16"/>
  <c r="H223" i="16"/>
  <c r="H224" i="16"/>
  <c r="H225" i="16"/>
  <c r="H218" i="16"/>
  <c r="I194" i="16"/>
  <c r="J194" i="16" s="1"/>
  <c r="I197" i="16"/>
  <c r="J197" i="16" s="1"/>
  <c r="I198" i="16"/>
  <c r="J198" i="16" s="1"/>
  <c r="I209" i="16"/>
  <c r="J209" i="16" s="1"/>
  <c r="I210" i="16"/>
  <c r="J210" i="16" s="1"/>
  <c r="H196" i="16"/>
  <c r="H197" i="16"/>
  <c r="I182" i="16"/>
  <c r="J182" i="16" s="1"/>
  <c r="H178" i="16"/>
  <c r="I173" i="14"/>
  <c r="J173" i="14" s="1"/>
  <c r="I174" i="14"/>
  <c r="J174" i="14" s="1"/>
  <c r="I175" i="14"/>
  <c r="J175" i="14" s="1"/>
  <c r="I176" i="14"/>
  <c r="J176" i="14" s="1"/>
  <c r="I177" i="14"/>
  <c r="J177" i="14" s="1"/>
  <c r="I178" i="14"/>
  <c r="J178" i="14" s="1"/>
  <c r="I179" i="14"/>
  <c r="J179" i="14" s="1"/>
  <c r="I180" i="14"/>
  <c r="J180" i="14" s="1"/>
  <c r="I181" i="14"/>
  <c r="J181" i="14" s="1"/>
  <c r="I182" i="14"/>
  <c r="J182" i="14" s="1"/>
  <c r="I183" i="14"/>
  <c r="J183" i="14" s="1"/>
  <c r="I184" i="14"/>
  <c r="J184" i="14" s="1"/>
  <c r="I161" i="14"/>
  <c r="J161" i="14" s="1"/>
  <c r="I162" i="14"/>
  <c r="J162" i="14" s="1"/>
  <c r="I169" i="16"/>
  <c r="J169" i="16" s="1"/>
  <c r="I171" i="16"/>
  <c r="J171" i="16" s="1"/>
  <c r="I164" i="14"/>
  <c r="J164" i="14" s="1"/>
  <c r="I165" i="14"/>
  <c r="J165" i="14" s="1"/>
  <c r="I166" i="14"/>
  <c r="J166" i="14" s="1"/>
  <c r="I167" i="14"/>
  <c r="J167" i="14" s="1"/>
  <c r="I168" i="14"/>
  <c r="J168" i="14" s="1"/>
  <c r="I169" i="14"/>
  <c r="J169" i="14" s="1"/>
  <c r="I170" i="14"/>
  <c r="J170" i="14" s="1"/>
  <c r="I171" i="14"/>
  <c r="J171" i="14" s="1"/>
  <c r="I137" i="14"/>
  <c r="J137" i="14" s="1"/>
  <c r="G125" i="14"/>
  <c r="I108" i="14" s="1"/>
  <c r="J108" i="14" s="1"/>
  <c r="F125" i="14"/>
  <c r="I116" i="16"/>
  <c r="J116" i="16" s="1"/>
  <c r="I232" i="14"/>
  <c r="J232" i="14" s="1"/>
  <c r="I233" i="14"/>
  <c r="J233" i="14" s="1"/>
  <c r="I234" i="14"/>
  <c r="J234" i="14" s="1"/>
  <c r="I235" i="14"/>
  <c r="J235" i="14" s="1"/>
  <c r="I236" i="14"/>
  <c r="J236" i="14" s="1"/>
  <c r="I89" i="14"/>
  <c r="J89" i="14" s="1"/>
  <c r="I105" i="14"/>
  <c r="J105" i="14" s="1"/>
  <c r="G91" i="16"/>
  <c r="F90" i="16"/>
  <c r="G85" i="14"/>
  <c r="I81" i="14" s="1"/>
  <c r="J81" i="14" s="1"/>
  <c r="F85" i="14"/>
  <c r="I27" i="14"/>
  <c r="J27" i="14" s="1"/>
  <c r="I28" i="14"/>
  <c r="J28" i="14" s="1"/>
  <c r="I29" i="14"/>
  <c r="J29" i="14" s="1"/>
  <c r="I30" i="14"/>
  <c r="J30" i="14" s="1"/>
  <c r="I31" i="14"/>
  <c r="J31" i="14" s="1"/>
  <c r="G67" i="14"/>
  <c r="F67" i="14"/>
  <c r="G41" i="14"/>
  <c r="F41" i="14"/>
  <c r="G59" i="14"/>
  <c r="F59" i="14"/>
  <c r="G35" i="14"/>
  <c r="F35" i="14"/>
  <c r="G33" i="14"/>
  <c r="F33" i="14"/>
  <c r="I19" i="14"/>
  <c r="J19" i="14" s="1"/>
  <c r="I20" i="14"/>
  <c r="J20" i="14" s="1"/>
  <c r="I21" i="14"/>
  <c r="J21" i="14" s="1"/>
  <c r="I22" i="14"/>
  <c r="J22" i="14" s="1"/>
  <c r="I23" i="14"/>
  <c r="J23" i="14" s="1"/>
  <c r="I24" i="14"/>
  <c r="J24" i="14" s="1"/>
  <c r="I25" i="14"/>
  <c r="J25" i="14" s="1"/>
  <c r="I26" i="14"/>
  <c r="J26" i="14" s="1"/>
  <c r="H21" i="16"/>
  <c r="G13" i="14"/>
  <c r="I18" i="14" s="1"/>
  <c r="J18" i="14" s="1"/>
  <c r="F13" i="14"/>
  <c r="I2" i="16"/>
  <c r="J2" i="16" s="1"/>
  <c r="I3" i="16"/>
  <c r="J3" i="16" s="1"/>
  <c r="I4" i="16"/>
  <c r="J4" i="16" s="1"/>
  <c r="I5" i="16"/>
  <c r="J5" i="16" s="1"/>
  <c r="I6" i="16"/>
  <c r="J6" i="16" s="1"/>
  <c r="I7" i="16"/>
  <c r="J7" i="16" s="1"/>
  <c r="I8" i="16"/>
  <c r="J8" i="16" s="1"/>
  <c r="I9" i="16"/>
  <c r="J9" i="16" s="1"/>
  <c r="I10" i="16"/>
  <c r="J10" i="16" s="1"/>
  <c r="I11" i="16"/>
  <c r="J11" i="16" s="1"/>
  <c r="I12" i="16"/>
  <c r="J12" i="16" s="1"/>
  <c r="H2" i="16"/>
  <c r="H3" i="16"/>
  <c r="H4" i="16"/>
  <c r="H5" i="16"/>
  <c r="H6" i="16"/>
  <c r="H7" i="16"/>
  <c r="H8" i="16"/>
  <c r="H9" i="16"/>
  <c r="H10" i="16"/>
  <c r="H11" i="16"/>
  <c r="H12" i="16"/>
  <c r="I5" i="14"/>
  <c r="J5" i="14" s="1"/>
  <c r="G190" i="14"/>
  <c r="F190" i="14"/>
  <c r="G186" i="14"/>
  <c r="F186" i="14"/>
  <c r="G189" i="14"/>
  <c r="F189" i="14"/>
  <c r="H231" i="6"/>
  <c r="H221" i="6"/>
  <c r="H211" i="6"/>
  <c r="H209" i="6"/>
  <c r="H207" i="6"/>
  <c r="H205" i="6"/>
  <c r="H151" i="6"/>
  <c r="G254" i="6"/>
  <c r="H254" i="6" s="1"/>
  <c r="G242" i="6"/>
  <c r="H242" i="6" s="1"/>
  <c r="G226" i="6"/>
  <c r="H226" i="6" s="1"/>
  <c r="G225" i="6"/>
  <c r="G195" i="6"/>
  <c r="H195" i="6" s="1"/>
  <c r="G189" i="6"/>
  <c r="H189" i="6" s="1"/>
  <c r="G153" i="6"/>
  <c r="H153" i="6" s="1"/>
  <c r="G152" i="6"/>
  <c r="H152" i="6" s="1"/>
  <c r="G141" i="6"/>
  <c r="H141" i="6" s="1"/>
  <c r="G125" i="6"/>
  <c r="H125" i="6" s="1"/>
  <c r="G116" i="6"/>
  <c r="H116" i="6" s="1"/>
  <c r="G112" i="6"/>
  <c r="G108" i="6"/>
  <c r="H108" i="6" s="1"/>
  <c r="G106" i="6"/>
  <c r="H106" i="6" s="1"/>
  <c r="G101" i="6"/>
  <c r="H101" i="6" s="1"/>
  <c r="G90" i="6"/>
  <c r="H90" i="6" s="1"/>
  <c r="G89" i="6"/>
  <c r="H89" i="6" s="1"/>
  <c r="G82" i="6"/>
  <c r="H82" i="6" s="1"/>
  <c r="G74" i="6"/>
  <c r="H74" i="6" s="1"/>
  <c r="G64" i="6"/>
  <c r="H64" i="6" s="1"/>
  <c r="G63" i="6"/>
  <c r="G59" i="6"/>
  <c r="H59" i="6" s="1"/>
  <c r="G54" i="6"/>
  <c r="H54" i="6" s="1"/>
  <c r="G44" i="6"/>
  <c r="H44" i="6" s="1"/>
  <c r="G9" i="6"/>
  <c r="H9" i="6" s="1"/>
  <c r="F88" i="6"/>
  <c r="H88" i="6" s="1"/>
  <c r="F63" i="6"/>
  <c r="H225" i="6"/>
  <c r="H112" i="6"/>
  <c r="H5" i="6"/>
  <c r="H17" i="6"/>
  <c r="H21" i="6"/>
  <c r="H26" i="6"/>
  <c r="H34" i="6"/>
  <c r="H42" i="6"/>
  <c r="H45" i="6"/>
  <c r="H46" i="6"/>
  <c r="H48" i="6"/>
  <c r="H51" i="6"/>
  <c r="H55" i="6"/>
  <c r="H69" i="6"/>
  <c r="H79" i="6"/>
  <c r="H87" i="6"/>
  <c r="H93" i="6"/>
  <c r="H94" i="6"/>
  <c r="H98" i="6"/>
  <c r="H119" i="6"/>
  <c r="H126" i="6"/>
  <c r="H133" i="6"/>
  <c r="H135" i="6" s="1"/>
  <c r="H134" i="6"/>
  <c r="H138" i="6"/>
  <c r="H139" i="6"/>
  <c r="H145" i="6"/>
  <c r="H148" i="6"/>
  <c r="H150" i="6"/>
  <c r="H156" i="6"/>
  <c r="H163" i="6"/>
  <c r="H166" i="6"/>
  <c r="H169" i="6"/>
  <c r="H180" i="6"/>
  <c r="H190" i="6"/>
  <c r="H194" i="6"/>
  <c r="H214" i="6"/>
  <c r="H222" i="6"/>
  <c r="H227" i="6"/>
  <c r="H230" i="6"/>
  <c r="H234" i="6"/>
  <c r="H235" i="6"/>
  <c r="H238" i="6"/>
  <c r="H244" i="6"/>
  <c r="H252" i="6"/>
  <c r="H278" i="6"/>
  <c r="H279" i="6"/>
  <c r="H4" i="6"/>
  <c r="G184" i="8"/>
  <c r="G152" i="8"/>
  <c r="G96" i="8"/>
  <c r="G184" i="3"/>
  <c r="F254" i="17"/>
  <c r="F242" i="17"/>
  <c r="F90" i="17"/>
  <c r="G89" i="17" s="1"/>
  <c r="F227" i="17"/>
  <c r="F141" i="17"/>
  <c r="G152" i="17" s="1"/>
  <c r="F59" i="17"/>
  <c r="F64" i="17"/>
  <c r="G59" i="17" s="1"/>
  <c r="F108" i="17"/>
  <c r="G125" i="17" s="1"/>
  <c r="F9" i="17"/>
  <c r="G4" i="17" s="1"/>
  <c r="F189" i="17"/>
  <c r="G4" i="10"/>
  <c r="G12" i="10"/>
  <c r="G3" i="10"/>
  <c r="G235" i="10"/>
  <c r="G234" i="10"/>
  <c r="F125" i="10"/>
  <c r="F126" i="10"/>
  <c r="G126" i="10" s="1"/>
  <c r="F56" i="10"/>
  <c r="F55" i="10"/>
  <c r="F67" i="10"/>
  <c r="F57" i="10"/>
  <c r="F36" i="10"/>
  <c r="G79" i="10"/>
  <c r="G85" i="10"/>
  <c r="G74" i="10"/>
  <c r="F155" i="10"/>
  <c r="G142" i="10" s="1"/>
  <c r="G290" i="10"/>
  <c r="G291" i="10"/>
  <c r="G289" i="10"/>
  <c r="G181" i="10"/>
  <c r="G182" i="10"/>
  <c r="G173" i="10"/>
  <c r="G201" i="10"/>
  <c r="G199" i="10"/>
  <c r="G213" i="10"/>
  <c r="G214" i="10"/>
  <c r="G220" i="10"/>
  <c r="G224" i="10"/>
  <c r="G250" i="10"/>
  <c r="G262" i="10"/>
  <c r="G267" i="10"/>
  <c r="F98" i="10"/>
  <c r="G89" i="10" s="1"/>
  <c r="G291" i="9"/>
  <c r="G296" i="9" s="1"/>
  <c r="F315" i="9"/>
  <c r="G125" i="9"/>
  <c r="G112" i="9"/>
  <c r="F55" i="9"/>
  <c r="G55" i="9" s="1"/>
  <c r="F87" i="9"/>
  <c r="G88" i="9" s="1"/>
  <c r="G55" i="11"/>
  <c r="G56" i="11"/>
  <c r="G62" i="11"/>
  <c r="G67" i="11"/>
  <c r="J36" i="12"/>
  <c r="J44" i="12"/>
  <c r="J54" i="12"/>
  <c r="J62" i="12"/>
  <c r="J66" i="12"/>
  <c r="J68" i="12"/>
  <c r="J96" i="12"/>
  <c r="J98" i="12"/>
  <c r="J111" i="12"/>
  <c r="J116" i="12"/>
  <c r="J125" i="12"/>
  <c r="J126" i="12"/>
  <c r="J148" i="12"/>
  <c r="J149" i="12"/>
  <c r="J152" i="12"/>
  <c r="J165" i="12"/>
  <c r="J181" i="12"/>
  <c r="J182" i="12"/>
  <c r="J183" i="12"/>
  <c r="J184" i="12"/>
  <c r="J201" i="12"/>
  <c r="J210" i="12"/>
  <c r="K210" i="12" s="1"/>
  <c r="J211" i="12"/>
  <c r="J221" i="12"/>
  <c r="J228" i="12"/>
  <c r="J233" i="12"/>
  <c r="J245" i="12"/>
  <c r="J250" i="12"/>
  <c r="J252" i="12"/>
  <c r="J282" i="12"/>
  <c r="G56" i="12"/>
  <c r="G55" i="12"/>
  <c r="G101" i="12"/>
  <c r="G3" i="12"/>
  <c r="J3" i="12" s="1"/>
  <c r="F56" i="12"/>
  <c r="F55" i="12"/>
  <c r="F101" i="12"/>
  <c r="G5" i="3"/>
  <c r="I26" i="16" l="1"/>
  <c r="J26" i="16" s="1"/>
  <c r="I22" i="16"/>
  <c r="J22" i="16" s="1"/>
  <c r="H210" i="16"/>
  <c r="H15" i="16"/>
  <c r="I21" i="16"/>
  <c r="J21" i="16" s="1"/>
  <c r="H171" i="16"/>
  <c r="H206" i="16"/>
  <c r="I206" i="16"/>
  <c r="J206" i="16" s="1"/>
  <c r="I213" i="16"/>
  <c r="J213" i="16" s="1"/>
  <c r="H245" i="16"/>
  <c r="H14" i="16"/>
  <c r="I20" i="16"/>
  <c r="J20" i="16" s="1"/>
  <c r="H170" i="16"/>
  <c r="H205" i="16"/>
  <c r="I205" i="16"/>
  <c r="J205" i="16" s="1"/>
  <c r="I212" i="16"/>
  <c r="J212" i="16" s="1"/>
  <c r="H272" i="16"/>
  <c r="H211" i="16"/>
  <c r="H167" i="16"/>
  <c r="H204" i="16"/>
  <c r="I202" i="16"/>
  <c r="J202" i="16" s="1"/>
  <c r="H243" i="16"/>
  <c r="H270" i="16"/>
  <c r="I24" i="16"/>
  <c r="J24" i="16" s="1"/>
  <c r="I174" i="16"/>
  <c r="J174" i="16" s="1"/>
  <c r="I108" i="16"/>
  <c r="J108" i="16" s="1"/>
  <c r="H166" i="16"/>
  <c r="H202" i="16"/>
  <c r="H242" i="16"/>
  <c r="H254" i="16"/>
  <c r="G64" i="17"/>
  <c r="F221" i="15"/>
  <c r="I102" i="14"/>
  <c r="J102" i="14" s="1"/>
  <c r="I101" i="14"/>
  <c r="J101" i="14" s="1"/>
  <c r="I97" i="14"/>
  <c r="J97" i="14" s="1"/>
  <c r="H41" i="14"/>
  <c r="I98" i="14"/>
  <c r="J98" i="14" s="1"/>
  <c r="I94" i="14"/>
  <c r="J94" i="14" s="1"/>
  <c r="I93" i="14"/>
  <c r="J93" i="14" s="1"/>
  <c r="H190" i="14"/>
  <c r="I90" i="14"/>
  <c r="J90" i="14" s="1"/>
  <c r="H81" i="14"/>
  <c r="H74" i="14"/>
  <c r="H82" i="14"/>
  <c r="H75" i="14"/>
  <c r="H83" i="14"/>
  <c r="H76" i="14"/>
  <c r="H84" i="14"/>
  <c r="H80" i="14"/>
  <c r="H77" i="14"/>
  <c r="H85" i="14"/>
  <c r="H78" i="14"/>
  <c r="H86" i="14"/>
  <c r="H79" i="14"/>
  <c r="I200" i="14"/>
  <c r="J200" i="14" s="1"/>
  <c r="H57" i="14"/>
  <c r="H216" i="14"/>
  <c r="H215" i="14"/>
  <c r="H217" i="14"/>
  <c r="H211" i="14"/>
  <c r="H212" i="14"/>
  <c r="H213" i="14"/>
  <c r="H214" i="14"/>
  <c r="H16" i="14"/>
  <c r="H17" i="14"/>
  <c r="H18" i="14"/>
  <c r="H15" i="14"/>
  <c r="H13" i="14"/>
  <c r="H14" i="14"/>
  <c r="H32" i="14"/>
  <c r="H40" i="14"/>
  <c r="H48" i="14"/>
  <c r="H56" i="14"/>
  <c r="H64" i="14"/>
  <c r="H47" i="14"/>
  <c r="H33" i="14"/>
  <c r="H49" i="14"/>
  <c r="H65" i="14"/>
  <c r="H39" i="14"/>
  <c r="H34" i="14"/>
  <c r="H42" i="14"/>
  <c r="H50" i="14"/>
  <c r="H58" i="14"/>
  <c r="H66" i="14"/>
  <c r="H43" i="14"/>
  <c r="H51" i="14"/>
  <c r="H55" i="14"/>
  <c r="H36" i="14"/>
  <c r="H44" i="14"/>
  <c r="H60" i="14"/>
  <c r="H68" i="14"/>
  <c r="H37" i="14"/>
  <c r="H45" i="14"/>
  <c r="H53" i="14"/>
  <c r="H61" i="14"/>
  <c r="H69" i="14"/>
  <c r="H38" i="14"/>
  <c r="H46" i="14"/>
  <c r="H54" i="14"/>
  <c r="H62" i="14"/>
  <c r="H63" i="14"/>
  <c r="H67" i="14"/>
  <c r="I199" i="14"/>
  <c r="J199" i="14" s="1"/>
  <c r="H200" i="14"/>
  <c r="H208" i="14"/>
  <c r="H201" i="14"/>
  <c r="H209" i="14"/>
  <c r="H194" i="14"/>
  <c r="H202" i="14"/>
  <c r="H210" i="14"/>
  <c r="H195" i="14"/>
  <c r="H203" i="14"/>
  <c r="H199" i="14"/>
  <c r="H196" i="14"/>
  <c r="H204" i="14"/>
  <c r="H197" i="14"/>
  <c r="H205" i="14"/>
  <c r="H207" i="14"/>
  <c r="H198" i="14"/>
  <c r="H206" i="14"/>
  <c r="H140" i="14"/>
  <c r="H148" i="14"/>
  <c r="H156" i="14"/>
  <c r="H155" i="14"/>
  <c r="H141" i="14"/>
  <c r="H149" i="14"/>
  <c r="H157" i="14"/>
  <c r="H142" i="14"/>
  <c r="H150" i="14"/>
  <c r="H143" i="14"/>
  <c r="H151" i="14"/>
  <c r="H139" i="14"/>
  <c r="H144" i="14"/>
  <c r="H152" i="14"/>
  <c r="H145" i="14"/>
  <c r="H153" i="14"/>
  <c r="H138" i="14"/>
  <c r="H146" i="14"/>
  <c r="H154" i="14"/>
  <c r="H35" i="14"/>
  <c r="H113" i="14"/>
  <c r="H121" i="14"/>
  <c r="H129" i="14"/>
  <c r="H106" i="14"/>
  <c r="H114" i="14"/>
  <c r="H122" i="14"/>
  <c r="H130" i="14"/>
  <c r="H107" i="14"/>
  <c r="H115" i="14"/>
  <c r="H123" i="14"/>
  <c r="H131" i="14"/>
  <c r="H108" i="14"/>
  <c r="H116" i="14"/>
  <c r="H124" i="14"/>
  <c r="H132" i="14"/>
  <c r="H109" i="14"/>
  <c r="H117" i="14"/>
  <c r="H125" i="14"/>
  <c r="H112" i="14"/>
  <c r="H110" i="14"/>
  <c r="H118" i="14"/>
  <c r="H126" i="14"/>
  <c r="H128" i="14"/>
  <c r="H111" i="14"/>
  <c r="H119" i="14"/>
  <c r="H127" i="14"/>
  <c r="H120" i="14"/>
  <c r="H89" i="14"/>
  <c r="H97" i="14"/>
  <c r="H105" i="14"/>
  <c r="H88" i="14"/>
  <c r="H90" i="14"/>
  <c r="H98" i="14"/>
  <c r="H96" i="14"/>
  <c r="H91" i="14"/>
  <c r="H99" i="14"/>
  <c r="H104" i="14"/>
  <c r="H92" i="14"/>
  <c r="H100" i="14"/>
  <c r="H93" i="14"/>
  <c r="H101" i="14"/>
  <c r="H94" i="14"/>
  <c r="H102" i="14"/>
  <c r="H87" i="14"/>
  <c r="H95" i="14"/>
  <c r="H103" i="14"/>
  <c r="H189" i="14"/>
  <c r="H192" i="14"/>
  <c r="H185" i="14"/>
  <c r="H193" i="14"/>
  <c r="H186" i="14"/>
  <c r="H187" i="14"/>
  <c r="H188" i="14"/>
  <c r="H191" i="14"/>
  <c r="H136" i="14"/>
  <c r="H133" i="14"/>
  <c r="H137" i="14"/>
  <c r="H134" i="14"/>
  <c r="H73" i="14"/>
  <c r="H71" i="14"/>
  <c r="H72" i="14"/>
  <c r="H147" i="14"/>
  <c r="H8" i="14"/>
  <c r="H9" i="14"/>
  <c r="H2" i="14"/>
  <c r="H10" i="14"/>
  <c r="H3" i="14"/>
  <c r="H11" i="14"/>
  <c r="H4" i="14"/>
  <c r="H12" i="14"/>
  <c r="H5" i="14"/>
  <c r="H6" i="14"/>
  <c r="H7" i="14"/>
  <c r="H59" i="14"/>
  <c r="I136" i="14"/>
  <c r="I134" i="14"/>
  <c r="J134" i="14" s="1"/>
  <c r="H52" i="14"/>
  <c r="H158" i="14"/>
  <c r="K250" i="12"/>
  <c r="J56" i="12"/>
  <c r="J133" i="16"/>
  <c r="I135" i="16"/>
  <c r="J135" i="16" s="1"/>
  <c r="F166" i="15"/>
  <c r="F196" i="15"/>
  <c r="I181" i="16"/>
  <c r="J181" i="16" s="1"/>
  <c r="I173" i="16"/>
  <c r="J173" i="16" s="1"/>
  <c r="H217" i="16"/>
  <c r="I19" i="16"/>
  <c r="J19" i="16" s="1"/>
  <c r="I95" i="16"/>
  <c r="J95" i="16" s="1"/>
  <c r="I180" i="16"/>
  <c r="J180" i="16" s="1"/>
  <c r="H194" i="16"/>
  <c r="H203" i="16"/>
  <c r="H195" i="16"/>
  <c r="H214" i="16"/>
  <c r="I211" i="16"/>
  <c r="J211" i="16" s="1"/>
  <c r="I124" i="16"/>
  <c r="J124" i="16" s="1"/>
  <c r="I25" i="16"/>
  <c r="J25" i="16" s="1"/>
  <c r="I178" i="16"/>
  <c r="J178" i="16" s="1"/>
  <c r="H209" i="16"/>
  <c r="H201" i="16"/>
  <c r="I217" i="16"/>
  <c r="J217" i="16" s="1"/>
  <c r="I275" i="16"/>
  <c r="J275" i="16" s="1"/>
  <c r="I273" i="16"/>
  <c r="J273" i="16" s="1"/>
  <c r="I179" i="16"/>
  <c r="J179" i="16" s="1"/>
  <c r="I177" i="16"/>
  <c r="J177" i="16" s="1"/>
  <c r="H208" i="16"/>
  <c r="H200" i="16"/>
  <c r="I216" i="16"/>
  <c r="J216" i="16" s="1"/>
  <c r="I184" i="16"/>
  <c r="J184" i="16" s="1"/>
  <c r="I176" i="16"/>
  <c r="J176" i="16" s="1"/>
  <c r="H207" i="16"/>
  <c r="H199" i="16"/>
  <c r="I215" i="16"/>
  <c r="J215" i="16" s="1"/>
  <c r="I257" i="16"/>
  <c r="J257" i="16" s="1"/>
  <c r="H22" i="16"/>
  <c r="I195" i="16"/>
  <c r="J195" i="16" s="1"/>
  <c r="I183" i="16"/>
  <c r="J183" i="16" s="1"/>
  <c r="H215" i="16"/>
  <c r="I131" i="14"/>
  <c r="J131" i="14" s="1"/>
  <c r="I194" i="14"/>
  <c r="J194" i="14" s="1"/>
  <c r="I123" i="14"/>
  <c r="J123" i="14" s="1"/>
  <c r="I209" i="14"/>
  <c r="J209" i="14" s="1"/>
  <c r="I210" i="14"/>
  <c r="J210" i="14" s="1"/>
  <c r="I107" i="14"/>
  <c r="J107" i="14" s="1"/>
  <c r="I208" i="14"/>
  <c r="J208" i="14" s="1"/>
  <c r="I195" i="14"/>
  <c r="J195" i="14" s="1"/>
  <c r="I207" i="14"/>
  <c r="J207" i="14" s="1"/>
  <c r="I202" i="14"/>
  <c r="J202" i="14" s="1"/>
  <c r="I206" i="14"/>
  <c r="J206" i="14" s="1"/>
  <c r="I35" i="14"/>
  <c r="J35" i="14" s="1"/>
  <c r="I189" i="14"/>
  <c r="J189" i="14" s="1"/>
  <c r="K152" i="12"/>
  <c r="K184" i="12"/>
  <c r="G148" i="8"/>
  <c r="G5" i="8"/>
  <c r="G183" i="3"/>
  <c r="G245" i="3"/>
  <c r="G182" i="3"/>
  <c r="G141" i="17"/>
  <c r="G9" i="17"/>
  <c r="G124" i="17"/>
  <c r="I230" i="6"/>
  <c r="I26" i="6"/>
  <c r="I244" i="6"/>
  <c r="I234" i="6"/>
  <c r="I169" i="6"/>
  <c r="I82" i="6"/>
  <c r="I189" i="6"/>
  <c r="I226" i="6"/>
  <c r="I222" i="6"/>
  <c r="I88" i="6"/>
  <c r="I214" i="6"/>
  <c r="I133" i="6"/>
  <c r="I135" i="6" s="1"/>
  <c r="I125" i="6"/>
  <c r="I278" i="6"/>
  <c r="G282" i="3"/>
  <c r="G288" i="9"/>
  <c r="G67" i="10"/>
  <c r="G108" i="17"/>
  <c r="I254" i="6"/>
  <c r="I227" i="6"/>
  <c r="I166" i="6"/>
  <c r="I134" i="6"/>
  <c r="I87" i="6"/>
  <c r="I89" i="6"/>
  <c r="I104" i="14"/>
  <c r="J104" i="14" s="1"/>
  <c r="I96" i="14"/>
  <c r="J96" i="14" s="1"/>
  <c r="I88" i="14"/>
  <c r="J88" i="14" s="1"/>
  <c r="H169" i="16"/>
  <c r="I208" i="16"/>
  <c r="J208" i="16" s="1"/>
  <c r="I200" i="16"/>
  <c r="J200" i="16" s="1"/>
  <c r="H212" i="16"/>
  <c r="H237" i="16"/>
  <c r="I244" i="16"/>
  <c r="J244" i="16" s="1"/>
  <c r="H280" i="16"/>
  <c r="I283" i="16"/>
  <c r="J283" i="16" s="1"/>
  <c r="F165" i="15"/>
  <c r="F201" i="15"/>
  <c r="I93" i="6"/>
  <c r="G290" i="9"/>
  <c r="G295" i="9" s="1"/>
  <c r="G62" i="10"/>
  <c r="G150" i="17"/>
  <c r="I279" i="6"/>
  <c r="I79" i="6"/>
  <c r="I152" i="6"/>
  <c r="I151" i="6"/>
  <c r="H16" i="16"/>
  <c r="H23" i="16"/>
  <c r="I103" i="14"/>
  <c r="J103" i="14" s="1"/>
  <c r="I95" i="14"/>
  <c r="J95" i="14" s="1"/>
  <c r="I87" i="14"/>
  <c r="J87" i="14" s="1"/>
  <c r="H168" i="16"/>
  <c r="I207" i="16"/>
  <c r="J207" i="16" s="1"/>
  <c r="I199" i="16"/>
  <c r="J199" i="16" s="1"/>
  <c r="H244" i="16"/>
  <c r="I243" i="16"/>
  <c r="J243" i="16" s="1"/>
  <c r="H278" i="16"/>
  <c r="I281" i="16"/>
  <c r="J281" i="16" s="1"/>
  <c r="F204" i="15"/>
  <c r="I101" i="6"/>
  <c r="I112" i="6"/>
  <c r="F17" i="15"/>
  <c r="I126" i="6"/>
  <c r="I119" i="6"/>
  <c r="K116" i="12"/>
  <c r="G113" i="10"/>
  <c r="G63" i="17"/>
  <c r="G183" i="8"/>
  <c r="G282" i="8"/>
  <c r="I238" i="6"/>
  <c r="I194" i="6"/>
  <c r="I148" i="6"/>
  <c r="H63" i="6"/>
  <c r="I54" i="6" s="1"/>
  <c r="I108" i="6"/>
  <c r="I195" i="6"/>
  <c r="I100" i="14"/>
  <c r="J100" i="14" s="1"/>
  <c r="I92" i="14"/>
  <c r="J92" i="14" s="1"/>
  <c r="I132" i="16"/>
  <c r="J132" i="16" s="1"/>
  <c r="I115" i="14"/>
  <c r="J115" i="14" s="1"/>
  <c r="H165" i="16"/>
  <c r="I204" i="16"/>
  <c r="J204" i="16" s="1"/>
  <c r="I196" i="16"/>
  <c r="J196" i="16" s="1"/>
  <c r="H216" i="16"/>
  <c r="H241" i="16"/>
  <c r="I240" i="16"/>
  <c r="J240" i="16" s="1"/>
  <c r="H264" i="16"/>
  <c r="I267" i="16"/>
  <c r="J267" i="16" s="1"/>
  <c r="F18" i="15"/>
  <c r="I242" i="6"/>
  <c r="J55" i="12"/>
  <c r="K68" i="12" s="1"/>
  <c r="G112" i="10"/>
  <c r="G48" i="17"/>
  <c r="I4" i="6"/>
  <c r="I235" i="6"/>
  <c r="I190" i="6"/>
  <c r="I145" i="6"/>
  <c r="I98" i="6"/>
  <c r="I21" i="6"/>
  <c r="I225" i="6"/>
  <c r="I99" i="14"/>
  <c r="J99" i="14" s="1"/>
  <c r="I203" i="16"/>
  <c r="J203" i="16" s="1"/>
  <c r="H262" i="16"/>
  <c r="F223" i="15"/>
  <c r="I221" i="6"/>
  <c r="I231" i="6"/>
  <c r="F219" i="15"/>
  <c r="G87" i="9"/>
  <c r="I209" i="6"/>
  <c r="I139" i="6"/>
  <c r="I138" i="6"/>
  <c r="I5" i="6"/>
  <c r="I9" i="6"/>
  <c r="I141" i="6"/>
  <c r="I156" i="6"/>
  <c r="I153" i="6"/>
  <c r="I205" i="6"/>
  <c r="I150" i="6"/>
  <c r="I106" i="6"/>
  <c r="I116" i="6"/>
  <c r="I207" i="6"/>
  <c r="J101" i="12"/>
  <c r="K101" i="12" s="1"/>
  <c r="K282" i="12"/>
  <c r="K149" i="12"/>
  <c r="G46" i="9"/>
  <c r="G138" i="10"/>
  <c r="G56" i="10"/>
  <c r="G156" i="17"/>
  <c r="F15" i="15"/>
  <c r="F119" i="15"/>
  <c r="K252" i="12"/>
  <c r="K201" i="12"/>
  <c r="K148" i="12"/>
  <c r="G148" i="3"/>
  <c r="I94" i="6"/>
  <c r="I252" i="6"/>
  <c r="F114" i="15"/>
  <c r="K126" i="12"/>
  <c r="I17" i="14"/>
  <c r="J17" i="14" s="1"/>
  <c r="F111" i="15"/>
  <c r="K245" i="12"/>
  <c r="G139" i="17"/>
  <c r="G101" i="17"/>
  <c r="I74" i="6"/>
  <c r="I90" i="6"/>
  <c r="I211" i="6"/>
  <c r="F225" i="15"/>
  <c r="K182" i="12"/>
  <c r="G42" i="10"/>
  <c r="G153" i="17"/>
  <c r="G90" i="17"/>
  <c r="K183" i="12"/>
  <c r="K111" i="12"/>
  <c r="G57" i="10"/>
  <c r="I149" i="6"/>
  <c r="I188" i="14"/>
  <c r="J188" i="14" s="1"/>
  <c r="I80" i="14"/>
  <c r="J80" i="14" s="1"/>
  <c r="I33" i="14"/>
  <c r="J33" i="14" s="1"/>
  <c r="G87" i="10"/>
  <c r="G55" i="10"/>
  <c r="I190" i="14"/>
  <c r="J190" i="14" s="1"/>
  <c r="I256" i="16"/>
  <c r="J256" i="16" s="1"/>
  <c r="I280" i="16"/>
  <c r="J280" i="16" s="1"/>
  <c r="I272" i="16"/>
  <c r="J272" i="16" s="1"/>
  <c r="I264" i="16"/>
  <c r="J264" i="16" s="1"/>
  <c r="I253" i="16"/>
  <c r="J253" i="16" s="1"/>
  <c r="I279" i="16"/>
  <c r="J279" i="16" s="1"/>
  <c r="I271" i="16"/>
  <c r="J271" i="16" s="1"/>
  <c r="I262" i="16"/>
  <c r="J262" i="16" s="1"/>
  <c r="I248" i="16"/>
  <c r="J248" i="16" s="1"/>
  <c r="I278" i="16"/>
  <c r="J278" i="16" s="1"/>
  <c r="I270" i="16"/>
  <c r="J270" i="16" s="1"/>
  <c r="I261" i="16"/>
  <c r="J261" i="16" s="1"/>
  <c r="I245" i="16"/>
  <c r="J245" i="16" s="1"/>
  <c r="I285" i="16"/>
  <c r="J285" i="16" s="1"/>
  <c r="I277" i="16"/>
  <c r="J277" i="16" s="1"/>
  <c r="I269" i="16"/>
  <c r="J269" i="16" s="1"/>
  <c r="I259" i="16"/>
  <c r="J259" i="16" s="1"/>
  <c r="I246" i="16"/>
  <c r="J246" i="16" s="1"/>
  <c r="I284" i="16"/>
  <c r="J284" i="16" s="1"/>
  <c r="I276" i="16"/>
  <c r="J276" i="16" s="1"/>
  <c r="I268" i="16"/>
  <c r="J268" i="16" s="1"/>
  <c r="I258" i="16"/>
  <c r="J258" i="16" s="1"/>
  <c r="I282" i="16"/>
  <c r="J282" i="16" s="1"/>
  <c r="I274" i="16"/>
  <c r="J274" i="16" s="1"/>
  <c r="I266" i="16"/>
  <c r="J266" i="16" s="1"/>
  <c r="I249" i="16"/>
  <c r="J249" i="16" s="1"/>
  <c r="I247" i="16"/>
  <c r="J247" i="16" s="1"/>
  <c r="I141" i="14"/>
  <c r="J141" i="14" s="1"/>
  <c r="I155" i="14"/>
  <c r="J155" i="14" s="1"/>
  <c r="I147" i="14"/>
  <c r="J147" i="14" s="1"/>
  <c r="I139" i="14"/>
  <c r="J139" i="14" s="1"/>
  <c r="I154" i="14"/>
  <c r="J154" i="14" s="1"/>
  <c r="I146" i="14"/>
  <c r="J146" i="14" s="1"/>
  <c r="I138" i="14"/>
  <c r="J138" i="14" s="1"/>
  <c r="I153" i="14"/>
  <c r="J153" i="14" s="1"/>
  <c r="I145" i="14"/>
  <c r="J145" i="14" s="1"/>
  <c r="I148" i="14"/>
  <c r="J148" i="14" s="1"/>
  <c r="I152" i="14"/>
  <c r="J152" i="14" s="1"/>
  <c r="I144" i="14"/>
  <c r="J144" i="14" s="1"/>
  <c r="I140" i="14"/>
  <c r="J140" i="14" s="1"/>
  <c r="I151" i="14"/>
  <c r="J151" i="14" s="1"/>
  <c r="I143" i="14"/>
  <c r="J143" i="14" s="1"/>
  <c r="I156" i="14"/>
  <c r="J156" i="14" s="1"/>
  <c r="I158" i="14"/>
  <c r="J158" i="14" s="1"/>
  <c r="I150" i="14"/>
  <c r="J150" i="14" s="1"/>
  <c r="I142" i="14"/>
  <c r="J142" i="14" s="1"/>
  <c r="I157" i="14"/>
  <c r="J157" i="14" s="1"/>
  <c r="I149" i="14"/>
  <c r="J149" i="14" s="1"/>
  <c r="H24" i="16"/>
  <c r="H173" i="16"/>
  <c r="H177" i="16"/>
  <c r="H184" i="16"/>
  <c r="H176" i="16"/>
  <c r="H183" i="16"/>
  <c r="H175" i="16"/>
  <c r="H182" i="16"/>
  <c r="H174" i="16"/>
  <c r="H181" i="16"/>
  <c r="H180" i="16"/>
  <c r="H146" i="16"/>
  <c r="I140" i="16"/>
  <c r="J140" i="16" s="1"/>
  <c r="H138" i="16"/>
  <c r="H155" i="16"/>
  <c r="H154" i="16"/>
  <c r="H152" i="16"/>
  <c r="H145" i="16"/>
  <c r="H144" i="16"/>
  <c r="I154" i="16"/>
  <c r="J154" i="16" s="1"/>
  <c r="I146" i="16"/>
  <c r="J146" i="16" s="1"/>
  <c r="I138" i="16"/>
  <c r="J138" i="16" s="1"/>
  <c r="I153" i="16"/>
  <c r="J153" i="16" s="1"/>
  <c r="I145" i="16"/>
  <c r="J145" i="16" s="1"/>
  <c r="I152" i="16"/>
  <c r="J152" i="16" s="1"/>
  <c r="I144" i="16"/>
  <c r="J144" i="16" s="1"/>
  <c r="I147" i="16"/>
  <c r="J147" i="16" s="1"/>
  <c r="I151" i="16"/>
  <c r="J151" i="16" s="1"/>
  <c r="I143" i="16"/>
  <c r="J143" i="16" s="1"/>
  <c r="I139" i="16"/>
  <c r="J139" i="16" s="1"/>
  <c r="I158" i="16"/>
  <c r="J158" i="16" s="1"/>
  <c r="I150" i="16"/>
  <c r="J150" i="16" s="1"/>
  <c r="I142" i="16"/>
  <c r="J142" i="16" s="1"/>
  <c r="I155" i="16"/>
  <c r="J155" i="16" s="1"/>
  <c r="I157" i="16"/>
  <c r="J157" i="16" s="1"/>
  <c r="I149" i="16"/>
  <c r="J149" i="16" s="1"/>
  <c r="I141" i="16"/>
  <c r="J141" i="16" s="1"/>
  <c r="I156" i="16"/>
  <c r="J156" i="16" s="1"/>
  <c r="I148" i="16"/>
  <c r="J148" i="16" s="1"/>
  <c r="H151" i="16"/>
  <c r="H143" i="16"/>
  <c r="H158" i="16"/>
  <c r="H150" i="16"/>
  <c r="H142" i="16"/>
  <c r="H157" i="16"/>
  <c r="H149" i="16"/>
  <c r="H141" i="16"/>
  <c r="H156" i="16"/>
  <c r="H148" i="16"/>
  <c r="H140" i="16"/>
  <c r="H147" i="16"/>
  <c r="H139" i="16"/>
  <c r="H153" i="16"/>
  <c r="I73" i="14"/>
  <c r="J73" i="14" s="1"/>
  <c r="I72" i="14"/>
  <c r="J72" i="14" s="1"/>
  <c r="I168" i="16"/>
  <c r="J168" i="16" s="1"/>
  <c r="I167" i="16"/>
  <c r="J167" i="16" s="1"/>
  <c r="I166" i="16"/>
  <c r="J166" i="16" s="1"/>
  <c r="I165" i="16"/>
  <c r="J165" i="16" s="1"/>
  <c r="I164" i="16"/>
  <c r="J164" i="16" s="1"/>
  <c r="H285" i="16"/>
  <c r="H277" i="16"/>
  <c r="H269" i="16"/>
  <c r="H261" i="16"/>
  <c r="H253" i="16"/>
  <c r="H284" i="16"/>
  <c r="H276" i="16"/>
  <c r="H268" i="16"/>
  <c r="H260" i="16"/>
  <c r="H252" i="16"/>
  <c r="I260" i="16"/>
  <c r="J260" i="16" s="1"/>
  <c r="I252" i="16"/>
  <c r="J252" i="16" s="1"/>
  <c r="H19" i="16"/>
  <c r="H26" i="16"/>
  <c r="H283" i="16"/>
  <c r="H275" i="16"/>
  <c r="H267" i="16"/>
  <c r="H259" i="16"/>
  <c r="H251" i="16"/>
  <c r="I251" i="16"/>
  <c r="J251" i="16" s="1"/>
  <c r="H20" i="16"/>
  <c r="H25" i="16"/>
  <c r="H282" i="16"/>
  <c r="H274" i="16"/>
  <c r="H266" i="16"/>
  <c r="H258" i="16"/>
  <c r="H250" i="16"/>
  <c r="I250" i="16"/>
  <c r="J250" i="16" s="1"/>
  <c r="H281" i="16"/>
  <c r="H273" i="16"/>
  <c r="H265" i="16"/>
  <c r="H257" i="16"/>
  <c r="H249" i="16"/>
  <c r="H256" i="16"/>
  <c r="H248" i="16"/>
  <c r="H279" i="16"/>
  <c r="H271" i="16"/>
  <c r="H263" i="16"/>
  <c r="H255" i="16"/>
  <c r="I263" i="16"/>
  <c r="J263" i="16" s="1"/>
  <c r="I255" i="16"/>
  <c r="J255" i="16" s="1"/>
  <c r="I109" i="16"/>
  <c r="J109" i="16" s="1"/>
  <c r="I131" i="16"/>
  <c r="J131" i="16" s="1"/>
  <c r="I123" i="16"/>
  <c r="J123" i="16" s="1"/>
  <c r="I115" i="16"/>
  <c r="J115" i="16" s="1"/>
  <c r="I107" i="16"/>
  <c r="J107" i="16" s="1"/>
  <c r="I130" i="16"/>
  <c r="J130" i="16" s="1"/>
  <c r="I122" i="16"/>
  <c r="J122" i="16" s="1"/>
  <c r="I114" i="16"/>
  <c r="J114" i="16" s="1"/>
  <c r="I106" i="16"/>
  <c r="J106" i="16" s="1"/>
  <c r="I129" i="16"/>
  <c r="J129" i="16" s="1"/>
  <c r="I121" i="16"/>
  <c r="J121" i="16" s="1"/>
  <c r="I113" i="16"/>
  <c r="J113" i="16" s="1"/>
  <c r="I128" i="16"/>
  <c r="J128" i="16" s="1"/>
  <c r="I120" i="16"/>
  <c r="J120" i="16" s="1"/>
  <c r="I112" i="16"/>
  <c r="J112" i="16" s="1"/>
  <c r="I127" i="16"/>
  <c r="J127" i="16" s="1"/>
  <c r="I119" i="16"/>
  <c r="J119" i="16" s="1"/>
  <c r="I111" i="16"/>
  <c r="J111" i="16" s="1"/>
  <c r="I126" i="16"/>
  <c r="J126" i="16" s="1"/>
  <c r="I118" i="16"/>
  <c r="J118" i="16" s="1"/>
  <c r="I110" i="16"/>
  <c r="J110" i="16" s="1"/>
  <c r="I125" i="16"/>
  <c r="J125" i="16" s="1"/>
  <c r="I117" i="16"/>
  <c r="J117" i="16" s="1"/>
  <c r="H113" i="16"/>
  <c r="H130" i="16"/>
  <c r="H129" i="16"/>
  <c r="H122" i="16"/>
  <c r="H107" i="16"/>
  <c r="H121" i="16"/>
  <c r="H114" i="16"/>
  <c r="H102" i="16"/>
  <c r="I38" i="16"/>
  <c r="J38" i="16" s="1"/>
  <c r="H33" i="16"/>
  <c r="H128" i="16"/>
  <c r="H120" i="16"/>
  <c r="H112" i="16"/>
  <c r="H91" i="16"/>
  <c r="H127" i="16"/>
  <c r="H119" i="16"/>
  <c r="H111" i="16"/>
  <c r="H126" i="16"/>
  <c r="H118" i="16"/>
  <c r="H110" i="16"/>
  <c r="H106" i="16"/>
  <c r="H125" i="16"/>
  <c r="H117" i="16"/>
  <c r="H109" i="16"/>
  <c r="H132" i="16"/>
  <c r="H124" i="16"/>
  <c r="H116" i="16"/>
  <c r="H108" i="16"/>
  <c r="H131" i="16"/>
  <c r="H123" i="16"/>
  <c r="H115" i="16"/>
  <c r="I17" i="16"/>
  <c r="J17" i="16" s="1"/>
  <c r="I16" i="16"/>
  <c r="J16" i="16" s="1"/>
  <c r="I18" i="16"/>
  <c r="J18" i="16" s="1"/>
  <c r="I15" i="16"/>
  <c r="J15" i="16" s="1"/>
  <c r="I14" i="16"/>
  <c r="J14" i="16" s="1"/>
  <c r="H13" i="16"/>
  <c r="H18" i="16"/>
  <c r="I4" i="14"/>
  <c r="J4" i="14" s="1"/>
  <c r="I12" i="14"/>
  <c r="J12" i="14" s="1"/>
  <c r="I11" i="14"/>
  <c r="J11" i="14" s="1"/>
  <c r="I3" i="14"/>
  <c r="J3" i="14" s="1"/>
  <c r="I10" i="14"/>
  <c r="J10" i="14" s="1"/>
  <c r="I2" i="14"/>
  <c r="J2" i="14" s="1"/>
  <c r="I9" i="14"/>
  <c r="J9" i="14" s="1"/>
  <c r="I8" i="14"/>
  <c r="J8" i="14" s="1"/>
  <c r="I7" i="14"/>
  <c r="J7" i="14" s="1"/>
  <c r="I198" i="14"/>
  <c r="J198" i="14" s="1"/>
  <c r="I205" i="14"/>
  <c r="J205" i="14" s="1"/>
  <c r="I197" i="14"/>
  <c r="J197" i="14" s="1"/>
  <c r="I204" i="14"/>
  <c r="J204" i="14" s="1"/>
  <c r="I196" i="14"/>
  <c r="J196" i="14" s="1"/>
  <c r="I203" i="14"/>
  <c r="J203" i="14" s="1"/>
  <c r="I217" i="14"/>
  <c r="J217" i="14" s="1"/>
  <c r="I216" i="14"/>
  <c r="J216" i="14" s="1"/>
  <c r="I215" i="14"/>
  <c r="J215" i="14" s="1"/>
  <c r="I214" i="14"/>
  <c r="J214" i="14" s="1"/>
  <c r="I213" i="14"/>
  <c r="J213" i="14" s="1"/>
  <c r="I212" i="14"/>
  <c r="J212" i="14" s="1"/>
  <c r="I65" i="16"/>
  <c r="J65" i="16" s="1"/>
  <c r="H68" i="16"/>
  <c r="I47" i="16"/>
  <c r="J47" i="16" s="1"/>
  <c r="H63" i="16"/>
  <c r="I33" i="16"/>
  <c r="J33" i="16" s="1"/>
  <c r="I96" i="16"/>
  <c r="J96" i="16" s="1"/>
  <c r="H58" i="16"/>
  <c r="H53" i="16"/>
  <c r="H46" i="16"/>
  <c r="H36" i="16"/>
  <c r="H43" i="16"/>
  <c r="I67" i="14"/>
  <c r="J67" i="14" s="1"/>
  <c r="I57" i="14"/>
  <c r="J57" i="14" s="1"/>
  <c r="I59" i="14"/>
  <c r="J59" i="14" s="1"/>
  <c r="I41" i="14"/>
  <c r="J41" i="14" s="1"/>
  <c r="I40" i="14"/>
  <c r="J40" i="14" s="1"/>
  <c r="I185" i="14"/>
  <c r="J185" i="14" s="1"/>
  <c r="I16" i="14"/>
  <c r="J16" i="14" s="1"/>
  <c r="I63" i="14"/>
  <c r="J63" i="14" s="1"/>
  <c r="I55" i="14"/>
  <c r="J55" i="14" s="1"/>
  <c r="I47" i="14"/>
  <c r="J47" i="14" s="1"/>
  <c r="I39" i="14"/>
  <c r="J39" i="14" s="1"/>
  <c r="I79" i="14"/>
  <c r="J79" i="14" s="1"/>
  <c r="I130" i="14"/>
  <c r="J130" i="14" s="1"/>
  <c r="I122" i="14"/>
  <c r="J122" i="14" s="1"/>
  <c r="I114" i="14"/>
  <c r="J114" i="14" s="1"/>
  <c r="I106" i="14"/>
  <c r="J106" i="14" s="1"/>
  <c r="I32" i="14"/>
  <c r="J32" i="14" s="1"/>
  <c r="I15" i="14"/>
  <c r="J15" i="14" s="1"/>
  <c r="I62" i="14"/>
  <c r="J62" i="14" s="1"/>
  <c r="I54" i="14"/>
  <c r="J54" i="14" s="1"/>
  <c r="I46" i="14"/>
  <c r="J46" i="14" s="1"/>
  <c r="I38" i="14"/>
  <c r="J38" i="14" s="1"/>
  <c r="I86" i="14"/>
  <c r="J86" i="14" s="1"/>
  <c r="I78" i="14"/>
  <c r="J78" i="14" s="1"/>
  <c r="I129" i="14"/>
  <c r="J129" i="14" s="1"/>
  <c r="I121" i="14"/>
  <c r="J121" i="14" s="1"/>
  <c r="I113" i="14"/>
  <c r="J113" i="14" s="1"/>
  <c r="I192" i="14"/>
  <c r="J192" i="14" s="1"/>
  <c r="I187" i="14"/>
  <c r="J187" i="14" s="1"/>
  <c r="I14" i="14"/>
  <c r="J14" i="14" s="1"/>
  <c r="I69" i="14"/>
  <c r="J69" i="14" s="1"/>
  <c r="I61" i="14"/>
  <c r="J61" i="14" s="1"/>
  <c r="I53" i="14"/>
  <c r="J53" i="14" s="1"/>
  <c r="I45" i="14"/>
  <c r="J45" i="14" s="1"/>
  <c r="I37" i="14"/>
  <c r="J37" i="14" s="1"/>
  <c r="I85" i="14"/>
  <c r="J85" i="14" s="1"/>
  <c r="I77" i="14"/>
  <c r="J77" i="14" s="1"/>
  <c r="I128" i="14"/>
  <c r="J128" i="14" s="1"/>
  <c r="I120" i="14"/>
  <c r="J120" i="14" s="1"/>
  <c r="I112" i="14"/>
  <c r="J112" i="14" s="1"/>
  <c r="I186" i="14"/>
  <c r="J186" i="14" s="1"/>
  <c r="I48" i="14"/>
  <c r="J48" i="14" s="1"/>
  <c r="I191" i="14"/>
  <c r="J191" i="14" s="1"/>
  <c r="I13" i="14"/>
  <c r="J13" i="14" s="1"/>
  <c r="I68" i="14"/>
  <c r="J68" i="14" s="1"/>
  <c r="I60" i="14"/>
  <c r="J60" i="14" s="1"/>
  <c r="I52" i="14"/>
  <c r="J52" i="14" s="1"/>
  <c r="I44" i="14"/>
  <c r="J44" i="14" s="1"/>
  <c r="I36" i="14"/>
  <c r="J36" i="14" s="1"/>
  <c r="I84" i="14"/>
  <c r="J84" i="14" s="1"/>
  <c r="I76" i="14"/>
  <c r="J76" i="14" s="1"/>
  <c r="I127" i="14"/>
  <c r="J127" i="14" s="1"/>
  <c r="I119" i="14"/>
  <c r="J119" i="14" s="1"/>
  <c r="I111" i="14"/>
  <c r="J111" i="14" s="1"/>
  <c r="I51" i="14"/>
  <c r="J51" i="14" s="1"/>
  <c r="I43" i="14"/>
  <c r="J43" i="14" s="1"/>
  <c r="I83" i="14"/>
  <c r="J83" i="14" s="1"/>
  <c r="I75" i="14"/>
  <c r="J75" i="14" s="1"/>
  <c r="I126" i="14"/>
  <c r="J126" i="14" s="1"/>
  <c r="I118" i="14"/>
  <c r="J118" i="14" s="1"/>
  <c r="I110" i="14"/>
  <c r="J110" i="14" s="1"/>
  <c r="I56" i="14"/>
  <c r="J56" i="14" s="1"/>
  <c r="I193" i="14"/>
  <c r="J193" i="14" s="1"/>
  <c r="I66" i="14"/>
  <c r="J66" i="14" s="1"/>
  <c r="I58" i="14"/>
  <c r="J58" i="14" s="1"/>
  <c r="I50" i="14"/>
  <c r="J50" i="14" s="1"/>
  <c r="I42" i="14"/>
  <c r="J42" i="14" s="1"/>
  <c r="I34" i="14"/>
  <c r="J34" i="14" s="1"/>
  <c r="I82" i="14"/>
  <c r="J82" i="14" s="1"/>
  <c r="I74" i="14"/>
  <c r="J74" i="14" s="1"/>
  <c r="I125" i="14"/>
  <c r="J125" i="14" s="1"/>
  <c r="I117" i="14"/>
  <c r="J117" i="14" s="1"/>
  <c r="I109" i="14"/>
  <c r="J109" i="14" s="1"/>
  <c r="I64" i="14"/>
  <c r="J64" i="14" s="1"/>
  <c r="I65" i="14"/>
  <c r="J65" i="14" s="1"/>
  <c r="I49" i="14"/>
  <c r="J49" i="14" s="1"/>
  <c r="I132" i="14"/>
  <c r="J132" i="14" s="1"/>
  <c r="I124" i="14"/>
  <c r="J124" i="14" s="1"/>
  <c r="I116" i="14"/>
  <c r="J116" i="14" s="1"/>
  <c r="H62" i="16"/>
  <c r="H52" i="16"/>
  <c r="H42" i="16"/>
  <c r="I63" i="16"/>
  <c r="J63" i="16" s="1"/>
  <c r="H61" i="16"/>
  <c r="H51" i="16"/>
  <c r="H39" i="16"/>
  <c r="I57" i="16"/>
  <c r="J57" i="16" s="1"/>
  <c r="I93" i="16"/>
  <c r="J93" i="16" s="1"/>
  <c r="H32" i="16"/>
  <c r="H60" i="16"/>
  <c r="H50" i="16"/>
  <c r="H38" i="16"/>
  <c r="I55" i="16"/>
  <c r="J55" i="16" s="1"/>
  <c r="I104" i="16"/>
  <c r="J104" i="16" s="1"/>
  <c r="H69" i="16"/>
  <c r="H59" i="16"/>
  <c r="H47" i="16"/>
  <c r="H37" i="16"/>
  <c r="I49" i="16"/>
  <c r="J49" i="16" s="1"/>
  <c r="I102" i="16"/>
  <c r="J102" i="16" s="1"/>
  <c r="H67" i="16"/>
  <c r="H55" i="16"/>
  <c r="H45" i="16"/>
  <c r="H35" i="16"/>
  <c r="I41" i="16"/>
  <c r="J41" i="16" s="1"/>
  <c r="H66" i="16"/>
  <c r="H54" i="16"/>
  <c r="H44" i="16"/>
  <c r="H34" i="16"/>
  <c r="I39" i="16"/>
  <c r="J39" i="16" s="1"/>
  <c r="H64" i="16"/>
  <c r="H56" i="16"/>
  <c r="H48" i="16"/>
  <c r="H40" i="16"/>
  <c r="I69" i="16"/>
  <c r="J69" i="16" s="1"/>
  <c r="I61" i="16"/>
  <c r="J61" i="16" s="1"/>
  <c r="I53" i="16"/>
  <c r="J53" i="16" s="1"/>
  <c r="I45" i="16"/>
  <c r="J45" i="16" s="1"/>
  <c r="I37" i="16"/>
  <c r="J37" i="16" s="1"/>
  <c r="H87" i="16"/>
  <c r="H98" i="16"/>
  <c r="H90" i="16"/>
  <c r="I100" i="16"/>
  <c r="J100" i="16" s="1"/>
  <c r="I92" i="16"/>
  <c r="J92" i="16" s="1"/>
  <c r="I68" i="16"/>
  <c r="J68" i="16" s="1"/>
  <c r="I60" i="16"/>
  <c r="J60" i="16" s="1"/>
  <c r="I52" i="16"/>
  <c r="J52" i="16" s="1"/>
  <c r="I44" i="16"/>
  <c r="J44" i="16" s="1"/>
  <c r="I36" i="16"/>
  <c r="J36" i="16" s="1"/>
  <c r="H105" i="16"/>
  <c r="H97" i="16"/>
  <c r="H89" i="16"/>
  <c r="I99" i="16"/>
  <c r="J99" i="16" s="1"/>
  <c r="I91" i="16"/>
  <c r="J91" i="16" s="1"/>
  <c r="I67" i="16"/>
  <c r="J67" i="16" s="1"/>
  <c r="I59" i="16"/>
  <c r="J59" i="16" s="1"/>
  <c r="I51" i="16"/>
  <c r="J51" i="16" s="1"/>
  <c r="I43" i="16"/>
  <c r="J43" i="16" s="1"/>
  <c r="I35" i="16"/>
  <c r="J35" i="16" s="1"/>
  <c r="H104" i="16"/>
  <c r="H96" i="16"/>
  <c r="H88" i="16"/>
  <c r="I98" i="16"/>
  <c r="J98" i="16" s="1"/>
  <c r="I90" i="16"/>
  <c r="J90" i="16" s="1"/>
  <c r="I66" i="16"/>
  <c r="J66" i="16" s="1"/>
  <c r="I58" i="16"/>
  <c r="J58" i="16" s="1"/>
  <c r="I50" i="16"/>
  <c r="J50" i="16" s="1"/>
  <c r="I42" i="16"/>
  <c r="J42" i="16" s="1"/>
  <c r="I34" i="16"/>
  <c r="J34" i="16" s="1"/>
  <c r="H103" i="16"/>
  <c r="H95" i="16"/>
  <c r="I105" i="16"/>
  <c r="J105" i="16" s="1"/>
  <c r="I97" i="16"/>
  <c r="J97" i="16" s="1"/>
  <c r="I89" i="16"/>
  <c r="J89" i="16" s="1"/>
  <c r="H94" i="16"/>
  <c r="I88" i="16"/>
  <c r="J88" i="16" s="1"/>
  <c r="I64" i="16"/>
  <c r="J64" i="16" s="1"/>
  <c r="I56" i="16"/>
  <c r="J56" i="16" s="1"/>
  <c r="I48" i="16"/>
  <c r="J48" i="16" s="1"/>
  <c r="I40" i="16"/>
  <c r="J40" i="16" s="1"/>
  <c r="I32" i="16"/>
  <c r="J32" i="16" s="1"/>
  <c r="H101" i="16"/>
  <c r="H93" i="16"/>
  <c r="I103" i="16"/>
  <c r="J103" i="16" s="1"/>
  <c r="I87" i="16"/>
  <c r="J87" i="16" s="1"/>
  <c r="H100" i="16"/>
  <c r="H92" i="16"/>
  <c r="I94" i="16"/>
  <c r="J94" i="16" s="1"/>
  <c r="H65" i="16"/>
  <c r="H57" i="16"/>
  <c r="H49" i="16"/>
  <c r="H41" i="16"/>
  <c r="I62" i="16"/>
  <c r="J62" i="16" s="1"/>
  <c r="I54" i="16"/>
  <c r="J54" i="16" s="1"/>
  <c r="I46" i="16"/>
  <c r="J46" i="16" s="1"/>
  <c r="H99" i="16"/>
  <c r="I101" i="16"/>
  <c r="J101" i="16" s="1"/>
  <c r="G182" i="8"/>
  <c r="G145" i="8"/>
  <c r="G145" i="3"/>
  <c r="G152" i="3"/>
  <c r="G125" i="3"/>
  <c r="G96" i="3"/>
  <c r="G55" i="3"/>
  <c r="G56" i="3"/>
  <c r="G36" i="3"/>
  <c r="G68" i="3"/>
  <c r="G66" i="3"/>
  <c r="K36" i="12"/>
  <c r="G155" i="10"/>
  <c r="G149" i="10"/>
  <c r="G109" i="10"/>
  <c r="G111" i="3"/>
  <c r="G62" i="3"/>
  <c r="G101" i="10"/>
  <c r="G143" i="10"/>
  <c r="G126" i="3"/>
  <c r="G98" i="10"/>
  <c r="G54" i="10"/>
  <c r="G125" i="10"/>
  <c r="K125" i="12"/>
  <c r="G98" i="3"/>
  <c r="G93" i="10"/>
  <c r="G36" i="10"/>
  <c r="G53" i="10"/>
  <c r="G123" i="10"/>
  <c r="K181" i="12"/>
  <c r="G90" i="10"/>
  <c r="G68" i="10"/>
  <c r="G47" i="10"/>
  <c r="G114" i="10"/>
  <c r="G36" i="8"/>
  <c r="G98" i="8"/>
  <c r="G126" i="8"/>
  <c r="G55" i="8"/>
  <c r="G111" i="8"/>
  <c r="G245" i="8"/>
  <c r="G56" i="8"/>
  <c r="G112" i="8"/>
  <c r="G3" i="8"/>
  <c r="G66" i="8"/>
  <c r="G125" i="8"/>
  <c r="G68" i="8"/>
  <c r="G62" i="8"/>
  <c r="G112" i="3"/>
  <c r="G3" i="3"/>
  <c r="H133" i="16"/>
  <c r="H137" i="16"/>
  <c r="H134" i="16"/>
  <c r="H135" i="16" l="1"/>
  <c r="I135" i="14"/>
  <c r="J135" i="14" s="1"/>
  <c r="J136" i="14"/>
  <c r="H135" i="14"/>
  <c r="K55" i="12"/>
  <c r="K62" i="12"/>
  <c r="K54" i="12"/>
  <c r="K56" i="12"/>
  <c r="K44" i="12"/>
  <c r="K66" i="12"/>
  <c r="K96" i="12"/>
  <c r="I69" i="6"/>
  <c r="I45" i="6"/>
  <c r="I48" i="6"/>
  <c r="I55" i="6"/>
  <c r="I64" i="6"/>
  <c r="I51" i="6"/>
  <c r="I34" i="6"/>
  <c r="I44" i="6"/>
  <c r="I59" i="6"/>
  <c r="I42" i="6"/>
  <c r="I46" i="6"/>
  <c r="I63" i="6"/>
  <c r="K98" i="12"/>
</calcChain>
</file>

<file path=xl/sharedStrings.xml><?xml version="1.0" encoding="utf-8"?>
<sst xmlns="http://schemas.openxmlformats.org/spreadsheetml/2006/main" count="24171" uniqueCount="5025">
  <si>
    <t>Country</t>
  </si>
  <si>
    <t>NUTS2</t>
  </si>
  <si>
    <t>City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</si>
  <si>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</si>
  <si>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</si>
  <si>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</si>
  <si>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</si>
  <si>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</si>
  <si>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</si>
  <si>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</si>
  <si>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</si>
  <si>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</si>
  <si>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</si>
  <si>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</si>
  <si>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</si>
  <si>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</si>
  <si>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</si>
  <si>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</si>
  <si>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</si>
  <si>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</si>
  <si>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</si>
  <si>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</si>
  <si>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</si>
  <si>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</si>
  <si>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</si>
  <si>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</si>
  <si>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</si>
  <si>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</si>
  <si>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Montenegro</t>
  </si>
  <si>
    <t>North Macedonia</t>
  </si>
  <si>
    <t>Albania</t>
  </si>
  <si>
    <t>Serbia</t>
  </si>
  <si>
    <t>Bosnia and Herzegovina</t>
  </si>
  <si>
    <t>AL01</t>
  </si>
  <si>
    <t>AL02</t>
  </si>
  <si>
    <t>AL03</t>
  </si>
  <si>
    <t>BE10</t>
  </si>
  <si>
    <t>BE25</t>
  </si>
  <si>
    <t>BE35</t>
  </si>
  <si>
    <t>BE34</t>
  </si>
  <si>
    <t>BE22</t>
  </si>
  <si>
    <t>BE33</t>
  </si>
  <si>
    <t>BE32</t>
  </si>
  <si>
    <t>BE31</t>
  </si>
  <si>
    <t>BE23</t>
  </si>
  <si>
    <t>BE24</t>
  </si>
  <si>
    <t>BE21</t>
  </si>
  <si>
    <t>BG31</t>
  </si>
  <si>
    <t>BG42</t>
  </si>
  <si>
    <t>BG32</t>
  </si>
  <si>
    <t>BG33</t>
  </si>
  <si>
    <t>BG34</t>
  </si>
  <si>
    <t>BG41</t>
  </si>
  <si>
    <t>CZ02</t>
  </si>
  <si>
    <t>CZ01</t>
  </si>
  <si>
    <t>CZ07</t>
  </si>
  <si>
    <t>CZ08</t>
  </si>
  <si>
    <t>CZ05</t>
  </si>
  <si>
    <t>CZ04</t>
  </si>
  <si>
    <t>CZ06</t>
  </si>
  <si>
    <t>CZ03</t>
  </si>
  <si>
    <t>DK02</t>
  </si>
  <si>
    <t>DK05</t>
  </si>
  <si>
    <t>DK03</t>
  </si>
  <si>
    <t>DK01</t>
  </si>
  <si>
    <t>DK04</t>
  </si>
  <si>
    <t>DEG0</t>
  </si>
  <si>
    <t>DEF0</t>
  </si>
  <si>
    <t>DED5</t>
  </si>
  <si>
    <t>DED2</t>
  </si>
  <si>
    <t>DED4</t>
  </si>
  <si>
    <t>DEE0</t>
  </si>
  <si>
    <t>DEC0</t>
  </si>
  <si>
    <t>DEB2</t>
  </si>
  <si>
    <t>DEB3</t>
  </si>
  <si>
    <t>DEB1</t>
  </si>
  <si>
    <t>DEA3</t>
  </si>
  <si>
    <t>DEA2</t>
  </si>
  <si>
    <t>DEA1</t>
  </si>
  <si>
    <t>DEA4</t>
  </si>
  <si>
    <t>DEA5</t>
  </si>
  <si>
    <t>DE94</t>
  </si>
  <si>
    <t>DE93</t>
  </si>
  <si>
    <t>DE92</t>
  </si>
  <si>
    <t>DE91</t>
  </si>
  <si>
    <t>DE80</t>
  </si>
  <si>
    <t>DE73</t>
  </si>
  <si>
    <t>DE72</t>
  </si>
  <si>
    <t>DE71</t>
  </si>
  <si>
    <t>DE60</t>
  </si>
  <si>
    <t>DE50</t>
  </si>
  <si>
    <t>DE40</t>
  </si>
  <si>
    <t>DE30</t>
  </si>
  <si>
    <t>DE26</t>
  </si>
  <si>
    <t>DE27</t>
  </si>
  <si>
    <t>DE23</t>
  </si>
  <si>
    <t>DE24</t>
  </si>
  <si>
    <t>DE21</t>
  </si>
  <si>
    <t>DE22</t>
  </si>
  <si>
    <t>DE25</t>
  </si>
  <si>
    <t>DE14</t>
  </si>
  <si>
    <t>DE11</t>
  </si>
  <si>
    <t>DE12</t>
  </si>
  <si>
    <t>DE13</t>
  </si>
  <si>
    <t>IE06</t>
  </si>
  <si>
    <t>IE05</t>
  </si>
  <si>
    <t>IE04</t>
  </si>
  <si>
    <t>EL61</t>
  </si>
  <si>
    <t>EL64</t>
  </si>
  <si>
    <t>EL65</t>
  </si>
  <si>
    <t>EL52</t>
  </si>
  <si>
    <t>EL54</t>
  </si>
  <si>
    <t>EL53</t>
  </si>
  <si>
    <t>EL63</t>
  </si>
  <si>
    <t>EL30</t>
  </si>
  <si>
    <t>EL51</t>
  </si>
  <si>
    <t>ES62</t>
  </si>
  <si>
    <t>ES12</t>
  </si>
  <si>
    <t>ES21</t>
  </si>
  <si>
    <t>ES23</t>
  </si>
  <si>
    <t>ES11</t>
  </si>
  <si>
    <t>ES43</t>
  </si>
  <si>
    <t>ES52</t>
  </si>
  <si>
    <t>ES22</t>
  </si>
  <si>
    <t>ES30</t>
  </si>
  <si>
    <t>ES51</t>
  </si>
  <si>
    <t>ES41</t>
  </si>
  <si>
    <t>ES42</t>
  </si>
  <si>
    <t>ES13</t>
  </si>
  <si>
    <t>ES24</t>
  </si>
  <si>
    <t>ES61</t>
  </si>
  <si>
    <t>FRM0</t>
  </si>
  <si>
    <t>FR10</t>
  </si>
  <si>
    <t>FRF1</t>
  </si>
  <si>
    <t>FRE1</t>
  </si>
  <si>
    <t>FRF3</t>
  </si>
  <si>
    <t>FRG0</t>
  </si>
  <si>
    <t>FRD2</t>
  </si>
  <si>
    <t>FRC2</t>
  </si>
  <si>
    <t>FRI1</t>
  </si>
  <si>
    <t>FRH0</t>
  </si>
  <si>
    <t>FRC1</t>
  </si>
  <si>
    <t>FRI2</t>
  </si>
  <si>
    <t>FRB0</t>
  </si>
  <si>
    <t>FRI3</t>
  </si>
  <si>
    <t>FRD1</t>
  </si>
  <si>
    <t>FRJ1</t>
  </si>
  <si>
    <t>FRJ2</t>
  </si>
  <si>
    <t>FRF2</t>
  </si>
  <si>
    <t>FRL0</t>
  </si>
  <si>
    <t>FRK1</t>
  </si>
  <si>
    <t>FRE2</t>
  </si>
  <si>
    <t>FRK2</t>
  </si>
  <si>
    <t>HR04</t>
  </si>
  <si>
    <t>HR03</t>
  </si>
  <si>
    <t>ITH3</t>
  </si>
  <si>
    <t>ITC2</t>
  </si>
  <si>
    <t>ITI2</t>
  </si>
  <si>
    <t>ITH1</t>
  </si>
  <si>
    <t>ITH2</t>
  </si>
  <si>
    <t>ITI1</t>
  </si>
  <si>
    <t>ITG1</t>
  </si>
  <si>
    <t>ITG2</t>
  </si>
  <si>
    <t>ITC1</t>
  </si>
  <si>
    <t>ITF2</t>
  </si>
  <si>
    <t>ITI3</t>
  </si>
  <si>
    <t>ITC4</t>
  </si>
  <si>
    <t>ITC3</t>
  </si>
  <si>
    <t>ITI4</t>
  </si>
  <si>
    <t>ITH4</t>
  </si>
  <si>
    <t>ITH5</t>
  </si>
  <si>
    <t>ITF3</t>
  </si>
  <si>
    <t>ITF6</t>
  </si>
  <si>
    <t>ITF5</t>
  </si>
  <si>
    <t>ITF4</t>
  </si>
  <si>
    <t>ITF1</t>
  </si>
  <si>
    <t>LV00</t>
  </si>
  <si>
    <t>LU00</t>
  </si>
  <si>
    <t>HU32</t>
  </si>
  <si>
    <t>HU22</t>
  </si>
  <si>
    <t>HU21</t>
  </si>
  <si>
    <t>HU12</t>
  </si>
  <si>
    <t>HU11</t>
  </si>
  <si>
    <t>HU31</t>
  </si>
  <si>
    <t>HU23</t>
  </si>
  <si>
    <t>HU33</t>
  </si>
  <si>
    <t>NL33</t>
  </si>
  <si>
    <t>NL34</t>
  </si>
  <si>
    <t>NL21</t>
  </si>
  <si>
    <t>NL32</t>
  </si>
  <si>
    <t>NL31</t>
  </si>
  <si>
    <t>NL41</t>
  </si>
  <si>
    <t>NL42</t>
  </si>
  <si>
    <t>NL11</t>
  </si>
  <si>
    <t>NL22</t>
  </si>
  <si>
    <t>NL12</t>
  </si>
  <si>
    <t>NL23</t>
  </si>
  <si>
    <t>NL13</t>
  </si>
  <si>
    <t>AT34</t>
  </si>
  <si>
    <t>AT33</t>
  </si>
  <si>
    <t>AT22</t>
  </si>
  <si>
    <t>AT32</t>
  </si>
  <si>
    <t>AT31</t>
  </si>
  <si>
    <t>AT13</t>
  </si>
  <si>
    <t>AT12</t>
  </si>
  <si>
    <t>AT21</t>
  </si>
  <si>
    <t>AT11</t>
  </si>
  <si>
    <t>PL42</t>
  </si>
  <si>
    <t>PL62</t>
  </si>
  <si>
    <t>PL82</t>
  </si>
  <si>
    <t>PL22</t>
  </si>
  <si>
    <t>PL63</t>
  </si>
  <si>
    <t>PL84</t>
  </si>
  <si>
    <t>PL52</t>
  </si>
  <si>
    <t>PL91</t>
  </si>
  <si>
    <t>PL92</t>
  </si>
  <si>
    <t>PL43</t>
  </si>
  <si>
    <t>PL81</t>
  </si>
  <si>
    <t>PL51</t>
  </si>
  <si>
    <t>PL21</t>
  </si>
  <si>
    <t>PL61</t>
  </si>
  <si>
    <t>PL41</t>
  </si>
  <si>
    <t>PL72</t>
  </si>
  <si>
    <t>PL71</t>
  </si>
  <si>
    <t>PT17</t>
  </si>
  <si>
    <t>PT15</t>
  </si>
  <si>
    <t>PT11</t>
  </si>
  <si>
    <t>PT18</t>
  </si>
  <si>
    <t>PT16</t>
  </si>
  <si>
    <t>RO41</t>
  </si>
  <si>
    <t>RO22</t>
  </si>
  <si>
    <t>RO11</t>
  </si>
  <si>
    <t>RO21</t>
  </si>
  <si>
    <t>RO32</t>
  </si>
  <si>
    <t>RO31</t>
  </si>
  <si>
    <t>RO42</t>
  </si>
  <si>
    <t>RO12</t>
  </si>
  <si>
    <t>SI03</t>
  </si>
  <si>
    <t>SI04</t>
  </si>
  <si>
    <t>SK02</t>
  </si>
  <si>
    <t>SK04</t>
  </si>
  <si>
    <t>SK01</t>
  </si>
  <si>
    <t>SK03</t>
  </si>
  <si>
    <t>FI19</t>
  </si>
  <si>
    <t>FI1C</t>
  </si>
  <si>
    <t>FI1B</t>
  </si>
  <si>
    <t>FI1D</t>
  </si>
  <si>
    <t>SE11</t>
  </si>
  <si>
    <t>SE12</t>
  </si>
  <si>
    <t>SE33</t>
  </si>
  <si>
    <t>SE32</t>
  </si>
  <si>
    <t>SE23</t>
  </si>
  <si>
    <t>SE21</t>
  </si>
  <si>
    <t>SE31</t>
  </si>
  <si>
    <t>SE22</t>
  </si>
  <si>
    <t>UKL1</t>
  </si>
  <si>
    <t>UKL2</t>
  </si>
  <si>
    <t>UKM9</t>
  </si>
  <si>
    <t>UKM8</t>
  </si>
  <si>
    <t>UKM6</t>
  </si>
  <si>
    <t>UKM7</t>
  </si>
  <si>
    <t>UKM5</t>
  </si>
  <si>
    <t>UKN0</t>
  </si>
  <si>
    <t>UKE4</t>
  </si>
  <si>
    <t>UKD6</t>
  </si>
  <si>
    <t>UKH3</t>
  </si>
  <si>
    <t>UKE3</t>
  </si>
  <si>
    <t>UKG2</t>
  </si>
  <si>
    <t>UKC2</t>
  </si>
  <si>
    <t>UKD7</t>
  </si>
  <si>
    <t>UKD3</t>
  </si>
  <si>
    <t>UKF3</t>
  </si>
  <si>
    <t>UKF2</t>
  </si>
  <si>
    <t>UKJ4</t>
  </si>
  <si>
    <t>UKG3</t>
  </si>
  <si>
    <t>UKG1</t>
  </si>
  <si>
    <t>UKJ3</t>
  </si>
  <si>
    <t>UKE1</t>
  </si>
  <si>
    <t>UKK4</t>
  </si>
  <si>
    <t>UKF1</t>
  </si>
  <si>
    <t>UKD1</t>
  </si>
  <si>
    <t>UKK3</t>
  </si>
  <si>
    <t>UKH1</t>
  </si>
  <si>
    <t>UKJ2</t>
  </si>
  <si>
    <t>UKK2</t>
  </si>
  <si>
    <t>UKD4</t>
  </si>
  <si>
    <t>UKJ1</t>
  </si>
  <si>
    <t>UKH2</t>
  </si>
  <si>
    <t>UKK1</t>
  </si>
  <si>
    <t>UKI7</t>
  </si>
  <si>
    <t>UKI6</t>
  </si>
  <si>
    <t>UKI5</t>
  </si>
  <si>
    <t>UKI4</t>
  </si>
  <si>
    <t>UKI3</t>
  </si>
  <si>
    <t>UKC1</t>
  </si>
  <si>
    <t>UKE2</t>
  </si>
  <si>
    <t>NO05</t>
  </si>
  <si>
    <t>NO06</t>
  </si>
  <si>
    <t>NO02</t>
  </si>
  <si>
    <t>NO07</t>
  </si>
  <si>
    <t>NO04</t>
  </si>
  <si>
    <t>NO03</t>
  </si>
  <si>
    <t>NO01</t>
  </si>
  <si>
    <t>CH04</t>
  </si>
  <si>
    <t>CH06</t>
  </si>
  <si>
    <t>CH01</t>
  </si>
  <si>
    <t>CH07</t>
  </si>
  <si>
    <t>CH02</t>
  </si>
  <si>
    <t>CH05</t>
  </si>
  <si>
    <t>CH03</t>
  </si>
  <si>
    <t>ME00</t>
  </si>
  <si>
    <t>MK00</t>
  </si>
  <si>
    <t>RS22</t>
  </si>
  <si>
    <t>RS21</t>
  </si>
  <si>
    <t>RS12</t>
  </si>
  <si>
    <t>RS11</t>
  </si>
  <si>
    <t>Prov. Antwerpen</t>
  </si>
  <si>
    <t>Prov. Limburg (BE)</t>
  </si>
  <si>
    <t>Prov. Oost-Vlaanderen</t>
  </si>
  <si>
    <t>Prov. Vlaams-Brabant</t>
  </si>
  <si>
    <t>Prov. West-Vlaanderen</t>
  </si>
  <si>
    <t>Prov. Brabant Wallon</t>
  </si>
  <si>
    <t>Prov. Hainaut</t>
  </si>
  <si>
    <t>Prov. Liège</t>
  </si>
  <si>
    <t>Prov. Luxembourg (BE)</t>
  </si>
  <si>
    <t>Prov. Namur</t>
  </si>
  <si>
    <t>Северозападен</t>
  </si>
  <si>
    <t>Северен централен</t>
  </si>
  <si>
    <t>Североизточен</t>
  </si>
  <si>
    <t>Югоизточен</t>
  </si>
  <si>
    <t>Югозападен</t>
  </si>
  <si>
    <t>Южен централен</t>
  </si>
  <si>
    <t>Praha</t>
  </si>
  <si>
    <t>Střední Čechy</t>
  </si>
  <si>
    <t>Jihozápad</t>
  </si>
  <si>
    <t>Severozápad</t>
  </si>
  <si>
    <t>Severovýchod</t>
  </si>
  <si>
    <t>Jihovýchod</t>
  </si>
  <si>
    <t>Střední Morava</t>
  </si>
  <si>
    <t>Moravskoslezsko</t>
  </si>
  <si>
    <t>Hovedstaden</t>
  </si>
  <si>
    <t>Sjælland</t>
  </si>
  <si>
    <t>Syddanmark</t>
  </si>
  <si>
    <t>Midtjylland</t>
  </si>
  <si>
    <t>Nordjylland</t>
  </si>
  <si>
    <t>Stuttgart</t>
  </si>
  <si>
    <t>Karlsruhe</t>
  </si>
  <si>
    <t>Freiburg</t>
  </si>
  <si>
    <t>Tübingen</t>
  </si>
  <si>
    <t>Oberbayern</t>
  </si>
  <si>
    <t>Niederbayern</t>
  </si>
  <si>
    <t>Oberpfalz</t>
  </si>
  <si>
    <t>Oberfranken</t>
  </si>
  <si>
    <t>Mittelfranken</t>
  </si>
  <si>
    <t>Unterfranken</t>
  </si>
  <si>
    <t>Schwaben</t>
  </si>
  <si>
    <t>Berlin</t>
  </si>
  <si>
    <t>Brandenburg</t>
  </si>
  <si>
    <t>Bremen</t>
  </si>
  <si>
    <t>Hamburg</t>
  </si>
  <si>
    <t>Darmstadt</t>
  </si>
  <si>
    <t>Gießen</t>
  </si>
  <si>
    <t>Kassel</t>
  </si>
  <si>
    <t>Mecklenburg-Vorpommern</t>
  </si>
  <si>
    <t>Braunschweig</t>
  </si>
  <si>
    <t>Hannover</t>
  </si>
  <si>
    <t>Lüneburg</t>
  </si>
  <si>
    <t>Weser-Ems</t>
  </si>
  <si>
    <t>Düsseldorf</t>
  </si>
  <si>
    <t>Köln</t>
  </si>
  <si>
    <t>Münster</t>
  </si>
  <si>
    <t>Detmold</t>
  </si>
  <si>
    <t>Arnsberg</t>
  </si>
  <si>
    <t>Koblenz</t>
  </si>
  <si>
    <t>Trier</t>
  </si>
  <si>
    <t>Rheinhessen-Pfalz</t>
  </si>
  <si>
    <t>Saarland</t>
  </si>
  <si>
    <t>Dresden</t>
  </si>
  <si>
    <t>Chemnitz</t>
  </si>
  <si>
    <t>Leipzig</t>
  </si>
  <si>
    <t>Sachsen-Anhalt</t>
  </si>
  <si>
    <t>Schleswig-Holstein</t>
  </si>
  <si>
    <t>Thüringen</t>
  </si>
  <si>
    <t>EE00</t>
  </si>
  <si>
    <t>Eesti</t>
  </si>
  <si>
    <t>Northern and Western</t>
  </si>
  <si>
    <t>Southern</t>
  </si>
  <si>
    <t>Eastern and Midland</t>
  </si>
  <si>
    <t>Aττική</t>
  </si>
  <si>
    <t>EL41</t>
  </si>
  <si>
    <t>Βόρειο Αιγαίο</t>
  </si>
  <si>
    <t>EL42</t>
  </si>
  <si>
    <t>Νότιο Αιγαίο</t>
  </si>
  <si>
    <t>EL43</t>
  </si>
  <si>
    <t>Κρήτη</t>
  </si>
  <si>
    <t>Aνατολική Μακεδονία, Θράκη</t>
  </si>
  <si>
    <t>Κεντρική Μακεδονία</t>
  </si>
  <si>
    <t>Δυτική Μακεδονία</t>
  </si>
  <si>
    <t>Ήπειρος</t>
  </si>
  <si>
    <t>Θεσσαλία</t>
  </si>
  <si>
    <t>EL62</t>
  </si>
  <si>
    <t>Ιόνια Νησιά</t>
  </si>
  <si>
    <t>Δυτική Ελλάδα</t>
  </si>
  <si>
    <t>Στερεά Ελλάδα</t>
  </si>
  <si>
    <t>Πελοπόννησος</t>
  </si>
  <si>
    <t>Galicia</t>
  </si>
  <si>
    <t>Principado de Asturias</t>
  </si>
  <si>
    <t>Cantabria</t>
  </si>
  <si>
    <t>País Vasco</t>
  </si>
  <si>
    <t>Comunidad Foral de Navarra</t>
  </si>
  <si>
    <t>La Rioja</t>
  </si>
  <si>
    <t>Aragón</t>
  </si>
  <si>
    <t>Comunidad de Madrid</t>
  </si>
  <si>
    <t>Castilla y León</t>
  </si>
  <si>
    <t>Castilla-La Mancha</t>
  </si>
  <si>
    <t>Extremadura</t>
  </si>
  <si>
    <t>Cataluña</t>
  </si>
  <si>
    <t xml:space="preserve">Comunitat Valenciana </t>
  </si>
  <si>
    <t>ES53</t>
  </si>
  <si>
    <t>Illes Balears</t>
  </si>
  <si>
    <t>Andalucía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</si>
  <si>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</si>
  <si>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</si>
  <si>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</si>
  <si>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</si>
  <si>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</si>
  <si>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</si>
  <si>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</si>
  <si>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Ile-de-France</t>
  </si>
  <si>
    <t>Centre — Val de Loire</t>
  </si>
  <si>
    <t>Bourgogne</t>
  </si>
  <si>
    <t>Franche-Comté</t>
  </si>
  <si>
    <t xml:space="preserve">Basse-Normandie </t>
  </si>
  <si>
    <t xml:space="preserve">Haute-Normandie </t>
  </si>
  <si>
    <t>Nord-Pas de Calais</t>
  </si>
  <si>
    <t>Picardie</t>
  </si>
  <si>
    <t>Alsace</t>
  </si>
  <si>
    <t>Champagne-Ardenne</t>
  </si>
  <si>
    <t>Lorraine</t>
  </si>
  <si>
    <t>Pays de la Loire</t>
  </si>
  <si>
    <t>Bretagne</t>
  </si>
  <si>
    <t>Aquitaine</t>
  </si>
  <si>
    <t>Limousin</t>
  </si>
  <si>
    <t>Poitou-Charentes</t>
  </si>
  <si>
    <t>Languedoc-Roussillon</t>
  </si>
  <si>
    <t>Midi-Pyrénées</t>
  </si>
  <si>
    <t>Auvergne</t>
  </si>
  <si>
    <t>Rhône-Alpes</t>
  </si>
  <si>
    <t>Provence-Alpes-Côte d’Azur</t>
  </si>
  <si>
    <t>Corse</t>
  </si>
  <si>
    <t>FRY1</t>
  </si>
  <si>
    <t>Guadeloupe</t>
  </si>
  <si>
    <t>FRY2</t>
  </si>
  <si>
    <t xml:space="preserve">Martinique </t>
  </si>
  <si>
    <t>FRY3</t>
  </si>
  <si>
    <t>Guyane</t>
  </si>
  <si>
    <t>FRY4</t>
  </si>
  <si>
    <t xml:space="preserve">La Réunion </t>
  </si>
  <si>
    <t>FRY5</t>
  </si>
  <si>
    <t>Mayotte</t>
  </si>
  <si>
    <t>HR02</t>
  </si>
  <si>
    <t>Panonska Hrvatska</t>
  </si>
  <si>
    <t>Jadranska Hrvatska</t>
  </si>
  <si>
    <t>HR05</t>
  </si>
  <si>
    <t>Grad Zagreb</t>
  </si>
  <si>
    <t>HR06</t>
  </si>
  <si>
    <t>Sjeverna Hrvatska</t>
  </si>
  <si>
    <t>Piemonte</t>
  </si>
  <si>
    <t>Valle d’Aosta/Vallée d’Aoste</t>
  </si>
  <si>
    <t>Liguria</t>
  </si>
  <si>
    <t>Lombardia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</si>
  <si>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</si>
  <si>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</si>
  <si>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</si>
  <si>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</si>
  <si>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</si>
  <si>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</si>
  <si>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</si>
  <si>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</si>
  <si>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Provincia Autonoma di Bolzano/Bozen</t>
  </si>
  <si>
    <t>Provincia Autonoma di Trento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</si>
  <si>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</si>
  <si>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</si>
  <si>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</si>
  <si>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</si>
  <si>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</si>
  <si>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</si>
  <si>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</si>
  <si>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CY00</t>
  </si>
  <si>
    <t>Κύπρος</t>
  </si>
  <si>
    <t>Latvija</t>
  </si>
  <si>
    <t>LT01</t>
  </si>
  <si>
    <t>Sostinės regionas</t>
  </si>
  <si>
    <t>LT02</t>
  </si>
  <si>
    <t xml:space="preserve">Vidurio ir vakarų Lietuvos regionas </t>
  </si>
  <si>
    <t>Budapest</t>
  </si>
  <si>
    <t>Pest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</si>
  <si>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</si>
  <si>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</si>
  <si>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</si>
  <si>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</si>
  <si>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</si>
  <si>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</si>
  <si>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MT00</t>
  </si>
  <si>
    <t>Malta</t>
  </si>
  <si>
    <t>Groningen</t>
  </si>
  <si>
    <t>Friesland (NL)</t>
  </si>
  <si>
    <t>Drenthe</t>
  </si>
  <si>
    <t>Overijssel</t>
  </si>
  <si>
    <t>Gelderland</t>
  </si>
  <si>
    <t>Flevoland</t>
  </si>
  <si>
    <t>Utrecht</t>
  </si>
  <si>
    <t>Noord-Holland</t>
  </si>
  <si>
    <t>Zuid-Holland</t>
  </si>
  <si>
    <t>Zeeland</t>
  </si>
  <si>
    <t>Noord-Brabant</t>
  </si>
  <si>
    <t>Limburg (NL)</t>
  </si>
  <si>
    <t>Burgenland</t>
  </si>
  <si>
    <t>Niederösterreich</t>
  </si>
  <si>
    <t>Wien</t>
  </si>
  <si>
    <t>Kärnten</t>
  </si>
  <si>
    <t>Steiermark</t>
  </si>
  <si>
    <t>Oberösterreich</t>
  </si>
  <si>
    <t>Salzburg</t>
  </si>
  <si>
    <t>Tirol</t>
  </si>
  <si>
    <t>Vorarlberg</t>
  </si>
  <si>
    <t>Małopolskie</t>
  </si>
  <si>
    <t>Śląskie</t>
  </si>
  <si>
    <t>Wielkopolskie</t>
  </si>
  <si>
    <t>Zachodniopomorskie</t>
  </si>
  <si>
    <t>Lubuskie</t>
  </si>
  <si>
    <t>Dolnośląskie</t>
  </si>
  <si>
    <t>Opolskie</t>
  </si>
  <si>
    <t>Kujawsko-pomorskie</t>
  </si>
  <si>
    <t>Warmińsko-mazurskie</t>
  </si>
  <si>
    <t>Pomorskie</t>
  </si>
  <si>
    <t>Łódzkie</t>
  </si>
  <si>
    <t>Świętokrzyskie</t>
  </si>
  <si>
    <t>Lubelskie</t>
  </si>
  <si>
    <t>Podkarpackie</t>
  </si>
  <si>
    <t>Podlaskie</t>
  </si>
  <si>
    <t>Warszawski stołeczny</t>
  </si>
  <si>
    <t>Mazowiecki regionalny</t>
  </si>
  <si>
    <t>Norte</t>
  </si>
  <si>
    <t>Algarve</t>
  </si>
  <si>
    <t>Centro (PT)</t>
  </si>
  <si>
    <t>Área Metropolitana de Lisboa</t>
  </si>
  <si>
    <t>Alentejo</t>
  </si>
  <si>
    <t>PT20</t>
  </si>
  <si>
    <t>Região Autónoma dos Açores</t>
  </si>
  <si>
    <t>PT30</t>
  </si>
  <si>
    <t>Região Autónoma da Madeira</t>
  </si>
  <si>
    <t>Nord-Vest</t>
  </si>
  <si>
    <t>Centru</t>
  </si>
  <si>
    <t>Nord-Est</t>
  </si>
  <si>
    <t>Sud-Est</t>
  </si>
  <si>
    <t>Sud-Muntenia</t>
  </si>
  <si>
    <t>Bucureşti-Ilfov</t>
  </si>
  <si>
    <t>Sud-Vest Oltenia</t>
  </si>
  <si>
    <t>Vest</t>
  </si>
  <si>
    <t>Vzhodna Slovenija</t>
  </si>
  <si>
    <t>Zahodna Slovenija</t>
  </si>
  <si>
    <t>Bratislavský kraj</t>
  </si>
  <si>
    <t>Západné Slovensko</t>
  </si>
  <si>
    <t>Stredné Slovensko</t>
  </si>
  <si>
    <t>Východné Slovensko</t>
  </si>
  <si>
    <t>Länsi-Suomi</t>
  </si>
  <si>
    <t>Helsinki-Uusimaa</t>
  </si>
  <si>
    <t>Etelä-Suomi</t>
  </si>
  <si>
    <t>Pohjois- ja Itä-Suomi</t>
  </si>
  <si>
    <t>FI20</t>
  </si>
  <si>
    <t>Åland</t>
  </si>
  <si>
    <t>Stockholm</t>
  </si>
  <si>
    <t>Östra Mellansverige</t>
  </si>
  <si>
    <t>Småland med öarna</t>
  </si>
  <si>
    <t>Sydsverige</t>
  </si>
  <si>
    <t>Västsverige</t>
  </si>
  <si>
    <t>Norra Mellansverige</t>
  </si>
  <si>
    <t>Mellersta Norrland</t>
  </si>
  <si>
    <t>Övre Norrland</t>
  </si>
  <si>
    <t>Tees Valley and Durham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</si>
  <si>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</si>
  <si>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</si>
  <si>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</si>
  <si>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</si>
  <si>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</si>
  <si>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</si>
  <si>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</si>
  <si>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</si>
  <si>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</si>
  <si>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</si>
  <si>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</si>
  <si>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</si>
  <si>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</si>
  <si>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</si>
  <si>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</si>
  <si>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</si>
  <si>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</si>
  <si>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</si>
  <si>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</si>
  <si>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</si>
  <si>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</si>
  <si>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</si>
  <si>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</si>
  <si>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</si>
  <si>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</si>
  <si>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</si>
  <si>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</si>
  <si>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</si>
  <si>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</si>
  <si>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</si>
  <si>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</si>
  <si>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</si>
  <si>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</si>
  <si>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</si>
  <si>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</si>
  <si>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</si>
  <si>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Eastern Scotland</t>
  </si>
  <si>
    <t>West Central Scotland</t>
  </si>
  <si>
    <t>Southern Scotland</t>
  </si>
  <si>
    <t>Northern Ireland</t>
  </si>
  <si>
    <t>Région de Bruxelles-Capitale/ 
Brussels Hoofdstedelijk Gewest</t>
  </si>
  <si>
    <t>Estonia</t>
  </si>
  <si>
    <t>Lituania</t>
  </si>
  <si>
    <t>Cyprus</t>
  </si>
  <si>
    <t>NO08</t>
  </si>
  <si>
    <t>NO09</t>
  </si>
  <si>
    <t>NO0A</t>
  </si>
  <si>
    <t>NO0B</t>
  </si>
  <si>
    <t>Innlandet</t>
  </si>
  <si>
    <t>Trøndelag</t>
  </si>
  <si>
    <t>Nord-Norge</t>
  </si>
  <si>
    <t>Oslo og Viken</t>
  </si>
  <si>
    <t>Agder og Sør-Østlandet</t>
  </si>
  <si>
    <t>Vestlandet</t>
  </si>
  <si>
    <t>Svalbard og Jan Mayen</t>
  </si>
  <si>
    <t xml:space="preserve">Switzerland </t>
  </si>
  <si>
    <t>Région lémanique</t>
  </si>
  <si>
    <t>Espace Mittelland</t>
  </si>
  <si>
    <t>Nordwestschweiz</t>
  </si>
  <si>
    <t>Zürich</t>
  </si>
  <si>
    <t>Ostschweiz</t>
  </si>
  <si>
    <t>Zentralschweiz</t>
  </si>
  <si>
    <t>Ticino</t>
  </si>
  <si>
    <t>Црна Гора</t>
  </si>
  <si>
    <t>Северна Македонија</t>
  </si>
  <si>
    <t>Veri</t>
  </si>
  <si>
    <t>Qender</t>
  </si>
  <si>
    <t>Jug</t>
  </si>
  <si>
    <t>Београдски регион</t>
  </si>
  <si>
    <t>Регион Војводине</t>
  </si>
  <si>
    <t>Регион Шумадије и Западне Србије</t>
  </si>
  <si>
    <t>Регион Јужне и Источне Србије</t>
  </si>
  <si>
    <t>Island</t>
  </si>
  <si>
    <t>Linchestein</t>
  </si>
  <si>
    <t>IS00</t>
  </si>
  <si>
    <t>LI00</t>
  </si>
  <si>
    <t>NUTS2_endemo</t>
  </si>
  <si>
    <t>Region</t>
  </si>
  <si>
    <t>Antwerp</t>
  </si>
  <si>
    <t>Kallo</t>
  </si>
  <si>
    <t>Litvinov</t>
  </si>
  <si>
    <t>Schwechat</t>
  </si>
  <si>
    <t>Porvoo</t>
  </si>
  <si>
    <t>Tarragona</t>
  </si>
  <si>
    <t>Puertollano</t>
  </si>
  <si>
    <t>Dunkirk</t>
  </si>
  <si>
    <t>Feyzin</t>
  </si>
  <si>
    <t xml:space="preserve">Berre
Lavera </t>
  </si>
  <si>
    <t>Gonfreville
ND Gravenchon</t>
  </si>
  <si>
    <t>Stenungsund</t>
  </si>
  <si>
    <t>Grangemouth</t>
  </si>
  <si>
    <t>Grangemouth
Mossmorran</t>
  </si>
  <si>
    <t>Wilton</t>
  </si>
  <si>
    <t>Bratislava</t>
  </si>
  <si>
    <t>Sines</t>
  </si>
  <si>
    <t>Plock</t>
  </si>
  <si>
    <t>Geleen</t>
  </si>
  <si>
    <t>Moerdijk</t>
  </si>
  <si>
    <t>Terneuzen</t>
  </si>
  <si>
    <t>Brindisi (BR)</t>
  </si>
  <si>
    <t>Priolo Gargallo (SR)</t>
  </si>
  <si>
    <t>Porto Marghera (VE)</t>
  </si>
  <si>
    <t>Tiszaujvaros</t>
  </si>
  <si>
    <t>Boehlen</t>
  </si>
  <si>
    <t>Burghausen</t>
  </si>
  <si>
    <t>Gelsenkirchen</t>
  </si>
  <si>
    <t>Heide</t>
  </si>
  <si>
    <t>Ludwigshafen</t>
  </si>
  <si>
    <t>Burghausen
Munchmunster</t>
  </si>
  <si>
    <t>Köln-Worringen
Wesseling</t>
  </si>
  <si>
    <t>ethylene %</t>
  </si>
  <si>
    <t>propylene %</t>
  </si>
  <si>
    <t>steel %</t>
  </si>
  <si>
    <t>installed capacity steel</t>
  </si>
  <si>
    <t xml:space="preserve">installed capacity ethylene </t>
  </si>
  <si>
    <t xml:space="preserve">installed capacity propylene </t>
  </si>
  <si>
    <t>installed capacity aromate</t>
  </si>
  <si>
    <t>aromate %</t>
  </si>
  <si>
    <t>Porto Marghera</t>
  </si>
  <si>
    <t>Priolo</t>
  </si>
  <si>
    <t>Wesseling</t>
  </si>
  <si>
    <t>Huelva</t>
  </si>
  <si>
    <t>Huelva
Algeciras</t>
  </si>
  <si>
    <t>Gonfreville</t>
  </si>
  <si>
    <t>Botlek</t>
  </si>
  <si>
    <t>Gelsenkirchen
Dormagen</t>
  </si>
  <si>
    <t>Oporto</t>
  </si>
  <si>
    <t>Szazhalombatta</t>
  </si>
  <si>
    <t>Lingen</t>
  </si>
  <si>
    <t>installed capacity toluene</t>
  </si>
  <si>
    <t>Schwedt</t>
  </si>
  <si>
    <t>installed capacity benzene</t>
  </si>
  <si>
    <t>installed capacity orthoxylene</t>
  </si>
  <si>
    <t>installed capacity paraxylene</t>
  </si>
  <si>
    <t>Wesseling
Godorf
Köln</t>
  </si>
  <si>
    <t>Middlesbrough</t>
  </si>
  <si>
    <t xml:space="preserve">Carling </t>
  </si>
  <si>
    <t>Stanlow</t>
  </si>
  <si>
    <t>Immingham</t>
  </si>
  <si>
    <t>Porto Torres
Sarroch</t>
  </si>
  <si>
    <t>Wloclawek</t>
  </si>
  <si>
    <t>Antwerp
Geel</t>
  </si>
  <si>
    <t>Navodari</t>
  </si>
  <si>
    <t xml:space="preserve">Lavera </t>
  </si>
  <si>
    <t>installed capacity methanol</t>
  </si>
  <si>
    <t>methanol %</t>
  </si>
  <si>
    <t>Leuna</t>
  </si>
  <si>
    <t>Delfzijl</t>
  </si>
  <si>
    <t>Tjeldberggodden</t>
  </si>
  <si>
    <t>Victoria</t>
  </si>
  <si>
    <t>Kikinda</t>
  </si>
  <si>
    <t>Jonava</t>
  </si>
  <si>
    <t>Chorzow</t>
  </si>
  <si>
    <t>installed capacity aluminum</t>
  </si>
  <si>
    <t>installed capacity chlorin</t>
  </si>
  <si>
    <t>Slatina</t>
  </si>
  <si>
    <t>San Ciprian
La Coruña</t>
  </si>
  <si>
    <t>Aviles</t>
  </si>
  <si>
    <t>St Jean de Maurienne</t>
  </si>
  <si>
    <t>Fort William</t>
  </si>
  <si>
    <t>Ziar nad Hronom</t>
  </si>
  <si>
    <t>Agios Nikolaos</t>
  </si>
  <si>
    <t>Sundsvall</t>
  </si>
  <si>
    <t>Kidricevo</t>
  </si>
  <si>
    <t>various</t>
  </si>
  <si>
    <t>Podgorica</t>
  </si>
  <si>
    <t>Mosjøen</t>
  </si>
  <si>
    <t>Lista</t>
  </si>
  <si>
    <t>Sunndalsøra
Årdal
Karmøy
Husnes
Høyanger</t>
  </si>
  <si>
    <t>Sabiñánigo</t>
  </si>
  <si>
    <t>Pontevedra</t>
  </si>
  <si>
    <t>Hernani</t>
  </si>
  <si>
    <t>Torrelavega</t>
  </si>
  <si>
    <t>Martorell
Vilaseca
Monzon
Flix</t>
  </si>
  <si>
    <t>Runcorn</t>
  </si>
  <si>
    <t>Thetford</t>
  </si>
  <si>
    <t>West Thurrock</t>
  </si>
  <si>
    <t>Pratteln</t>
  </si>
  <si>
    <t>Hrastnik</t>
  </si>
  <si>
    <t>Novaky</t>
  </si>
  <si>
    <t>Rimnicu Valcea</t>
  </si>
  <si>
    <t>Borzesti</t>
  </si>
  <si>
    <t>Povoa</t>
  </si>
  <si>
    <t>Estarreja</t>
  </si>
  <si>
    <t>Brzeg Dolny</t>
  </si>
  <si>
    <t>Bergen op Zoom</t>
  </si>
  <si>
    <t>Sarpsborg</t>
  </si>
  <si>
    <t>Bremanger</t>
  </si>
  <si>
    <t>Rafnes</t>
  </si>
  <si>
    <t>Bussi</t>
  </si>
  <si>
    <t>Assemini</t>
  </si>
  <si>
    <t>Volterra
Rosignano</t>
  </si>
  <si>
    <t>Pieve Vergonte</t>
  </si>
  <si>
    <t>Campochiaro</t>
  </si>
  <si>
    <t>Fermoy</t>
  </si>
  <si>
    <t>Kazincbarcika</t>
  </si>
  <si>
    <t>Thessaloniki</t>
  </si>
  <si>
    <t>Inofita Viotias</t>
  </si>
  <si>
    <t>Marousi</t>
  </si>
  <si>
    <t>Burghausen
Gendorf</t>
  </si>
  <si>
    <t>Frankfurt</t>
  </si>
  <si>
    <t>Wilhelmshaven</t>
  </si>
  <si>
    <t>Marl
Ibbenbüren</t>
  </si>
  <si>
    <t>Stade</t>
  </si>
  <si>
    <t>Gersthofen</t>
  </si>
  <si>
    <t>Leuna
Bitterfeld
Schkopau</t>
  </si>
  <si>
    <t>Brunsbüttel</t>
  </si>
  <si>
    <t>Dormagen
Rheinberg
Uerdingen</t>
  </si>
  <si>
    <t>Lülsdorf
Knapsack
Leverkusen</t>
  </si>
  <si>
    <t>Thann</t>
  </si>
  <si>
    <t>Fos</t>
  </si>
  <si>
    <t>Lavera
St Auban</t>
  </si>
  <si>
    <t>Pont de Claix
Jarrie
Pomblière</t>
  </si>
  <si>
    <t>Harbonnières</t>
  </si>
  <si>
    <t>Tavaux</t>
  </si>
  <si>
    <t>Loos</t>
  </si>
  <si>
    <t>Oulu</t>
  </si>
  <si>
    <t>Joutseno</t>
  </si>
  <si>
    <t>Neratovice</t>
  </si>
  <si>
    <t>Usti</t>
  </si>
  <si>
    <t>Jemeppe</t>
  </si>
  <si>
    <t>Tessenderlo</t>
  </si>
  <si>
    <t>Brückl</t>
  </si>
  <si>
    <t>Kapfenberg
Mitterdorf</t>
  </si>
  <si>
    <t>Charleroi
Chatelet</t>
  </si>
  <si>
    <t>Genk</t>
  </si>
  <si>
    <t>Tornio</t>
  </si>
  <si>
    <t>Chateauneuf de Giers</t>
  </si>
  <si>
    <t>Imphy
Le Creusot</t>
  </si>
  <si>
    <t>Ugine</t>
  </si>
  <si>
    <t>Freital
Gröditz</t>
  </si>
  <si>
    <t>Völklingen</t>
  </si>
  <si>
    <t>Wetzlar</t>
  </si>
  <si>
    <t>Siegen
Witten</t>
  </si>
  <si>
    <t>Aosta</t>
  </si>
  <si>
    <t>Bolzano</t>
  </si>
  <si>
    <t>Breno
Ospitaletto</t>
  </si>
  <si>
    <t>Terni</t>
  </si>
  <si>
    <t>Udine</t>
  </si>
  <si>
    <t>Vicenza</t>
  </si>
  <si>
    <t>Stalowa wola</t>
  </si>
  <si>
    <t>Jesenice
Ravne</t>
  </si>
  <si>
    <t>Amurrio
Basauri
Loiu</t>
  </si>
  <si>
    <t>Los Barrios</t>
  </si>
  <si>
    <t>Reinosa</t>
  </si>
  <si>
    <t>Avesta
Sandviken</t>
  </si>
  <si>
    <t>Aldwarke
Sheffield
Shepcote Lane</t>
  </si>
  <si>
    <t>installed capacity electric arc</t>
  </si>
  <si>
    <t>Linz</t>
  </si>
  <si>
    <t>Ghent</t>
  </si>
  <si>
    <t>Fos-Sur-Mer</t>
  </si>
  <si>
    <t>Duisbirg</t>
  </si>
  <si>
    <t>Dunauijvaros</t>
  </si>
  <si>
    <t>Taranto</t>
  </si>
  <si>
    <t>Ijmuiden</t>
  </si>
  <si>
    <t>Krakov</t>
  </si>
  <si>
    <t>Galati</t>
  </si>
  <si>
    <t>Kosice</t>
  </si>
  <si>
    <t>Avilés
Gijón</t>
  </si>
  <si>
    <t>Lulea</t>
  </si>
  <si>
    <t>Öxelösund</t>
  </si>
  <si>
    <t>Port Talbot</t>
  </si>
  <si>
    <t>Scunthorpe</t>
  </si>
  <si>
    <t>Donawitz
Graz
Kapfenberg
Mitterdorf</t>
  </si>
  <si>
    <t>Pernik</t>
  </si>
  <si>
    <t>Sisak</t>
  </si>
  <si>
    <t>Split</t>
  </si>
  <si>
    <t>Trinec
Ostrava</t>
  </si>
  <si>
    <t>Plzen</t>
  </si>
  <si>
    <t>Imatra</t>
  </si>
  <si>
    <t>Raahe
Tornio</t>
  </si>
  <si>
    <t>Bayonne</t>
  </si>
  <si>
    <t>Bonnieres-Sur-Seine
Gargenville
Montereau</t>
  </si>
  <si>
    <t>Hagondange
Neuves Maisons</t>
  </si>
  <si>
    <t>Dunkirk
St. Saulve
Trith St Leger</t>
  </si>
  <si>
    <t>Chateauneuf, R. de Giers
Ugine</t>
  </si>
  <si>
    <t>Dillingen
Völklingen
Bous/Saar</t>
  </si>
  <si>
    <t>Eisenhüttenstadt
Brandenburg
Henningsdorf</t>
  </si>
  <si>
    <t>Herbertshofen</t>
  </si>
  <si>
    <t>Kehl</t>
  </si>
  <si>
    <t>Georgsmarienhütte
Lingen</t>
  </si>
  <si>
    <t>Salzgitter
Peine</t>
  </si>
  <si>
    <t>Freital
Gröditz
Riesa</t>
  </si>
  <si>
    <t>Unterwellenborn</t>
  </si>
  <si>
    <t>Esch-Sur-Alzette</t>
  </si>
  <si>
    <t>Ozd</t>
  </si>
  <si>
    <t>Aspropyrgos
Eleusis</t>
  </si>
  <si>
    <t>Almyros-Magnisia
Velestino</t>
  </si>
  <si>
    <t>Borgo Valsugana</t>
  </si>
  <si>
    <t>Catania</t>
  </si>
  <si>
    <t>Lesegno</t>
  </si>
  <si>
    <t>Breno
Brescia
Caronno
Cividate al Piano
Cremona
Dalmine
Lonato
Lovere
Odolo
Ospitaletto
San Zeno Naviglio
Sarezzo</t>
  </si>
  <si>
    <t>Camin
Osoppo
Vallese D. Oppeano
Verona
Vicenza</t>
  </si>
  <si>
    <t>Ostrowiec</t>
  </si>
  <si>
    <t>Stalowa Wola</t>
  </si>
  <si>
    <t>Warszawa</t>
  </si>
  <si>
    <t>Dabrowa Gornicza
Chorzow
Czestochowa
Gliwice
Katowice
Zawiercie</t>
  </si>
  <si>
    <t>Maia</t>
  </si>
  <si>
    <t>Seixal</t>
  </si>
  <si>
    <t>Calarasi</t>
  </si>
  <si>
    <t>Hunedoara
Otelu Rosu
Resita</t>
  </si>
  <si>
    <t>Podbrezova</t>
  </si>
  <si>
    <t>Jesenice</t>
  </si>
  <si>
    <t>Celje-Store
Ravne</t>
  </si>
  <si>
    <t>Castellbisbal</t>
  </si>
  <si>
    <t>Getafe</t>
  </si>
  <si>
    <t>Naron</t>
  </si>
  <si>
    <t>Reinosa
Santander</t>
  </si>
  <si>
    <t>Amurrio
Azpeitia
Basauri
Bilbao
Galindo
Loiu
Olaberria
Sestao</t>
  </si>
  <si>
    <t>Jerez de los Caballeros
Los Barrios
Sevilla</t>
  </si>
  <si>
    <t>Zaragoza</t>
  </si>
  <si>
    <t>Avesta
Björneborg
Hagfors
Hofors
Sandviken
Smedjebacken</t>
  </si>
  <si>
    <t>Tremorfa</t>
  </si>
  <si>
    <t>paper %</t>
  </si>
  <si>
    <t>installed capacity ammonia</t>
  </si>
  <si>
    <t>ammonia %</t>
  </si>
  <si>
    <t>Cologne</t>
  </si>
  <si>
    <t>Palos de la Frontera</t>
  </si>
  <si>
    <t>Barreiro</t>
  </si>
  <si>
    <t>installed capacity steel_stainless</t>
  </si>
  <si>
    <t>steel_stainless %</t>
  </si>
  <si>
    <t>excess heat cement</t>
  </si>
  <si>
    <t>excess heat glass</t>
  </si>
  <si>
    <t xml:space="preserve">fuel demand cement </t>
  </si>
  <si>
    <t>excess heat cement %</t>
  </si>
  <si>
    <t>fuel demand cement %</t>
  </si>
  <si>
    <t>fuel demand glass</t>
  </si>
  <si>
    <t>excess heat glass %</t>
  </si>
  <si>
    <t>fuel demand glass %</t>
  </si>
  <si>
    <t>Grandpuits</t>
  </si>
  <si>
    <t>Ottmarsheim</t>
  </si>
  <si>
    <t>Le Grand Quevilly
Le Havre</t>
  </si>
  <si>
    <t>Pardies</t>
  </si>
  <si>
    <t>Sluiskil</t>
  </si>
  <si>
    <t>Tertre</t>
  </si>
  <si>
    <t>Porsgrunn</t>
  </si>
  <si>
    <t>Ferrara</t>
  </si>
  <si>
    <t>Kavalla</t>
  </si>
  <si>
    <t>Billingham</t>
  </si>
  <si>
    <t>Ince</t>
  </si>
  <si>
    <t>Hull</t>
  </si>
  <si>
    <t>Lutherstadt Wittenberg</t>
  </si>
  <si>
    <t>Brunsbuttel</t>
  </si>
  <si>
    <t>Prague</t>
  </si>
  <si>
    <t>Szalombatta</t>
  </si>
  <si>
    <t>Veszprem</t>
  </si>
  <si>
    <t>Sofia</t>
  </si>
  <si>
    <t>Plovdiv</t>
  </si>
  <si>
    <t>Varna</t>
  </si>
  <si>
    <t>Bucarest</t>
  </si>
  <si>
    <t>Brasov</t>
  </si>
  <si>
    <t>Varsovia</t>
  </si>
  <si>
    <t>Lodz</t>
  </si>
  <si>
    <t>Pyzdry</t>
  </si>
  <si>
    <t>Baunatal</t>
  </si>
  <si>
    <t>Freiberg</t>
  </si>
  <si>
    <t>Göttingen</t>
  </si>
  <si>
    <r>
      <t xml:space="preserve">Hamburg
</t>
    </r>
    <r>
      <rPr>
        <sz val="11"/>
        <rFont val="Arial"/>
        <family val="2"/>
      </rPr>
      <t>Hamburg</t>
    </r>
  </si>
  <si>
    <t>Landshut</t>
  </si>
  <si>
    <t>Lüdenscheid
Lünen
Meinerzhagen
Nachrodt</t>
  </si>
  <si>
    <t>Bernburg
Harzgerode
Hettstedt
Novelis</t>
  </si>
  <si>
    <t>Annaberg
Fridrichshafen
Neu -Ulm</t>
  </si>
  <si>
    <r>
      <t xml:space="preserve">Rheinwerk Neuss
Essen
Voerde
</t>
    </r>
    <r>
      <rPr>
        <sz val="11"/>
        <color theme="1"/>
        <rFont val="Helvetica"/>
      </rPr>
      <t>Essen
Grevenbroich
Heiligenhaus
Hilden
Neuss
Norf</t>
    </r>
  </si>
  <si>
    <t>Rackwitz</t>
  </si>
  <si>
    <t>Deizisau
Stuttgart</t>
  </si>
  <si>
    <t>Garching
Markt Schwaben
Töging</t>
  </si>
  <si>
    <t>Dillingen
Kempten
Weissenhorn</t>
  </si>
  <si>
    <t>Bad Säckingen
Gundelfingen
Rheinfelden
Stockach
Wutöschingen</t>
  </si>
  <si>
    <t>alu_prim %</t>
  </si>
  <si>
    <t>no data</t>
  </si>
  <si>
    <t>comment alu_prim</t>
  </si>
  <si>
    <t>comment</t>
  </si>
  <si>
    <t>cement %</t>
  </si>
  <si>
    <t>glass %</t>
  </si>
  <si>
    <t>installed capacity alu_sec</t>
  </si>
  <si>
    <t>alu_sec %</t>
  </si>
  <si>
    <t>Company</t>
  </si>
  <si>
    <t>Capacity (tpy)</t>
  </si>
  <si>
    <t>%</t>
  </si>
  <si>
    <t>Abu Dhabi</t>
  </si>
  <si>
    <t>Kizad Industrial City</t>
  </si>
  <si>
    <t>Taweelah Aluminium Extrusions (Talex)</t>
  </si>
  <si>
    <t>Tirana</t>
  </si>
  <si>
    <t>Alumil Albania SHPK</t>
  </si>
  <si>
    <t>Algeria</t>
  </si>
  <si>
    <t>Alger</t>
  </si>
  <si>
    <t>Société Algérienne de l’Aluminium</t>
  </si>
  <si>
    <t>Ghazaouet</t>
  </si>
  <si>
    <t>Alzinc</t>
  </si>
  <si>
    <t>M’Sila</t>
  </si>
  <si>
    <t>Algal</t>
  </si>
  <si>
    <t>Argentina</t>
  </si>
  <si>
    <t>Avellaneda</t>
  </si>
  <si>
    <t>Bruno Bianchy y C.I.A.</t>
  </si>
  <si>
    <t>Boulogne</t>
  </si>
  <si>
    <t>Errebe S.A.I.C.I.F.</t>
  </si>
  <si>
    <t>Buenos Aires</t>
  </si>
  <si>
    <t>Sicamar Metales S.A.</t>
  </si>
  <si>
    <t>Burzaco</t>
  </si>
  <si>
    <t>Imar S.A.</t>
  </si>
  <si>
    <t>Capital Federal</t>
  </si>
  <si>
    <t>Finkelstein A. y Cia S.A.</t>
  </si>
  <si>
    <t>Simon Cachan SA</t>
  </si>
  <si>
    <t>Ciudaldela</t>
  </si>
  <si>
    <t>ALA S.R.L.</t>
  </si>
  <si>
    <t>Cordoba</t>
  </si>
  <si>
    <t>Newmak Argentina</t>
  </si>
  <si>
    <t>Cosquin</t>
  </si>
  <si>
    <t>Camea S.A.</t>
  </si>
  <si>
    <t>El Talar de Pacheco</t>
  </si>
  <si>
    <t>Refineria Metales Uboldi y Cia</t>
  </si>
  <si>
    <t>Faci</t>
  </si>
  <si>
    <t>Jose Ingenieros Faci Srl</t>
  </si>
  <si>
    <t>General Pacheco</t>
  </si>
  <si>
    <t>Metales del Talar SA</t>
  </si>
  <si>
    <t>Jose Ingenieros</t>
  </si>
  <si>
    <t>Faci S.R.L.</t>
  </si>
  <si>
    <t>La Matanza</t>
  </si>
  <si>
    <t>Aluminium S.A.</t>
  </si>
  <si>
    <t>La Plata</t>
  </si>
  <si>
    <t>Alusud Argentinia Srl</t>
  </si>
  <si>
    <t>La Tablada</t>
  </si>
  <si>
    <t>S.A.I.C. y C. Ragor</t>
  </si>
  <si>
    <t>Laferrere</t>
  </si>
  <si>
    <t>Metalea SA</t>
  </si>
  <si>
    <t>Lomas de Zamora</t>
  </si>
  <si>
    <t>Flamia S.A.I.C.</t>
  </si>
  <si>
    <t>Pilar</t>
  </si>
  <si>
    <t>Indual S.A.</t>
  </si>
  <si>
    <t>Puerto Madryn</t>
  </si>
  <si>
    <t>Aluar</t>
  </si>
  <si>
    <t>Quilmes</t>
  </si>
  <si>
    <t>Alcemar S.A.</t>
  </si>
  <si>
    <t>Remedios de Escalada</t>
  </si>
  <si>
    <t>Espinosa Hnos S.C.A.</t>
  </si>
  <si>
    <t>Ringuelet</t>
  </si>
  <si>
    <t>Feroscar S.A.I.C</t>
  </si>
  <si>
    <t>Rosario</t>
  </si>
  <si>
    <t>Fundicion Extrusion Aluminio</t>
  </si>
  <si>
    <t>San Justo</t>
  </si>
  <si>
    <t>Linfimetal Saica</t>
  </si>
  <si>
    <t>San Martin</t>
  </si>
  <si>
    <t>Alpros S.A.</t>
  </si>
  <si>
    <t>Casa ZimaSrl</t>
  </si>
  <si>
    <t>Venado Tuerto</t>
  </si>
  <si>
    <t>Villa Adelina</t>
  </si>
  <si>
    <t>Demayo-Leonardi</t>
  </si>
  <si>
    <t>Villa Constitucion</t>
  </si>
  <si>
    <t>Parana Metal</t>
  </si>
  <si>
    <t>Villa Martelli</t>
  </si>
  <si>
    <t>Metales Antonio die Biase</t>
  </si>
  <si>
    <t>Armenia</t>
  </si>
  <si>
    <t>Erevan</t>
  </si>
  <si>
    <t>Armenal, RusAl</t>
  </si>
  <si>
    <t>Australia</t>
  </si>
  <si>
    <t>Ashmore</t>
  </si>
  <si>
    <t>Associated Engineering</t>
  </si>
  <si>
    <t>Bayswater</t>
  </si>
  <si>
    <t>Amag Alloys</t>
  </si>
  <si>
    <t>Beverly</t>
  </si>
  <si>
    <t>Ess Goods Sales</t>
  </si>
  <si>
    <t>Boyne Island</t>
  </si>
  <si>
    <t>Boyne Aluminium</t>
  </si>
  <si>
    <t>Brisbane</t>
  </si>
  <si>
    <t>G. James Extrusions</t>
  </si>
  <si>
    <t>Queensland Diecasters</t>
  </si>
  <si>
    <t>Bundaberg</t>
  </si>
  <si>
    <t>Comgrove Ltd</t>
  </si>
  <si>
    <t>Caringbah</t>
  </si>
  <si>
    <t>Dowell Australia</t>
  </si>
  <si>
    <t>Clayton South</t>
  </si>
  <si>
    <t>Moss Products</t>
  </si>
  <si>
    <t>Coopers Plaines</t>
  </si>
  <si>
    <t>Delton Industries</t>
  </si>
  <si>
    <t>Dandenong South</t>
  </si>
  <si>
    <t>Nissan Casting Australia</t>
  </si>
  <si>
    <t>Fairfield</t>
  </si>
  <si>
    <t>Lenlok Hales Pty</t>
  </si>
  <si>
    <t>Hemmant</t>
  </si>
  <si>
    <t>Actinal Pty Ltd</t>
  </si>
  <si>
    <t>Huntingdale</t>
  </si>
  <si>
    <t>Aluminium Extrusions</t>
  </si>
  <si>
    <t>Kewdale</t>
  </si>
  <si>
    <t>Falcon Engineering</t>
  </si>
  <si>
    <t>Kirrawee</t>
  </si>
  <si>
    <t>J Bazzano &amp; Sons</t>
  </si>
  <si>
    <t>Kurri Kurri</t>
  </si>
  <si>
    <t>Hydro Aluminium</t>
  </si>
  <si>
    <t>Weston Aluminium</t>
  </si>
  <si>
    <t>Kwinana</t>
  </si>
  <si>
    <t>H. Rose &amp; Co</t>
  </si>
  <si>
    <t>Maddington</t>
  </si>
  <si>
    <t>Alucast</t>
  </si>
  <si>
    <t>Melbourne</t>
  </si>
  <si>
    <t>Affinity Metals Pty</t>
  </si>
  <si>
    <t>Larvik Pigment (Australia) Ltd</t>
  </si>
  <si>
    <t>Northgate</t>
  </si>
  <si>
    <t>J. S. Engineering</t>
  </si>
  <si>
    <t>Portland</t>
  </si>
  <si>
    <t>Alcoa of Australia</t>
  </si>
  <si>
    <t>Revesby</t>
  </si>
  <si>
    <t>Riverside Metal</t>
  </si>
  <si>
    <t>Riversdale</t>
  </si>
  <si>
    <t>Grant Ron Die Casting</t>
  </si>
  <si>
    <t>Smithfield</t>
  </si>
  <si>
    <t>Colonial Castings</t>
  </si>
  <si>
    <t>Impact International</t>
  </si>
  <si>
    <t>Springvale</t>
  </si>
  <si>
    <t>Affinity Metals</t>
  </si>
  <si>
    <t>Summerhill Tasmania</t>
  </si>
  <si>
    <t>Thomas Thoms Co</t>
  </si>
  <si>
    <t>Tottenham</t>
  </si>
  <si>
    <t>Olex Cables</t>
  </si>
  <si>
    <t>Welshpool</t>
  </si>
  <si>
    <t>Ron Grant Die Casting</t>
  </si>
  <si>
    <t>West Heidelberg</t>
  </si>
  <si>
    <t>Melbourne Non-Ferrous</t>
  </si>
  <si>
    <t>Woodville</t>
  </si>
  <si>
    <t>ROH Alloy Wheel</t>
  </si>
  <si>
    <t>Altenmarkt</t>
  </si>
  <si>
    <t>GF Automotive</t>
  </si>
  <si>
    <t>Bludenz</t>
  </si>
  <si>
    <t>Alu-met GmbH</t>
  </si>
  <si>
    <t>Gleisdorf</t>
  </si>
  <si>
    <t>Bavaria Industriekapital AG</t>
  </si>
  <si>
    <t>Herzogenburg</t>
  </si>
  <si>
    <t>Georg Fischer Druckguss GmbH</t>
  </si>
  <si>
    <t>Knittelfeld</t>
  </si>
  <si>
    <t>Kuttin Recycling GmbH</t>
  </si>
  <si>
    <t>Kufstein-Schwoich</t>
  </si>
  <si>
    <t>MWS-Group</t>
  </si>
  <si>
    <t>Lend</t>
  </si>
  <si>
    <t>Salzburger Aluminium</t>
  </si>
  <si>
    <t>Nemak</t>
  </si>
  <si>
    <t>Marktl</t>
  </si>
  <si>
    <t>Neumann Aluminium</t>
  </si>
  <si>
    <t>Nenzing</t>
  </si>
  <si>
    <t>Hydro Aluminium Nenzing GmbH</t>
  </si>
  <si>
    <t>Neudörfl</t>
  </si>
  <si>
    <t>Almaxal Brüder Tschirk GmbH</t>
  </si>
  <si>
    <t>Ranshofen</t>
  </si>
  <si>
    <t>AMAG Austria Metall</t>
  </si>
  <si>
    <t>Hammerer Aluminium Industries GmbH</t>
  </si>
  <si>
    <t>Leichtmetallkompetenzzentrum Ranshofen (LKR)</t>
  </si>
  <si>
    <t>Schlins</t>
  </si>
  <si>
    <t>Speedline Aluminium GmbH (Steinacher Group)</t>
  </si>
  <si>
    <t>Styria</t>
  </si>
  <si>
    <t>Alumetal Group</t>
  </si>
  <si>
    <t>Vienna</t>
  </si>
  <si>
    <t>Almeta Metallumschmelzwerk</t>
  </si>
  <si>
    <t>Azerbaijan</t>
  </si>
  <si>
    <t>Dernegul Baku</t>
  </si>
  <si>
    <t>Azerlaijan Atlas</t>
  </si>
  <si>
    <t>Sumgait</t>
  </si>
  <si>
    <t>Sumgait Aluminium Smelter</t>
  </si>
  <si>
    <t>Bahrain</t>
  </si>
  <si>
    <t>Askar</t>
  </si>
  <si>
    <t>Bahrain Recycling Plant</t>
  </si>
  <si>
    <t>North Sitra</t>
  </si>
  <si>
    <t>Garmco</t>
  </si>
  <si>
    <t>Sitra</t>
  </si>
  <si>
    <t>Bahrain Aluminium Extrusion Co.</t>
  </si>
  <si>
    <t>Bamco</t>
  </si>
  <si>
    <t>Bangladesh</t>
  </si>
  <si>
    <t>Chandra Gazibur</t>
  </si>
  <si>
    <t>Bangladesh Thai Aluminium Ltd.</t>
  </si>
  <si>
    <t>Chittagong</t>
  </si>
  <si>
    <t>Bhuiyan Aluminium</t>
  </si>
  <si>
    <t>Chittagong Enamel &amp; Alum</t>
  </si>
  <si>
    <t>Delhi Aluminium Factory</t>
  </si>
  <si>
    <t>Diamond Aluminium</t>
  </si>
  <si>
    <t>Hoque Aluminium Works</t>
  </si>
  <si>
    <t>Janata Aluminium Ind.</t>
  </si>
  <si>
    <t>Mollah Aluminium Works</t>
  </si>
  <si>
    <t>Shahdat Aluminium Industries</t>
  </si>
  <si>
    <t>Comilla</t>
  </si>
  <si>
    <t>Paban Aluminium Industries</t>
  </si>
  <si>
    <t>Dhaka</t>
  </si>
  <si>
    <t>Bangladesh Aluminium Karkh</t>
  </si>
  <si>
    <t>Faziul Gaque Metal</t>
  </si>
  <si>
    <t>Friends Metal Ind</t>
  </si>
  <si>
    <t>Haque Aluminium Works</t>
  </si>
  <si>
    <t>Kai Bangladesh Aluminium Ltd.</t>
  </si>
  <si>
    <t>Kaiser Metal Works</t>
  </si>
  <si>
    <t>Kashem Metal Ind</t>
  </si>
  <si>
    <t>Latof Industrial Group</t>
  </si>
  <si>
    <t>Mahboob Metal Industries</t>
  </si>
  <si>
    <t>Mehenoti Metal Industries</t>
  </si>
  <si>
    <t>Mostafa Metal Industries</t>
  </si>
  <si>
    <t>Naf Aluminium Works</t>
  </si>
  <si>
    <t>Quiyum Metal Industries</t>
  </si>
  <si>
    <t>Rahmania Aluminium</t>
  </si>
  <si>
    <t>Rony Metal Industries</t>
  </si>
  <si>
    <t>Shalobin Industrial Corp</t>
  </si>
  <si>
    <t>Shikazu Aluminium Corp</t>
  </si>
  <si>
    <t>Hoakhali</t>
  </si>
  <si>
    <t>National Holloware Industry</t>
  </si>
  <si>
    <t>Belarus</t>
  </si>
  <si>
    <t>Minsk</t>
  </si>
  <si>
    <t>Alumin Techno</t>
  </si>
  <si>
    <t>Lamifil NV</t>
  </si>
  <si>
    <t>Dilsen Stokkern</t>
  </si>
  <si>
    <t>E-Max Aluminium</t>
  </si>
  <si>
    <t>Duffel</t>
  </si>
  <si>
    <t>ST Extruded Products</t>
  </si>
  <si>
    <t>Ghlin</t>
  </si>
  <si>
    <t>Hydro Extrusion Lichtervelde NV</t>
  </si>
  <si>
    <t>Gistel</t>
  </si>
  <si>
    <t>Arlette Berghman</t>
  </si>
  <si>
    <t>Hemsiksem</t>
  </si>
  <si>
    <t>Lamitref Industries</t>
  </si>
  <si>
    <t>Houthalen</t>
  </si>
  <si>
    <t>Aardee Recycling</t>
  </si>
  <si>
    <t>Lichtervelde</t>
  </si>
  <si>
    <t>BV Alutubes</t>
  </si>
  <si>
    <t>Remi Claeys</t>
  </si>
  <si>
    <t>Morsele</t>
  </si>
  <si>
    <t>E-Max Group</t>
  </si>
  <si>
    <t>Rochesterlaan</t>
  </si>
  <si>
    <t>Alumet-Motormet N.V.</t>
  </si>
  <si>
    <t>Tienen</t>
  </si>
  <si>
    <t>Affilips N.V.</t>
  </si>
  <si>
    <t>Bolivia</t>
  </si>
  <si>
    <t>El Alto</t>
  </si>
  <si>
    <t>Alluminio Boliviano S.A.</t>
  </si>
  <si>
    <t>Bosnia Herzegovina</t>
  </si>
  <si>
    <t>Mostar</t>
  </si>
  <si>
    <t>Aluminij Mostar</t>
  </si>
  <si>
    <t>Brazil</t>
  </si>
  <si>
    <t>Alto da Mooca</t>
  </si>
  <si>
    <t>Maclem Ltda</t>
  </si>
  <si>
    <t>Aluminio Nordeste</t>
  </si>
  <si>
    <t>Metalis Group</t>
  </si>
  <si>
    <t>Araçamiguara</t>
  </si>
  <si>
    <t>Metalur Ltds</t>
  </si>
  <si>
    <t>Aracarigurama</t>
  </si>
  <si>
    <t>CBA</t>
  </si>
  <si>
    <t>Aruja</t>
  </si>
  <si>
    <t>Aluligas Industria</t>
  </si>
  <si>
    <t>Barcarena</t>
  </si>
  <si>
    <t>Albras</t>
  </si>
  <si>
    <t>Belo Horizonte</t>
  </si>
  <si>
    <t>Rima Industrial S.A.</t>
  </si>
  <si>
    <t>Betim</t>
  </si>
  <si>
    <t>Alumarras Alluminio</t>
  </si>
  <si>
    <t>Nemak Brazil</t>
  </si>
  <si>
    <t>Cachoetrinha</t>
  </si>
  <si>
    <t>Sumisa et Sulina de Metais</t>
  </si>
  <si>
    <t>Cajamar</t>
  </si>
  <si>
    <t>Ibrmae Industria Brasileira</t>
  </si>
  <si>
    <t>Carlos Prats</t>
  </si>
  <si>
    <t>Broxina Com. De Metais</t>
  </si>
  <si>
    <t>Centenario do Sul</t>
  </si>
  <si>
    <t>Latasa</t>
  </si>
  <si>
    <t>Contagem</t>
  </si>
  <si>
    <t>Altrans Industria</t>
  </si>
  <si>
    <t>Alumex</t>
  </si>
  <si>
    <t>Comerical Anox</t>
  </si>
  <si>
    <t>Polimetal Ligas e Metais Ltda</t>
  </si>
  <si>
    <t>Curitiba</t>
  </si>
  <si>
    <t>Janivo Holding B.V. (Brabant Alucast)</t>
  </si>
  <si>
    <t>Diadema</t>
  </si>
  <si>
    <t>Remesa SA Industria e Com.</t>
  </si>
  <si>
    <t>Embu Guacu</t>
  </si>
  <si>
    <t>Com. E Beneficiamenio Metais</t>
  </si>
  <si>
    <t>Ferraz de Vasconde</t>
  </si>
  <si>
    <t>Alum Braz. Reciclagens em Alum</t>
  </si>
  <si>
    <t>Technologia em Extrusao de Aluminio</t>
  </si>
  <si>
    <t>Guarulhos</t>
  </si>
  <si>
    <t>Dai Metal indu e Com. de e Metais</t>
  </si>
  <si>
    <t>Fundaluminio Industria e Commercio</t>
  </si>
  <si>
    <t>Metalpecas Industria e Com.</t>
  </si>
  <si>
    <t>Recuper. De Alluminio Almeida</t>
  </si>
  <si>
    <t>Recuperadora de Alluminio Lumi.</t>
  </si>
  <si>
    <t>Vaska Ind. E Com. de Meatis</t>
  </si>
  <si>
    <t>Ipiranga</t>
  </si>
  <si>
    <t>Alubras Industria</t>
  </si>
  <si>
    <t>Persianas Columbia</t>
  </si>
  <si>
    <t>Artub Industria de Metais</t>
  </si>
  <si>
    <t>Itapissuma</t>
  </si>
  <si>
    <t>Itaquaquecetuba</t>
  </si>
  <si>
    <t>Industria e Com de Metais Capi</t>
  </si>
  <si>
    <t>Itaquera</t>
  </si>
  <si>
    <t>Fundaçao Recuperadora Fazen.</t>
  </si>
  <si>
    <t>Itu</t>
  </si>
  <si>
    <t>Hydro Aluminium Acro</t>
  </si>
  <si>
    <t>Limeira</t>
  </si>
  <si>
    <t>Maxion Wheels</t>
  </si>
  <si>
    <t>Marique Aluminio</t>
  </si>
  <si>
    <t>Cpompanhia Brasileira de Aluminio</t>
  </si>
  <si>
    <t>Pindamonhangaba</t>
  </si>
  <si>
    <t>Alcoa Aluminio S.A.</t>
  </si>
  <si>
    <t>Novelis</t>
  </si>
  <si>
    <t>Aleris</t>
  </si>
  <si>
    <t>Pindamonhangaba Extrusao SA</t>
  </si>
  <si>
    <t>Porto Feliz</t>
  </si>
  <si>
    <t>Selritec Metallurgia</t>
  </si>
  <si>
    <t>Pouso Alegre</t>
  </si>
  <si>
    <t>Imago Coimdra Junqueira</t>
  </si>
  <si>
    <t>Recife</t>
  </si>
  <si>
    <t>F Conte SAIC</t>
  </si>
  <si>
    <t>Santa Cruz</t>
  </si>
  <si>
    <t>Almax Alluminio SA</t>
  </si>
  <si>
    <t>Metalisul (Metalis Group)</t>
  </si>
  <si>
    <t>Santo Andre</t>
  </si>
  <si>
    <t>Ferkoda S.A.</t>
  </si>
  <si>
    <t>São Bernardo</t>
  </si>
  <si>
    <t>Fae SA</t>
  </si>
  <si>
    <t>São Paulo</t>
  </si>
  <si>
    <t>Cia Industrial Fluminense</t>
  </si>
  <si>
    <t>Hydro Alluminio Acro</t>
  </si>
  <si>
    <t>Laminaçao de Metais Clemente Ltda.</t>
  </si>
  <si>
    <t>Pekpal Ind e Com de Metais</t>
  </si>
  <si>
    <t>Tonolli do Brasil</t>
  </si>
  <si>
    <t>Tres Coraçoes city</t>
  </si>
  <si>
    <t>Mangels</t>
  </si>
  <si>
    <t>Utinga</t>
  </si>
  <si>
    <t>Norsk Hydro</t>
  </si>
  <si>
    <t>Vila Arapua</t>
  </si>
  <si>
    <t>Persianas Columbia S.A.</t>
  </si>
  <si>
    <t>Vila Carioca</t>
  </si>
  <si>
    <t>Serralheria Binkafer</t>
  </si>
  <si>
    <t>Vila Formosa</t>
  </si>
  <si>
    <t>Formetal S.A.I.C.</t>
  </si>
  <si>
    <t>Dolna Oriahovista</t>
  </si>
  <si>
    <t>Vi-Vesta Metal SA</t>
  </si>
  <si>
    <t>Ruse</t>
  </si>
  <si>
    <t>CITIC</t>
  </si>
  <si>
    <t>Montupet EOOD</t>
  </si>
  <si>
    <t>Sevlievo</t>
  </si>
  <si>
    <t>Effebiesse</t>
  </si>
  <si>
    <t>Shumen</t>
  </si>
  <si>
    <t>Alcomet AD</t>
  </si>
  <si>
    <t>Energocabel plc</t>
  </si>
  <si>
    <t>Stara Zagora</t>
  </si>
  <si>
    <t>Cameroon</t>
  </si>
  <si>
    <t>Edea</t>
  </si>
  <si>
    <t>Socatral</t>
  </si>
  <si>
    <t>Canada</t>
  </si>
  <si>
    <t>Alliston</t>
  </si>
  <si>
    <t>Molten Aluminium Producer Canada (MAPCAN)</t>
  </si>
  <si>
    <t>Alma</t>
  </si>
  <si>
    <t>Rio Tinto</t>
  </si>
  <si>
    <t>Baie Comeau</t>
  </si>
  <si>
    <t>Philip Services</t>
  </si>
  <si>
    <t>Recyclage d’Aluminium Québec (Lefebvre)</t>
  </si>
  <si>
    <t>Becancour</t>
  </si>
  <si>
    <t>Alcoa Inc.</t>
  </si>
  <si>
    <t>Recyclage d’Aluminum Quebec</t>
  </si>
  <si>
    <t>Brampton</t>
  </si>
  <si>
    <t>Matalco (unit of Triple M Metal LP)</t>
  </si>
  <si>
    <t>Chatham-Kent</t>
  </si>
  <si>
    <t>Dajcor Aluminium Ltd.</t>
  </si>
  <si>
    <t>Chicoutimi</t>
  </si>
  <si>
    <t>Ceradyne Canada ULC</t>
  </si>
  <si>
    <t>Scepter Inc.</t>
  </si>
  <si>
    <t>Concord</t>
  </si>
  <si>
    <t>Rochester Aluminium Smelting Canada Ltd.</t>
  </si>
  <si>
    <t>Dubuc</t>
  </si>
  <si>
    <t>Etobicoke</t>
  </si>
  <si>
    <t>Meridian Technologies Inc</t>
  </si>
  <si>
    <t>Guelph</t>
  </si>
  <si>
    <t>Guillaume-Tremblay</t>
  </si>
  <si>
    <t>Scepter</t>
  </si>
  <si>
    <t>Kingston</t>
  </si>
  <si>
    <t>Lapointe</t>
  </si>
  <si>
    <t>Laval</t>
  </si>
  <si>
    <t>Noralco</t>
  </si>
  <si>
    <t>London</t>
  </si>
  <si>
    <t>Ramsden Industries</t>
  </si>
  <si>
    <t>Mississauga</t>
  </si>
  <si>
    <t>Signature Holdings Group</t>
  </si>
  <si>
    <t>Montreal</t>
  </si>
  <si>
    <t>American Iron &amp; Metal LP</t>
  </si>
  <si>
    <t>Indalex</t>
  </si>
  <si>
    <t>North York</t>
  </si>
  <si>
    <t>Indalex Inc.</t>
  </si>
  <si>
    <t>Pickering</t>
  </si>
  <si>
    <t>Signature Aluminum Canada Inc.</t>
  </si>
  <si>
    <t>Sapa AB</t>
  </si>
  <si>
    <t>Quebec</t>
  </si>
  <si>
    <t>Lavalum</t>
  </si>
  <si>
    <t>Regina</t>
  </si>
  <si>
    <t>Sarcan</t>
  </si>
  <si>
    <t>Richmond</t>
  </si>
  <si>
    <t>CGH Industries</t>
  </si>
  <si>
    <t>Pan Pacific Recycling Inc.</t>
  </si>
  <si>
    <t>Saguenay</t>
  </si>
  <si>
    <t>Scepter Inc</t>
  </si>
  <si>
    <t>Saskatoon</t>
  </si>
  <si>
    <t>Shawinigan</t>
  </si>
  <si>
    <t>Shawinigan Aluminium</t>
  </si>
  <si>
    <t>Sherbrooke</t>
  </si>
  <si>
    <t>Ball Corp.</t>
  </si>
  <si>
    <t>Southfield</t>
  </si>
  <si>
    <t>Nemak Canada</t>
  </si>
  <si>
    <t>Surrey</t>
  </si>
  <si>
    <t>Rypac Aluminium Recycling Ltd.</t>
  </si>
  <si>
    <t>Toronto</t>
  </si>
  <si>
    <t>Greenway Industries Corp.</t>
  </si>
  <si>
    <t>Waxman Recycling</t>
  </si>
  <si>
    <t>Vancouver</t>
  </si>
  <si>
    <t>Beralcast Corp.</t>
  </si>
  <si>
    <t>Weston</t>
  </si>
  <si>
    <t>Indalloy</t>
  </si>
  <si>
    <t>Chile</t>
  </si>
  <si>
    <t>Santiago</t>
  </si>
  <si>
    <t>Madeco</t>
  </si>
  <si>
    <t>Manufacturas de Cobre</t>
  </si>
  <si>
    <t>Fantuzzi S.A.</t>
  </si>
  <si>
    <t>China</t>
  </si>
  <si>
    <t>Baishan</t>
  </si>
  <si>
    <t>Baishan Jiacheng Aluminium</t>
  </si>
  <si>
    <t>Baoding</t>
  </si>
  <si>
    <t>Baoding Longda Aluminium</t>
  </si>
  <si>
    <t>Beijing</t>
  </si>
  <si>
    <t>Beijing Beilu Jinfeng Aluminium Co. Ltd.</t>
  </si>
  <si>
    <t>Beijing East Asia Aluminium Ind. Co. Ltd.</t>
  </si>
  <si>
    <t>Beijing Daxing</t>
  </si>
  <si>
    <t>Beijing Weihao Aluminium Co. Ltd.</t>
  </si>
  <si>
    <t>Beijng</t>
  </si>
  <si>
    <t>Tianjin Zhongwang Aluminium Co. Ltd.</t>
  </si>
  <si>
    <t>Benxi</t>
  </si>
  <si>
    <t>Benxi Alloy Plant</t>
  </si>
  <si>
    <t>Bohai</t>
  </si>
  <si>
    <t>Bohai Aluminium</t>
  </si>
  <si>
    <t>Changchun</t>
  </si>
  <si>
    <t>Tong-li Aluminium Smelting</t>
  </si>
  <si>
    <t>Changsha</t>
  </si>
  <si>
    <t>Jinge Aluminium Extrusion Plant</t>
  </si>
  <si>
    <t>Changzhou</t>
  </si>
  <si>
    <t>Changzhou Huayi Aluminium Profiles</t>
  </si>
  <si>
    <t>Chengdu</t>
  </si>
  <si>
    <t>Chengdu Sandian</t>
  </si>
  <si>
    <t>Huaxi Aluminium Extrusion Plant</t>
  </si>
  <si>
    <t>Sichuan Sunshine Aluminium</t>
  </si>
  <si>
    <t>Chongqing</t>
  </si>
  <si>
    <t>China National Nonferrous</t>
  </si>
  <si>
    <t>Chonqing Aluminium Co</t>
  </si>
  <si>
    <t>Dingtai Aluminium Co.</t>
  </si>
  <si>
    <t>Sigma Group</t>
  </si>
  <si>
    <t>Chongqing Soonbest Aluminium Co</t>
  </si>
  <si>
    <t>Southwest Aluminium Fabrication</t>
  </si>
  <si>
    <t>Dagang Qu</t>
  </si>
  <si>
    <t>Tianjin Ganglu Aluminium Cp. Ltd.</t>
  </si>
  <si>
    <t>Dalian</t>
  </si>
  <si>
    <t>Liaoning Daiki Tianhuan</t>
  </si>
  <si>
    <t>Dandone</t>
  </si>
  <si>
    <t>Liaoning Electronic</t>
  </si>
  <si>
    <t>Dashiqiao</t>
  </si>
  <si>
    <t>Liaoning Yongzhuang Aluminium &amp; Plastic</t>
  </si>
  <si>
    <t>Yingkou Ruida Aluminium Cp. Ltd.</t>
  </si>
  <si>
    <t>Yingkou Yuanshun Aluminium Mtl.</t>
  </si>
  <si>
    <t>Dongguan</t>
  </si>
  <si>
    <t>AKA Metal Co. Ltd.</t>
  </si>
  <si>
    <t>Dongguan Dongsheng Aluminium Products</t>
  </si>
  <si>
    <t>Fangqian</t>
  </si>
  <si>
    <t>Jiangsu Asia-Pacific Light alloy</t>
  </si>
  <si>
    <t>Fanya</t>
  </si>
  <si>
    <t>Zhujiang Aluminium Extrusion Plant</t>
  </si>
  <si>
    <t>Fenghua</t>
  </si>
  <si>
    <t>Niagbo Huayang Aluminium Tech. Co.</t>
  </si>
  <si>
    <t>Foshan</t>
  </si>
  <si>
    <t>Modern International Enterprise (Nanhai) Holding</t>
  </si>
  <si>
    <t>Chinese Aluminium Co (Chalco)</t>
  </si>
  <si>
    <t>Foshan Sanshui Fenglu Aluminium Co. Ltd.</t>
  </si>
  <si>
    <t>Foshan Scien Aluminium Co. Ltd.</t>
  </si>
  <si>
    <t>Foshan Xinwei Aluminium Co. Ltd.</t>
  </si>
  <si>
    <t>Guangdong Fenglu Aluminium Co. Ltd.</t>
  </si>
  <si>
    <t>Guangdong Xingfa Aluminium Co. Ltd.</t>
  </si>
  <si>
    <t>Press Metal International Ltd.</t>
  </si>
  <si>
    <t>Fuqing</t>
  </si>
  <si>
    <t>Southern Aluminium Industry</t>
  </si>
  <si>
    <t>Fushun</t>
  </si>
  <si>
    <t>Fushun Feili Aluminium Co. Ltd.</t>
  </si>
  <si>
    <t>Fuzhou</t>
  </si>
  <si>
    <t>Chinalco Ruimin Aluminium Sheet</t>
  </si>
  <si>
    <t>Gaizhou</t>
  </si>
  <si>
    <t>Yingkou Donglin Aluminium</t>
  </si>
  <si>
    <t>Gongyi</t>
  </si>
  <si>
    <t>Henan Mingtai Aluminium Co.</t>
  </si>
  <si>
    <t>Guangdong</t>
  </si>
  <si>
    <t>Wang Kei Yip</t>
  </si>
  <si>
    <t>Guangzhou</t>
  </si>
  <si>
    <t>DGS Druckguss Systeme AG</t>
  </si>
  <si>
    <t>Guangdong Nonferrous Metals</t>
  </si>
  <si>
    <t>Guangzhou Aluminium Fabrication</t>
  </si>
  <si>
    <t>Guangzhou Aluminium Smelting</t>
  </si>
  <si>
    <t>Guangzhou Strong Development Enterprise</t>
  </si>
  <si>
    <t>Zengcheng Zhuhang Aluminium Products</t>
  </si>
  <si>
    <t>Gueching</t>
  </si>
  <si>
    <t>Gueching Aluminium</t>
  </si>
  <si>
    <t>Guiyang</t>
  </si>
  <si>
    <t>Guizhou Jiguang Non-Ferrous Metal</t>
  </si>
  <si>
    <t>Hajin</t>
  </si>
  <si>
    <t>Hajin Aluminium</t>
  </si>
  <si>
    <t>Handan Hebei</t>
  </si>
  <si>
    <t>Hebei Matou Aluminium Co. Ltd.</t>
  </si>
  <si>
    <t>Harbin</t>
  </si>
  <si>
    <t>UDI</t>
  </si>
  <si>
    <t>Northeast Light Alloy Co (NELA)</t>
  </si>
  <si>
    <t>Hong Kong</t>
  </si>
  <si>
    <t>Fong Lam Trading</t>
  </si>
  <si>
    <t>Hoi Po Industrial Co</t>
  </si>
  <si>
    <t>Metalex Ltd</t>
  </si>
  <si>
    <t>Meyer Aluminium</t>
  </si>
  <si>
    <t>Sun Yip Metal</t>
  </si>
  <si>
    <t>Wing Sang Loong</t>
  </si>
  <si>
    <t>Hubei</t>
  </si>
  <si>
    <t>Hubei Aluminium</t>
  </si>
  <si>
    <t>Jiangmen</t>
  </si>
  <si>
    <t>Aluminium Development Co. Ltd.</t>
  </si>
  <si>
    <t>Jiangsu Nantong</t>
  </si>
  <si>
    <t>Shiloh Industries</t>
  </si>
  <si>
    <t>Jiangyin</t>
  </si>
  <si>
    <t>Jinagyin (Haihong) Non-Ferrous Metal Material Co</t>
  </si>
  <si>
    <t>Jiangyin Huatu Metals Products</t>
  </si>
  <si>
    <t>Jiangyin Xinyu Decorative Metals</t>
  </si>
  <si>
    <t>Jiangyin Yuhua Aluminium Co. Ltd.</t>
  </si>
  <si>
    <t>Jiayuguan</t>
  </si>
  <si>
    <t>Gansu Guangyin Aluminium</t>
  </si>
  <si>
    <t>Jinan</t>
  </si>
  <si>
    <t>Shangdong Pingyin Aluminium Works</t>
  </si>
  <si>
    <t>Jinghai</t>
  </si>
  <si>
    <t>Tianjin Daqiuzhuang Aluminium Proc.</t>
  </si>
  <si>
    <t>Kuan Chou</t>
  </si>
  <si>
    <t>Kuan Chou Aluminium</t>
  </si>
  <si>
    <t>Kunming</t>
  </si>
  <si>
    <t>Kunming Xinying Aluminium Plant</t>
  </si>
  <si>
    <t>Yunnan Aluminium Co. Ltd.</t>
  </si>
  <si>
    <t>Yunnan Xinmeilu Aluminium Proc.</t>
  </si>
  <si>
    <t>Kunshan</t>
  </si>
  <si>
    <t>MC Nikkei Aluminium</t>
  </si>
  <si>
    <t>Shanghai Chiatai Aluminium Products Co.</t>
  </si>
  <si>
    <t>Lanzhou City</t>
  </si>
  <si>
    <t>Lanzhou Liancheng Aluminium Co</t>
  </si>
  <si>
    <t>Liaoning</t>
  </si>
  <si>
    <t>Liaoning Zhongwang Aluminium Profile</t>
  </si>
  <si>
    <t>Liaoyuan</t>
  </si>
  <si>
    <t>Jilin Midas Aluminium Industry Co. Ltd.</t>
  </si>
  <si>
    <t>Liaoyuan Liyuan Aluminium Profile</t>
  </si>
  <si>
    <t>Linqu</t>
  </si>
  <si>
    <t>Huachang Aluminium (Shandong)</t>
  </si>
  <si>
    <t>Shandong Huajian Aluminium Co. Ltd.</t>
  </si>
  <si>
    <t>Longhai</t>
  </si>
  <si>
    <t>Longhai Iron &amp; Steel Products</t>
  </si>
  <si>
    <t>Longkou</t>
  </si>
  <si>
    <t>Longkou Conglin Aluminium Co. Ltd.</t>
  </si>
  <si>
    <t>Nanshan Industrial Co. Ltd.</t>
  </si>
  <si>
    <t>Longxi County</t>
  </si>
  <si>
    <t>Northwest AluminiumFabrication</t>
  </si>
  <si>
    <t>Nanhai</t>
  </si>
  <si>
    <t>China Direct Inc</t>
  </si>
  <si>
    <t>Dachang aluminium Materials Plant</t>
  </si>
  <si>
    <t>General Aluminium Extrusion Profiles</t>
  </si>
  <si>
    <t>Guangdong Haomei Aluminium Co.</t>
  </si>
  <si>
    <t>Guangdong Honjia Aluminium Co.</t>
  </si>
  <si>
    <t>Guangdong Huachang Aluminium Co.</t>
  </si>
  <si>
    <t>Guangdong Huachang Aluminium Co. (2)</t>
  </si>
  <si>
    <t>Guangdong Weiye Aluminium Factory Co.</t>
  </si>
  <si>
    <t>Guangya Aluminium Factory</t>
  </si>
  <si>
    <t>Huasheng aluminium Alloy Extrusion Plant</t>
  </si>
  <si>
    <t>Jianhua Aluminium Factory</t>
  </si>
  <si>
    <t>Jixing Aluminium Extrusion Co. Ltd.</t>
  </si>
  <si>
    <t>Modern Copper &amp; Aluminium Extrusion</t>
  </si>
  <si>
    <t>Nanfang Aluminium Factory</t>
  </si>
  <si>
    <t>Nanhai Caobian Henglong Aluminium Metals</t>
  </si>
  <si>
    <t>Nanhai Dali Caobian Xingmin Aluminium</t>
  </si>
  <si>
    <t>Nanhai Dali Changqu Anda</t>
  </si>
  <si>
    <t>Nanhai Dali Dafeng Aluminium Alloy Extrusion</t>
  </si>
  <si>
    <t>Nanhai Dali Dazhen Copper &amp; Aluminium</t>
  </si>
  <si>
    <t>Nanhai Dali Dazhem Rongye Metal</t>
  </si>
  <si>
    <t>Nanhai Dali Dazhem Xinghua</t>
  </si>
  <si>
    <t>Nanhai Dali Fengchi Steel &amp; Aluminium</t>
  </si>
  <si>
    <t>Nanhai Dali Guanglong Aluminium Metals</t>
  </si>
  <si>
    <t>Nanhai Dali Guanhua Aluminium Metals</t>
  </si>
  <si>
    <t>Nanhai Dali Hengda Extrusion</t>
  </si>
  <si>
    <t>Nanhai Dali Hengsheng</t>
  </si>
  <si>
    <t>Nanhai Dali Klengji Aluminium Metals</t>
  </si>
  <si>
    <t>Nanhai Dali Lianfa Metal Rolling</t>
  </si>
  <si>
    <t>Nanhai Dali Liangxing Aluminium Extrusion</t>
  </si>
  <si>
    <t>Nanhai Dali Lidong Aluminium</t>
  </si>
  <si>
    <t>Nanhai Dali Lixi Debao Extrusion</t>
  </si>
  <si>
    <t>Nanhai Dali Lixi Yunming Extrusion</t>
  </si>
  <si>
    <t>Nanhai Dali Qicha Extrusion</t>
  </si>
  <si>
    <t>Nanhai Dali Shuitou Aluminium Extrusion</t>
  </si>
  <si>
    <t>Nanhai Dali Shuitou S/S &amp; Aluminium</t>
  </si>
  <si>
    <t>Nanhai Dali Shuitou Xinfeng Aluminium</t>
  </si>
  <si>
    <t>Nanhai Dali Zhongbian Aluminium Metals</t>
  </si>
  <si>
    <t>Nanhai Dali Zhongbian Tianma Aluminium</t>
  </si>
  <si>
    <t>Nanhai Dali Zhongbian Yuandong</t>
  </si>
  <si>
    <t>Nanhai Dazhen Guangxing Extrusion</t>
  </si>
  <si>
    <t>Nanhai Dazhen Tongyong Metal (2)</t>
  </si>
  <si>
    <t>Nanhai Global Aluminium Co. Ltd.</t>
  </si>
  <si>
    <t>Nanhai Guangyuan Aluminium Metals</t>
  </si>
  <si>
    <t>Nanhai Hualian Aluminium Alloy Extrusion</t>
  </si>
  <si>
    <t>Nanhai Lianzitang Aluminium &amp; Copper</t>
  </si>
  <si>
    <t>Nanhai Luocun Hualian Aluminium Co.</t>
  </si>
  <si>
    <t>Nanhai Luocun Liangxing Tongda</t>
  </si>
  <si>
    <t>Nanhai Qicha Hengfeng Aluminium</t>
  </si>
  <si>
    <t>Nanhai Qicha Jianda</t>
  </si>
  <si>
    <t>Nanhai Shuncheng Aluminium Manufacturing Co.</t>
  </si>
  <si>
    <t>Nanhai Taiping Copper &amp; Aluminium</t>
  </si>
  <si>
    <t>Nanhai Wuzhou Aluminium Extrusion Plant</t>
  </si>
  <si>
    <t>Nanhai Xiebian Jianlian Aluminium Extrusion</t>
  </si>
  <si>
    <t>Nanhai Xingxian Guangxin Aluminium</t>
  </si>
  <si>
    <t>Nanhai Yihua S/S &amp; Aluminium Extrusion</t>
  </si>
  <si>
    <t>Nanhai Zhonglian Aluminium Extrusion</t>
  </si>
  <si>
    <t>Nanzhuang Aluminium Alloy Extrusion Plant</t>
  </si>
  <si>
    <t>Ronxing Aluminium Extrusion Factory</t>
  </si>
  <si>
    <t>Tailijian Aluminium Metals Plant</t>
  </si>
  <si>
    <t>Xiecheng Aluminium Materials</t>
  </si>
  <si>
    <t>Yonghua Aluminium Profile Factory</t>
  </si>
  <si>
    <t>Zhong Nam Aluminium</t>
  </si>
  <si>
    <t>Zhongya Aluminium Factory Co.</t>
  </si>
  <si>
    <t>Nanhai, Guangdong</t>
  </si>
  <si>
    <t>Dali Nonferrous Metals Co</t>
  </si>
  <si>
    <t>Nankai Qu</t>
  </si>
  <si>
    <t>Tianjin Juhai Nonferrous Metals</t>
  </si>
  <si>
    <t>Tiankin Yinmao Aluminium Profile Co. Ltd.</t>
  </si>
  <si>
    <t>Nanning</t>
  </si>
  <si>
    <t>Nanning Aluminium Works</t>
  </si>
  <si>
    <t>Nanping</t>
  </si>
  <si>
    <t>Fujian Nanping Aluminium Works</t>
  </si>
  <si>
    <t>Ningbo</t>
  </si>
  <si>
    <t>Ningbo Bonarich Aluminium</t>
  </si>
  <si>
    <t>Ningbo Con. Metal &amp; Hardware</t>
  </si>
  <si>
    <t>Ningbo Xianghao Leibov Metal</t>
  </si>
  <si>
    <t>Pingfang</t>
  </si>
  <si>
    <t>Northeast Light Alloy Co</t>
  </si>
  <si>
    <t>Qingdao</t>
  </si>
  <si>
    <t>Qinghuangdao</t>
  </si>
  <si>
    <t>Alcoa Bohai Aluminium Ind.Co. Ltd.</t>
  </si>
  <si>
    <t>Citic-Bohai Aluminium</t>
  </si>
  <si>
    <t>Qingtongxia</t>
  </si>
  <si>
    <t>Qingtongxia Maike</t>
  </si>
  <si>
    <t>Qinyang City</t>
  </si>
  <si>
    <t>Qin Yang Aluminium</t>
  </si>
  <si>
    <t>Quingyuan</t>
  </si>
  <si>
    <t>Sanmenxia</t>
  </si>
  <si>
    <t>Henan Energy Sanmenxia Dicastal Wheel Manufact</t>
  </si>
  <si>
    <t>Sanmenxia Tianyuan Aluminium Co.</t>
  </si>
  <si>
    <t>Shanghai</t>
  </si>
  <si>
    <t>Alcoa Inc</t>
  </si>
  <si>
    <t>Shanghai Aluminium Materials Factory</t>
  </si>
  <si>
    <t>Shanghai Aluminium Metals</t>
  </si>
  <si>
    <t>Shanghai Gushan Non-ferrous Metals</t>
  </si>
  <si>
    <t>SHA Shanghai Huade Aluminium</t>
  </si>
  <si>
    <t>Shanghai Huarvi Aluminium Corp.</t>
  </si>
  <si>
    <t>Shanghai Non-Ferrous Metals Ind.</t>
  </si>
  <si>
    <t>Shanghai Shenjia Aluminium Products</t>
  </si>
  <si>
    <t>Shanghai Shinyo Metal Recycling</t>
  </si>
  <si>
    <t>Shanghai Sigma Metals</t>
  </si>
  <si>
    <t>Shanghai Unison Aluminium Products</t>
  </si>
  <si>
    <t>Shanghai Wantai Aluminium</t>
  </si>
  <si>
    <t>Shanghai Zdoon Building Material Co.</t>
  </si>
  <si>
    <t>Shanghai Zhen-xing Aluminium Extrusion</t>
  </si>
  <si>
    <t>Ye Chiu Metal Smelting</t>
  </si>
  <si>
    <t>Shanghai Zhongrong Aluminium Co</t>
  </si>
  <si>
    <t>Shaoguan</t>
  </si>
  <si>
    <t>Shaoguan Ruyuan Dongyang</t>
  </si>
  <si>
    <t>Shenyang</t>
  </si>
  <si>
    <t>Shenyang Fangyuan Aluminium Ind.</t>
  </si>
  <si>
    <t>Shenyang Mint</t>
  </si>
  <si>
    <t>Shenzhen</t>
  </si>
  <si>
    <t>Altec International Aluminium Corp.</t>
  </si>
  <si>
    <t>Nonfemet International</t>
  </si>
  <si>
    <t>China Excelsior</t>
  </si>
  <si>
    <t>Shenzhen Bairong Aluminium Alloy Products</t>
  </si>
  <si>
    <t>Shenzhen Xilin Industrial Co</t>
  </si>
  <si>
    <t>Sunrise Aluminium Co. Ltd.</t>
  </si>
  <si>
    <t>Shijiazhuong</t>
  </si>
  <si>
    <t>Hebei Renqiu Xingfa Aluminium Co. Ltd.</t>
  </si>
  <si>
    <t>Shijiaz Hung Non-Ferrous Metals</t>
  </si>
  <si>
    <t>Sichuan</t>
  </si>
  <si>
    <t>Sichuan Yide Resource RecyclingCo</t>
  </si>
  <si>
    <t>Suzhou</t>
  </si>
  <si>
    <t>Kodelco</t>
  </si>
  <si>
    <t>Taicang</t>
  </si>
  <si>
    <t>Ye Chui Metal Recycling</t>
  </si>
  <si>
    <t>Taishan City</t>
  </si>
  <si>
    <t>Kam Kiu Aluminium Extrusions</t>
  </si>
  <si>
    <t>Taishan Jinqiao Aluminium Extrusion</t>
  </si>
  <si>
    <t>Taiyuan</t>
  </si>
  <si>
    <t>Taiyuan Aluminium Works</t>
  </si>
  <si>
    <t>Taiyuan Copper Industry</t>
  </si>
  <si>
    <t>Tianjin</t>
  </si>
  <si>
    <t>Tianjin Hechang Investment</t>
  </si>
  <si>
    <t>Weihai</t>
  </si>
  <si>
    <t>Wendeng Bowan Light Metal Products</t>
  </si>
  <si>
    <t>Wulumuqi</t>
  </si>
  <si>
    <t>Wulumuqi Aluminium Factory</t>
  </si>
  <si>
    <t>Wuqing</t>
  </si>
  <si>
    <t>Tianjin Zhongwang Aluminium Co.</t>
  </si>
  <si>
    <t>Xi’an Shaanxi</t>
  </si>
  <si>
    <t>Qinchuan Machinery Factory</t>
  </si>
  <si>
    <t>Xiamen Fujian</t>
  </si>
  <si>
    <t>South East Aluminium Co. Ltd.</t>
  </si>
  <si>
    <t>Xiamen Xiashun Aluminium Foil Co</t>
  </si>
  <si>
    <t>Xuzhou Giangsu</t>
  </si>
  <si>
    <t>Giangsu Xuzhou Aluminium</t>
  </si>
  <si>
    <t>Yiqiu</t>
  </si>
  <si>
    <t>Jiangsu Yiqiu Nonferrous</t>
  </si>
  <si>
    <t>Yixing</t>
  </si>
  <si>
    <t>Jiangsu Atlas Aluminium Co. Ltd.</t>
  </si>
  <si>
    <t>Yizheng</t>
  </si>
  <si>
    <t>Yizheng Haitian Aluminium Ind. Co. Ltd.</t>
  </si>
  <si>
    <t>Yizhou</t>
  </si>
  <si>
    <t>Guangxi Desheng Aluminium</t>
  </si>
  <si>
    <t>Yongkang</t>
  </si>
  <si>
    <t>Yongkang Lishida Aluminium</t>
  </si>
  <si>
    <t>Zencheng</t>
  </si>
  <si>
    <t>Pan Asia Aluminium Industry</t>
  </si>
  <si>
    <t>Zhangzhou</t>
  </si>
  <si>
    <t>Zhangzhou Cankun Aluminium (Sigma Metals)</t>
  </si>
  <si>
    <t>Zhaoqing</t>
  </si>
  <si>
    <t>Asia Aluminium Industrial City</t>
  </si>
  <si>
    <t>Guangdong Golden Aluminiu Co.</t>
  </si>
  <si>
    <t>Zheijiang</t>
  </si>
  <si>
    <t>Zheijiang Taizhou Chibo-Tiande Casting Aluminium</t>
  </si>
  <si>
    <t>Zheijiang Taizhou KLT</t>
  </si>
  <si>
    <t>Zheijiang Wantai</t>
  </si>
  <si>
    <t>Zheng Zho</t>
  </si>
  <si>
    <t>China Great Wall Aluminium</t>
  </si>
  <si>
    <t>Zhengding</t>
  </si>
  <si>
    <t>Shijiazhuang Aluminium Co</t>
  </si>
  <si>
    <t>Zhengzhou</t>
  </si>
  <si>
    <t>Zhengzhou Ming Tai Aluminium</t>
  </si>
  <si>
    <t>Zhenjiang Jiangsu</t>
  </si>
  <si>
    <t>Rio Tinto Alcan Dingshen Aluminium Co.</t>
  </si>
  <si>
    <t>Zhuoxian</t>
  </si>
  <si>
    <t>Zhuozhou</t>
  </si>
  <si>
    <t>North China Aluminium Fabrication</t>
  </si>
  <si>
    <t>Zhuozhou Longma Aluminium Mill</t>
  </si>
  <si>
    <t>Zibo</t>
  </si>
  <si>
    <t>Shandong Aluminium Co</t>
  </si>
  <si>
    <t>Colombia</t>
  </si>
  <si>
    <t>Barranquila</t>
  </si>
  <si>
    <t>Alluminio Reynolds Santo Domingo SA</t>
  </si>
  <si>
    <t>Bogota</t>
  </si>
  <si>
    <t>Industrias Vernig</t>
  </si>
  <si>
    <t>Productos de Aluminio</t>
  </si>
  <si>
    <t>Cali</t>
  </si>
  <si>
    <t>Aluminio Nacional</t>
  </si>
  <si>
    <t>Cia Metallurgica Bera de Colombia</t>
  </si>
  <si>
    <t>Propulsora SA</t>
  </si>
  <si>
    <t>Itagui</t>
  </si>
  <si>
    <t>Emma &amp; Cia. Ltda.</t>
  </si>
  <si>
    <t>La Romelia Dos</t>
  </si>
  <si>
    <t>Aluminios de Colombia Ltda.</t>
  </si>
  <si>
    <t>Pereira</t>
  </si>
  <si>
    <t>Aluminio Inpal</t>
  </si>
  <si>
    <t>Rio Negro</t>
  </si>
  <si>
    <t>Imusa</t>
  </si>
  <si>
    <t>Costa Rica</t>
  </si>
  <si>
    <t>Puntarenas</t>
  </si>
  <si>
    <t>Alunasa</t>
  </si>
  <si>
    <t>Lozovac</t>
  </si>
  <si>
    <t>TLM d.d Sibenik</t>
  </si>
  <si>
    <t>Sibenik</t>
  </si>
  <si>
    <t>Boris Kidric Sibenik (Montana Tech Components)</t>
  </si>
  <si>
    <t>Limassol</t>
  </si>
  <si>
    <t>Muskita Aluminium Co. Ltd.</t>
  </si>
  <si>
    <t>Czech Republic</t>
  </si>
  <si>
    <t>Blansko</t>
  </si>
  <si>
    <t>Rex Blansko s.r.o.</t>
  </si>
  <si>
    <t>Bridlicna</t>
  </si>
  <si>
    <t>Al Invest Böidliena as</t>
  </si>
  <si>
    <t>Cheb</t>
  </si>
  <si>
    <t>apt Hiller &amp; Maldaner GmbH</t>
  </si>
  <si>
    <t>Chodov</t>
  </si>
  <si>
    <t>Chodos</t>
  </si>
  <si>
    <t>Decin</t>
  </si>
  <si>
    <t>Constellium</t>
  </si>
  <si>
    <t>Dobris</t>
  </si>
  <si>
    <t>Anbremetall as</t>
  </si>
  <si>
    <t>Aluhut</t>
  </si>
  <si>
    <t>Jablonec</t>
  </si>
  <si>
    <t>Kovohute Mnisek</t>
  </si>
  <si>
    <t>Liberec</t>
  </si>
  <si>
    <t>DGS Druckguss Systeme s.r.o.</t>
  </si>
  <si>
    <t>Minisek pod Brdy</t>
  </si>
  <si>
    <t>Alutherm CZ sro</t>
  </si>
  <si>
    <t>Strakonice</t>
  </si>
  <si>
    <t>Teplice</t>
  </si>
  <si>
    <t>ADOS s.r.o.</t>
  </si>
  <si>
    <t>Velim</t>
  </si>
  <si>
    <t>Velvary</t>
  </si>
  <si>
    <t>Metal Trade Comax a.s. (MT Comax)</t>
  </si>
  <si>
    <t>Cz02</t>
  </si>
  <si>
    <t>Kovolit a.s.</t>
  </si>
  <si>
    <t>Kolding</t>
  </si>
  <si>
    <t>Stena Gotthard</t>
  </si>
  <si>
    <t>Dominican Republic</t>
  </si>
  <si>
    <t>Santo Domingo</t>
  </si>
  <si>
    <t>Aluminio Domenicano</t>
  </si>
  <si>
    <t>Ecuador</t>
  </si>
  <si>
    <t>Guayaquil</t>
  </si>
  <si>
    <t>Alafundi S.A.</t>
  </si>
  <si>
    <t>Fundiciones Industriales SA</t>
  </si>
  <si>
    <t>Guayas</t>
  </si>
  <si>
    <t>Diuralum S.A.</t>
  </si>
  <si>
    <t>Quito</t>
  </si>
  <si>
    <t>Cedal</t>
  </si>
  <si>
    <t>Corporacion Ecutoriana de Aluminio</t>
  </si>
  <si>
    <t>Elamsa</t>
  </si>
  <si>
    <t>Egypt</t>
  </si>
  <si>
    <t>Alexandria</t>
  </si>
  <si>
    <t>The Egyptian Copper Works</t>
  </si>
  <si>
    <t>Cairo</t>
  </si>
  <si>
    <t>Arab Aluminium Co</t>
  </si>
  <si>
    <t>Egyptian Aluminium Prod</t>
  </si>
  <si>
    <t>Egyptian Metal Works</t>
  </si>
  <si>
    <t>General Metals Co</t>
  </si>
  <si>
    <t>Helwan Comp Non-Ferrous</t>
  </si>
  <si>
    <t>Ismaelia</t>
  </si>
  <si>
    <t>Arab aluminium Co SAE</t>
  </si>
  <si>
    <t>Kalubia</t>
  </si>
  <si>
    <t>Al Saad Aluminium Comp</t>
  </si>
  <si>
    <t>Khanka</t>
  </si>
  <si>
    <t>Nag Hamadi</t>
  </si>
  <si>
    <t>Aluminium Co. Of Egypt</t>
  </si>
  <si>
    <t>Suez</t>
  </si>
  <si>
    <t>Kantara Metals</t>
  </si>
  <si>
    <t>Wadi Houf</t>
  </si>
  <si>
    <t>Egyptian Aluminium Products Co.</t>
  </si>
  <si>
    <t>El Salvador</t>
  </si>
  <si>
    <t>San Salvador</t>
  </si>
  <si>
    <t>Aluminio de Centroamerica SA de CV</t>
  </si>
  <si>
    <t>Tallin</t>
  </si>
  <si>
    <t>Aluminium Alloys of Estonia</t>
  </si>
  <si>
    <t>Espoo</t>
  </si>
  <si>
    <t>Kuusakoski Oy</t>
  </si>
  <si>
    <t>Heinola</t>
  </si>
  <si>
    <t>Ikaalinen</t>
  </si>
  <si>
    <t>Pirsu Oy</t>
  </si>
  <si>
    <t>Kirkkonummi</t>
  </si>
  <si>
    <t>Nordic Aluminium Ltd</t>
  </si>
  <si>
    <t>Myllyoja</t>
  </si>
  <si>
    <t>Kuusakoski Oyj</t>
  </si>
  <si>
    <t>Siuro</t>
  </si>
  <si>
    <t>Purso Oy</t>
  </si>
  <si>
    <t>Annecy</t>
  </si>
  <si>
    <t>Alpine Aluminium (groupe Rio Tinto)</t>
  </si>
  <si>
    <t>Bazeille</t>
  </si>
  <si>
    <t>France Ardennes Aluminium (FAA)</t>
  </si>
  <si>
    <t>Bellegarde</t>
  </si>
  <si>
    <t>Biesheim</t>
  </si>
  <si>
    <t>Bischwiller</t>
  </si>
  <si>
    <t>Ardalu</t>
  </si>
  <si>
    <t>Blaringheim</t>
  </si>
  <si>
    <t>Baudelet Metaux</t>
  </si>
  <si>
    <t>Bornel</t>
  </si>
  <si>
    <t>Lebronze Alloys</t>
  </si>
  <si>
    <t>Châtelleraud</t>
  </si>
  <si>
    <t>Alvance Aluminium Poitou (groupe Liberty)</t>
  </si>
  <si>
    <t>Chaumont</t>
  </si>
  <si>
    <t>Peugeot Citroen</t>
  </si>
  <si>
    <t>Chevigny St. Sauveur</t>
  </si>
  <si>
    <t>ETS Marcel Besson</t>
  </si>
  <si>
    <t>Colombier-Saugnieu</t>
  </si>
  <si>
    <t>Eco Metal Recyclage Industrie</t>
  </si>
  <si>
    <t>Compiègne</t>
  </si>
  <si>
    <t>Regeal Affimet</t>
  </si>
  <si>
    <t>Fontenay sur Loing</t>
  </si>
  <si>
    <t>Loiret Affinage</t>
  </si>
  <si>
    <t>Giromagny</t>
  </si>
  <si>
    <t>Franche Comté Aluminium</t>
  </si>
  <si>
    <t>Gorcy/Grossbliederstroff</t>
  </si>
  <si>
    <t>SKTB Aluminium SAS-Alumetal SA</t>
  </si>
  <si>
    <t>Ingrandes s. Vienne</t>
  </si>
  <si>
    <t>Solyfi Soremo</t>
  </si>
  <si>
    <t>Issoire</t>
  </si>
  <si>
    <t>La Montagne</t>
  </si>
  <si>
    <t>Manzoni-Bouchot</t>
  </si>
  <si>
    <t>Le Vigeant</t>
  </si>
  <si>
    <t>Decon owns Aldevienne</t>
  </si>
  <si>
    <t>Lens</t>
  </si>
  <si>
    <t>Cableries de Lens</t>
  </si>
  <si>
    <t>Liniere-Bouton</t>
  </si>
  <si>
    <t>Affinerie d’Anjou</t>
  </si>
  <si>
    <t>Lomme</t>
  </si>
  <si>
    <t>Refinal Industries</t>
  </si>
  <si>
    <t>Longueil Ste. Marie</t>
  </si>
  <si>
    <t>Cornec</t>
  </si>
  <si>
    <t>Lucé</t>
  </si>
  <si>
    <t>Meyzieu</t>
  </si>
  <si>
    <t>Valfond Affinage</t>
  </si>
  <si>
    <t>Montmarault</t>
  </si>
  <si>
    <t>Sadillek S.A.</t>
  </si>
  <si>
    <t>Montreuil-Juigne</t>
  </si>
  <si>
    <t>Exal Holdings</t>
  </si>
  <si>
    <t>Neuilly St. Front</t>
  </si>
  <si>
    <t>Affinage Recuperation Negoce SA (ARN)</t>
  </si>
  <si>
    <t>Noguères</t>
  </si>
  <si>
    <t>Paris</t>
  </si>
  <si>
    <t>CFF Recycling</t>
  </si>
  <si>
    <t>Pinon</t>
  </si>
  <si>
    <t>Poitou</t>
  </si>
  <si>
    <t>Liberty Engineering Poitou</t>
  </si>
  <si>
    <t>Pont Sainte Maxence</t>
  </si>
  <si>
    <t>Affinerie de Picardie</t>
  </si>
  <si>
    <t>Pontault-Combault</t>
  </si>
  <si>
    <t>Armabessaire</t>
  </si>
  <si>
    <t>Premery</t>
  </si>
  <si>
    <t>Réfinal Industries (Groupe Derichebourg)</t>
  </si>
  <si>
    <t>Puget s. Argens</t>
  </si>
  <si>
    <t>Interalu Industrie</t>
  </si>
  <si>
    <t>Sapa Profilé Puget SA</t>
  </si>
  <si>
    <t>Rugles</t>
  </si>
  <si>
    <t>Eurofoil</t>
  </si>
  <si>
    <t>St. Claude</t>
  </si>
  <si>
    <t>St. Florentin</t>
  </si>
  <si>
    <t>Aluminium France Extrusion</t>
  </si>
  <si>
    <t>St. Jean de Maurienne</t>
  </si>
  <si>
    <t>Trimet</t>
  </si>
  <si>
    <t>St. Juéry</t>
  </si>
  <si>
    <t>Eco Métal Recyclage Industrie</t>
  </si>
  <si>
    <t>Tarascon s. Ariège</t>
  </si>
  <si>
    <t>Sabart Aero Tech</t>
  </si>
  <si>
    <t>Ussel</t>
  </si>
  <si>
    <t>Vayrac</t>
  </si>
  <si>
    <t>Diace SAS</t>
  </si>
  <si>
    <t>Villers la Montagne</t>
  </si>
  <si>
    <t>Voreppe</t>
  </si>
  <si>
    <t>Warneton</t>
  </si>
  <si>
    <t>Flandria Aluminium</t>
  </si>
  <si>
    <t>Georgia</t>
  </si>
  <si>
    <t>Tbilisi</t>
  </si>
  <si>
    <t>S.T. Alu Skart</t>
  </si>
  <si>
    <t>Affalterbach</t>
  </si>
  <si>
    <t>HWA AG</t>
  </si>
  <si>
    <t>Annaberg</t>
  </si>
  <si>
    <t>Handtmann-Metallguss</t>
  </si>
  <si>
    <t>Otto Fuchs Metallwerke KG</t>
  </si>
  <si>
    <t>Bad Cannstatt</t>
  </si>
  <si>
    <t>Daimler</t>
  </si>
  <si>
    <t>Bad Säckingen</t>
  </si>
  <si>
    <t>Alunova GmbH</t>
  </si>
  <si>
    <t>Volkswagen AG (VW Kassel)</t>
  </si>
  <si>
    <t>Beilngries</t>
  </si>
  <si>
    <t>Jura-Guss GmbH</t>
  </si>
  <si>
    <t>BAGR Berliner Aluminiumwerk (Metalcorp)</t>
  </si>
  <si>
    <t>Leichtmetallgiesserei Leimeko</t>
  </si>
  <si>
    <t>Bernburg</t>
  </si>
  <si>
    <t>BEFESA Aluminium Germany GmbH</t>
  </si>
  <si>
    <t>Biberach/Riss</t>
  </si>
  <si>
    <t>Albert Handtmann Metallgusswerk GmbH &amp; Co KG</t>
  </si>
  <si>
    <t>Biedenkopf</t>
  </si>
  <si>
    <t>Giesserei Blöcher GmbH</t>
  </si>
  <si>
    <t>Bisingen</t>
  </si>
  <si>
    <t>Grohmann Aluworks GmbH &amp; Co KG</t>
  </si>
  <si>
    <t>Bitterfeld</t>
  </si>
  <si>
    <t>HAL Aluminiumguss Leipzig</t>
  </si>
  <si>
    <t>Bonn</t>
  </si>
  <si>
    <t>Hydro Aluminium Deutschland</t>
  </si>
  <si>
    <t>Brand-Erbisdorf</t>
  </si>
  <si>
    <t>Bharat Forge Aluminiumtechnik</t>
  </si>
  <si>
    <t>Bretten</t>
  </si>
  <si>
    <t>TCG Herrmann Präzisionsdruckguss GmbH</t>
  </si>
  <si>
    <t>Brieselang</t>
  </si>
  <si>
    <t>alu-druckguss GmbH &amp; Co. Brandenburg KG</t>
  </si>
  <si>
    <t>Metallgiesserei Chemnitz GmbH</t>
  </si>
  <si>
    <t>Dautphetal-Dautphe</t>
  </si>
  <si>
    <t>Heck + Becker GmbH</t>
  </si>
  <si>
    <t>Deizisau</t>
  </si>
  <si>
    <t>Signature Holding Group</t>
  </si>
  <si>
    <t>Dillingen</t>
  </si>
  <si>
    <t>Dormagen</t>
  </si>
  <si>
    <t>Metallkontor Kurth KG</t>
  </si>
  <si>
    <t>Ebenhausen</t>
  </si>
  <si>
    <t>Enneppetal</t>
  </si>
  <si>
    <t>Gottschol Alucom GmbH</t>
  </si>
  <si>
    <t>Ense-Höingen</t>
  </si>
  <si>
    <t>Interfer Aluminium</t>
  </si>
  <si>
    <t>Essen</t>
  </si>
  <si>
    <t>Trimet Aluminium</t>
  </si>
  <si>
    <t>Finnentrop-Heggen</t>
  </si>
  <si>
    <t>Paul Voss GmbH &amp; Co KG</t>
  </si>
  <si>
    <t>PyrAl AG</t>
  </si>
  <si>
    <t>Friedrichshafen</t>
  </si>
  <si>
    <t>MWS-Austria</t>
  </si>
  <si>
    <t>Fürth</t>
  </si>
  <si>
    <t>Greuter &amp; Kerscher GmbH &amp; Co KG</t>
  </si>
  <si>
    <t>Garching</t>
  </si>
  <si>
    <t>ARG Aluminium Recycling GmbH</t>
  </si>
  <si>
    <t>Gerstungen</t>
  </si>
  <si>
    <t>ae group gerstungen gmbh</t>
  </si>
  <si>
    <t>Gescher</t>
  </si>
  <si>
    <t>Aluguss Beulker GmbH &amp; Co. KG</t>
  </si>
  <si>
    <t>Geseke</t>
  </si>
  <si>
    <t>Druckguss Westfalen GmbH &amp; Co KG</t>
  </si>
  <si>
    <t>Grevenbroich</t>
  </si>
  <si>
    <t>Gummersbach</t>
  </si>
  <si>
    <t>Striko-Westofen</t>
  </si>
  <si>
    <t>Gundelfingen</t>
  </si>
  <si>
    <t>Josef Gartner</t>
  </si>
  <si>
    <t>Hagen</t>
  </si>
  <si>
    <t>Peter Rütting GmbH</t>
  </si>
  <si>
    <t>Hallenberg-Hesborn</t>
  </si>
  <si>
    <t>Borbet-Group</t>
  </si>
  <si>
    <t>APG Al. Produktions GmbH</t>
  </si>
  <si>
    <t>Befesa Alluminio (Triton Partners)</t>
  </si>
  <si>
    <t>Oetinger GmbH</t>
  </si>
  <si>
    <t>IQ Industrial Holding S.à.r.l. (Luxembourg)</t>
  </si>
  <si>
    <t>Harzgerode</t>
  </si>
  <si>
    <t>Heiligenhaus</t>
  </si>
  <si>
    <t>Diesner Aluminiumgiesserei &amp; Co KG (DIAG)</t>
  </si>
  <si>
    <t>Hennersdorf</t>
  </si>
  <si>
    <t>Scheeff GmbH</t>
  </si>
  <si>
    <t>Hettstedt</t>
  </si>
  <si>
    <t>ST Extruded Products Group (STEP-G)</t>
  </si>
  <si>
    <t>Hildburghausen</t>
  </si>
  <si>
    <t>Alupress SA</t>
  </si>
  <si>
    <t>Hilden</t>
  </si>
  <si>
    <t>W. Oelschläger GmbH</t>
  </si>
  <si>
    <t>Hildesheim</t>
  </si>
  <si>
    <t>KSM Castings Group GmbH</t>
  </si>
  <si>
    <t>Kaltenkirchen</t>
  </si>
  <si>
    <t>Gleich Aluminium</t>
  </si>
  <si>
    <t>Volkswagen</t>
  </si>
  <si>
    <t>Kempten</t>
  </si>
  <si>
    <t>Thöni Deutschland GmbH</t>
  </si>
  <si>
    <t>Kirrlach</t>
  </si>
  <si>
    <t>Druckguss Waghäusel</t>
  </si>
  <si>
    <t>Kitzingen</t>
  </si>
  <si>
    <t>Metal Technologies Kitzingen</t>
  </si>
  <si>
    <t>Kodersdorf</t>
  </si>
  <si>
    <t>Borbet Sachsen GmbH</t>
  </si>
  <si>
    <t>Köln Hydro Aluminium</t>
  </si>
  <si>
    <t>BMW</t>
  </si>
  <si>
    <t>Lübeck</t>
  </si>
  <si>
    <t>Lüdenscheid</t>
  </si>
  <si>
    <t>Eduard Hueck GmbH</t>
  </si>
  <si>
    <t>Gerhardi Alutechnik</t>
  </si>
  <si>
    <t>heba Alu-Druckguss GmbH</t>
  </si>
  <si>
    <t>Lünen</t>
  </si>
  <si>
    <t>Markt Schwaben</t>
  </si>
  <si>
    <t>Magna BDW technologies GmbH</t>
  </si>
  <si>
    <t>Meinerzhagen</t>
  </si>
  <si>
    <t>Otto Fuchs KG</t>
  </si>
  <si>
    <t>Meschede</t>
  </si>
  <si>
    <t>Martinrea-Honsel GmbH</t>
  </si>
  <si>
    <t>Minden</t>
  </si>
  <si>
    <t>Weseralu</t>
  </si>
  <si>
    <t>Monheim</t>
  </si>
  <si>
    <t>Apt Hiller &amp; Maldaner GmbH</t>
  </si>
  <si>
    <t>Mühlacker</t>
  </si>
  <si>
    <t>Grohmann Aluminiumtechnik GmbH &amp; Co. KG</t>
  </si>
  <si>
    <t>Mühlhausen</t>
  </si>
  <si>
    <t>Haas Metallguss GmbH</t>
  </si>
  <si>
    <t>Münchsmünster</t>
  </si>
  <si>
    <t>Audi AG</t>
  </si>
  <si>
    <t>Nachrodt</t>
  </si>
  <si>
    <t>Aluminium Giesserei Nachrodt (Steinacher Group)</t>
  </si>
  <si>
    <t>Nachterstedt</t>
  </si>
  <si>
    <t>Neckarsulm</t>
  </si>
  <si>
    <t>KS Huayu Alu Tech</t>
  </si>
  <si>
    <t>Nentershausen</t>
  </si>
  <si>
    <t>Nersingen</t>
  </si>
  <si>
    <t>Neu -Ulm</t>
  </si>
  <si>
    <t>Metal Trade Comax</t>
  </si>
  <si>
    <t>Neumünster</t>
  </si>
  <si>
    <t>Aluminium Technik Neumünster</t>
  </si>
  <si>
    <t>NordAlu GmbH</t>
  </si>
  <si>
    <t>Neuss</t>
  </si>
  <si>
    <t>Gral GmbH</t>
  </si>
  <si>
    <t>Neustadt</t>
  </si>
  <si>
    <t>Fränkische Metallhüttenwerke GmbH</t>
  </si>
  <si>
    <t>Nordwalde</t>
  </si>
  <si>
    <t>Hengst SE &amp; Co KG</t>
  </si>
  <si>
    <t>Norf</t>
  </si>
  <si>
    <t>Novelis/Hydro Aluminium AG</t>
  </si>
  <si>
    <t>Nuremberg</t>
  </si>
  <si>
    <t>Scholz AG</t>
  </si>
  <si>
    <t>ZF Friedrichshafen</t>
  </si>
  <si>
    <t>Olpe-Friedrichsthal</t>
  </si>
  <si>
    <t>Ohm &amp; Häner</t>
  </si>
  <si>
    <t>Osnabrück</t>
  </si>
  <si>
    <t>Metallgiesserei Schmidt</t>
  </si>
  <si>
    <t>Paderborn</t>
  </si>
  <si>
    <t>HDO Druckguss- und Oberflächentechnik GmbH</t>
  </si>
  <si>
    <t>Radevormwald</t>
  </si>
  <si>
    <t>Rheinfelden</t>
  </si>
  <si>
    <t>Aluminium Rheinfelden</t>
  </si>
  <si>
    <t>Riedlingen</t>
  </si>
  <si>
    <t>Feinguss Blank GmbH</t>
  </si>
  <si>
    <t>Schopfheim</t>
  </si>
  <si>
    <t>Gusstechnik Schopfheim GmbH &amp; Co KG</t>
  </si>
  <si>
    <t>Singen</t>
  </si>
  <si>
    <t>Soest</t>
  </si>
  <si>
    <t>Cosma International</t>
  </si>
  <si>
    <t>Solingen</t>
  </si>
  <si>
    <t>Kronprinz Aluguss</t>
  </si>
  <si>
    <t>Sömmerda</t>
  </si>
  <si>
    <t>Stockach</t>
  </si>
  <si>
    <t>Orlando Management AG</t>
  </si>
  <si>
    <t>Stühlingen</t>
  </si>
  <si>
    <t>WutalAluminiumGuss GmbH</t>
  </si>
  <si>
    <t>Töging</t>
  </si>
  <si>
    <t>Unna</t>
  </si>
  <si>
    <t>Aluminiumwerk Unna AG</t>
  </si>
  <si>
    <t>Velbert</t>
  </si>
  <si>
    <t>Erbslöh Aluminium GmbH</t>
  </si>
  <si>
    <t>Huth &amp; Gaddum Metallgiesserei GmbH</t>
  </si>
  <si>
    <t>Kalmbach GmbH</t>
  </si>
  <si>
    <t>Villingen-Schwenningen</t>
  </si>
  <si>
    <t>Eisenmann Druckguss GmbH</t>
  </si>
  <si>
    <t>Voerde</t>
  </si>
  <si>
    <t>Trimet-Standort Voerde</t>
  </si>
  <si>
    <t>Vogt</t>
  </si>
  <si>
    <t>Waltenhofen</t>
  </si>
  <si>
    <t>Gusswerk Waltenhofen GmbH</t>
  </si>
  <si>
    <t>Weissenhorn</t>
  </si>
  <si>
    <t>Wendligen</t>
  </si>
  <si>
    <t>Janivo Holding B.V.</t>
  </si>
  <si>
    <t>Werdohl</t>
  </si>
  <si>
    <t>Werl</t>
  </si>
  <si>
    <t>Wernal Profil Technik GmbH</t>
  </si>
  <si>
    <t>Wernigerode</t>
  </si>
  <si>
    <t>Winterbach</t>
  </si>
  <si>
    <t>Moneva GmbH &amp; Co KG</t>
  </si>
  <si>
    <t>Wuppertal</t>
  </si>
  <si>
    <t>Wuppermetall GmbH</t>
  </si>
  <si>
    <t>Wutöschingen</t>
  </si>
  <si>
    <t>Aluminium-Werke Wutöschingen AG &amp; Co. KG</t>
  </si>
  <si>
    <t>Ghana</t>
  </si>
  <si>
    <t>Tema</t>
  </si>
  <si>
    <t>Aluminium Ind. Commission</t>
  </si>
  <si>
    <t>Ghana Aluworks Ltd</t>
  </si>
  <si>
    <t>Ghana Aluminium Products</t>
  </si>
  <si>
    <t>Ghana Pioneer Aluminium</t>
  </si>
  <si>
    <t>Alexandropoulis</t>
  </si>
  <si>
    <t>Alco Hellas SA</t>
  </si>
  <si>
    <t>Aspropyrgos</t>
  </si>
  <si>
    <t>Athens</t>
  </si>
  <si>
    <t>Epalme SA (Acquired by Mytilineos Oct. 2018)</t>
  </si>
  <si>
    <t>ElvalHalcor</t>
  </si>
  <si>
    <t>Soulis SA</t>
  </si>
  <si>
    <t>Inophita Viotia</t>
  </si>
  <si>
    <t>Epalme SA</t>
  </si>
  <si>
    <t>Hellenic Aluminium Ind. SA (Viohalco)</t>
  </si>
  <si>
    <t>Kilkis</t>
  </si>
  <si>
    <t>Alufond (division of Alumal Milonas SA, Alumil)</t>
  </si>
  <si>
    <t>Larissa</t>
  </si>
  <si>
    <t>Exalco</t>
  </si>
  <si>
    <t>Magoula</t>
  </si>
  <si>
    <t>Etern</t>
  </si>
  <si>
    <t>Oinofyta</t>
  </si>
  <si>
    <t>ElcalHalcor</t>
  </si>
  <si>
    <t>St. Nicolas</t>
  </si>
  <si>
    <t>Aluminium de Grèce</t>
  </si>
  <si>
    <t>Alumil SA</t>
  </si>
  <si>
    <t>Guatemala</t>
  </si>
  <si>
    <t>Guatemala City</t>
  </si>
  <si>
    <t>CMI SA Hard Alloy Aluminium Extrusions</t>
  </si>
  <si>
    <t>Extrusion de Aluminio</t>
  </si>
  <si>
    <t>Ajka</t>
  </si>
  <si>
    <t>Magyar Aluminium</t>
  </si>
  <si>
    <t>Györ</t>
  </si>
  <si>
    <t>Inota</t>
  </si>
  <si>
    <t>Inotal Zrt</t>
  </si>
  <si>
    <t>Mocsa</t>
  </si>
  <si>
    <t>Eurocast Kft</t>
  </si>
  <si>
    <t>Szekesfehervar</t>
  </si>
  <si>
    <t>Alcoa-Köfem Ltd</t>
  </si>
  <si>
    <t>Tatabanya</t>
  </si>
  <si>
    <t>Scepter Tatabanya Kft</t>
  </si>
  <si>
    <t>Otto Fuchs Hungary</t>
  </si>
  <si>
    <t>Iceland</t>
  </si>
  <si>
    <t>Hardarfjördur</t>
  </si>
  <si>
    <t>Isal (Rio Tinto)</t>
  </si>
  <si>
    <t>India</t>
  </si>
  <si>
    <t>Agartala</t>
  </si>
  <si>
    <t>Tirthamoyee Aluminium Prod</t>
  </si>
  <si>
    <t>Ahmedabad</t>
  </si>
  <si>
    <t>Lallubhai Amichand Ltd</t>
  </si>
  <si>
    <t>Marudhar Metals Ltd</t>
  </si>
  <si>
    <t>Sampat Aluminium</t>
  </si>
  <si>
    <t>Ahmednagar</t>
  </si>
  <si>
    <t>Hal-Alloys Pvt. Ltd</t>
  </si>
  <si>
    <t>JM Industries</t>
  </si>
  <si>
    <t>Superfine Extrusions Pvt. Ltd.</t>
  </si>
  <si>
    <t>Alupuram</t>
  </si>
  <si>
    <t>Hindalco Industries</t>
  </si>
  <si>
    <t>Ambarnath</t>
  </si>
  <si>
    <t>Ministry of Defence Ordonance</t>
  </si>
  <si>
    <t>Andhra Pradesh</t>
  </si>
  <si>
    <t>Alumco India Extrusions</t>
  </si>
  <si>
    <t>Aurangabad</t>
  </si>
  <si>
    <t>Hindalco-Almex Aerospace Ltd. (HAAL)</t>
  </si>
  <si>
    <t>Saraswati Extrusions Private Ltd</t>
  </si>
  <si>
    <t>Bagwada</t>
  </si>
  <si>
    <t>Gujarat Metal Processing</t>
  </si>
  <si>
    <t>Balasore</t>
  </si>
  <si>
    <t>Master Alloys Ltd</t>
  </si>
  <si>
    <t>Orissa Extrusions Ltd</t>
  </si>
  <si>
    <t>Balwani</t>
  </si>
  <si>
    <t>Gal Aluminium Extrusions Pvt. Ltd.</t>
  </si>
  <si>
    <t>Bangalore</t>
  </si>
  <si>
    <t>Jindal Aluminium Ltd</t>
  </si>
  <si>
    <t>Maheswari Metal Rolling Mills</t>
  </si>
  <si>
    <t>Sangam Aluminium Ltd</t>
  </si>
  <si>
    <t>Bankura</t>
  </si>
  <si>
    <t>Manaksia Aluminium</t>
  </si>
  <si>
    <t>Bauhati</t>
  </si>
  <si>
    <t>Bagaria Industrial Co</t>
  </si>
  <si>
    <t>Bawal</t>
  </si>
  <si>
    <t>Rockman Industries</t>
  </si>
  <si>
    <t>Begumpet</t>
  </si>
  <si>
    <t>Pennar Aluminium Co Ltd.</t>
  </si>
  <si>
    <t>Belur</t>
  </si>
  <si>
    <t>Indal</t>
  </si>
  <si>
    <t>Belur Math</t>
  </si>
  <si>
    <t>Hindalco Industries Ltd.</t>
  </si>
  <si>
    <t>Bharuch</t>
  </si>
  <si>
    <t>Narmada Aluminium Extrusions</t>
  </si>
  <si>
    <t>Bhiwadi</t>
  </si>
  <si>
    <t>Indo Alusys Industries Ltd.</t>
  </si>
  <si>
    <t>Bholav</t>
  </si>
  <si>
    <t>Shree Narnada Aluminium In. Ltd.</t>
  </si>
  <si>
    <t>Bombay</t>
  </si>
  <si>
    <t>A. J. Brothers Pvt Ltd</t>
  </si>
  <si>
    <t>Associated Aluminium Ind.</t>
  </si>
  <si>
    <t>Deeykar Aluminium Pvt.</t>
  </si>
  <si>
    <t>D. J. Industries</t>
  </si>
  <si>
    <t>Eastern Smelting &amp; Rolling</t>
  </si>
  <si>
    <t>Extrusion Processes</t>
  </si>
  <si>
    <t>Gujarat Metal Rolling Mills</t>
  </si>
  <si>
    <t>Hamco Mining &amp; Smelting</t>
  </si>
  <si>
    <t>Hooseini Metal Rolling Mill</t>
  </si>
  <si>
    <t>J. B. Metal Industries</t>
  </si>
  <si>
    <t>Maharashtra Aluminium Extrusions</t>
  </si>
  <si>
    <t>Man Aluminium Co</t>
  </si>
  <si>
    <t>Shalimar Textile Manufacturing</t>
  </si>
  <si>
    <t>Swastik Metal Manufacturing</t>
  </si>
  <si>
    <t>Swati Metal Industries</t>
  </si>
  <si>
    <t>The Metal Rolling Works</t>
  </si>
  <si>
    <t>Bongaigaon</t>
  </si>
  <si>
    <t>L. Mdanlal (Aluminium)</t>
  </si>
  <si>
    <t>Burdwan</t>
  </si>
  <si>
    <t>Bharat Aluminium Co</t>
  </si>
  <si>
    <t>Calcutta</t>
  </si>
  <si>
    <t>Albraco Metal Works</t>
  </si>
  <si>
    <t>Ballarspur Industries</t>
  </si>
  <si>
    <t>Bharat Engineering</t>
  </si>
  <si>
    <t>Castal Extrusions</t>
  </si>
  <si>
    <t>Century Aluminium Works</t>
  </si>
  <si>
    <t>Century Extrusions</t>
  </si>
  <si>
    <t>Durlabh Metal Industries</t>
  </si>
  <si>
    <t>Hanuman Udyog</t>
  </si>
  <si>
    <t>Light Metal Industries</t>
  </si>
  <si>
    <t>Master Alloy Ltd</t>
  </si>
  <si>
    <t>Rainbow Extrusions Ltd</t>
  </si>
  <si>
    <t>R. D. Alloys Ltd</t>
  </si>
  <si>
    <t>Sheet Metal Industries</t>
  </si>
  <si>
    <t>Usha Metal Idustries</t>
  </si>
  <si>
    <t>Vishwakarma Metal Industries</t>
  </si>
  <si>
    <t>Chennai</t>
  </si>
  <si>
    <t>Rico Auto Industries Ltd.</t>
  </si>
  <si>
    <t>Choolai Chennai</t>
  </si>
  <si>
    <t>Deccan Extrusiions Pvt. Ltd.</t>
  </si>
  <si>
    <t>Chromepet</t>
  </si>
  <si>
    <t>Vivek Aluminium Sections</t>
  </si>
  <si>
    <t>Coimbatore</t>
  </si>
  <si>
    <t>Rajam Metal Industries</t>
  </si>
  <si>
    <t>Dadra</t>
  </si>
  <si>
    <t>Pankaj Extrusions Ltd.</t>
  </si>
  <si>
    <t>Delhi</t>
  </si>
  <si>
    <t>Avon Metal Works</t>
  </si>
  <si>
    <t>Bedi Metal Industries</t>
  </si>
  <si>
    <t>Jain Metal Industries</t>
  </si>
  <si>
    <t>J. P. Engineering Pvt Ltd</t>
  </si>
  <si>
    <t>K. D. Metal Industries</t>
  </si>
  <si>
    <t>Metal Rolling Enterprise</t>
  </si>
  <si>
    <t>Nasrapur Metal Co</t>
  </si>
  <si>
    <t>National Metal Industries</t>
  </si>
  <si>
    <t>Nav Rattan Metal Industries</t>
  </si>
  <si>
    <t>Pal Aluminium Manufacturing</t>
  </si>
  <si>
    <t>Popular Metal Works</t>
  </si>
  <si>
    <t>Pragratti Enterprises</t>
  </si>
  <si>
    <t>Prem Rolling Mills</t>
  </si>
  <si>
    <t>Sarvadya Aluminium Works</t>
  </si>
  <si>
    <t>Shahdara Aluminium Factory</t>
  </si>
  <si>
    <t>Shaki Aluminium Products</t>
  </si>
  <si>
    <t>Shra Bhawani Aluminium</t>
  </si>
  <si>
    <t>Sun Aluminium Co</t>
  </si>
  <si>
    <t>Dewas</t>
  </si>
  <si>
    <t>Jaya Hind Montupet</t>
  </si>
  <si>
    <t>Dhubri</t>
  </si>
  <si>
    <t>Manikchand Khetawat</t>
  </si>
  <si>
    <t>Dimapur</t>
  </si>
  <si>
    <t>Nagaland Aluminium Industries</t>
  </si>
  <si>
    <t>Faridabad</t>
  </si>
  <si>
    <t>Almex Extrusions</t>
  </si>
  <si>
    <t>J. P. Engineers Pvt Ltd</t>
  </si>
  <si>
    <t>Gamaria</t>
  </si>
  <si>
    <t>Bihar Extrusions Co</t>
  </si>
  <si>
    <t>Ganjam</t>
  </si>
  <si>
    <t>Shiva Metal Industries</t>
  </si>
  <si>
    <t>Ghatkopar</t>
  </si>
  <si>
    <t>Pee Kay Aluminium Industries</t>
  </si>
  <si>
    <t>Ghaziabad</t>
  </si>
  <si>
    <t>Devidayal Aluminium Industr.</t>
  </si>
  <si>
    <t>Prem Metal Products</t>
  </si>
  <si>
    <t>Gobindapur</t>
  </si>
  <si>
    <t>Kali Steel &amp; Aluminium Industr.</t>
  </si>
  <si>
    <t>Gujarat</t>
  </si>
  <si>
    <t>Allwell Red Mud Products</t>
  </si>
  <si>
    <t>Banco Aluminium</t>
  </si>
  <si>
    <t>Gujarat Foils Ltd.</t>
  </si>
  <si>
    <t>Nasr Aluminium</t>
  </si>
  <si>
    <t>Guwahati</t>
  </si>
  <si>
    <t>Kamrup Aluminium Works</t>
  </si>
  <si>
    <t>Haldia</t>
  </si>
  <si>
    <t>Haridwar</t>
  </si>
  <si>
    <t>Haryana</t>
  </si>
  <si>
    <t>NKM and Century Metals Recycling</t>
  </si>
  <si>
    <t>Howrah</t>
  </si>
  <si>
    <t>Alcom Extrusions Ltd.</t>
  </si>
  <si>
    <t>Bajrang Aluminium Products</t>
  </si>
  <si>
    <t>Deepak Metal Works</t>
  </si>
  <si>
    <t>Eastern Metal Products</t>
  </si>
  <si>
    <t>Everest Metal &amp; Enamel</t>
  </si>
  <si>
    <t>Harish Metal Industries</t>
  </si>
  <si>
    <t>L. Madanlal (Aluminium) Ltd</t>
  </si>
  <si>
    <t>Narayani Aluminium Industries</t>
  </si>
  <si>
    <t>Palash Metal Works</t>
  </si>
  <si>
    <t>Patel Industries</t>
  </si>
  <si>
    <t>Prakash Metal Works</t>
  </si>
  <si>
    <t>Ram Niwas Metal Works</t>
  </si>
  <si>
    <t>Rohit Udyog</t>
  </si>
  <si>
    <t>Saroj Metal Works</t>
  </si>
  <si>
    <t>Shankar Metal Industries</t>
  </si>
  <si>
    <t>Shree Krishna Metal Works</t>
  </si>
  <si>
    <t>Shree Shaki Metal Works</t>
  </si>
  <si>
    <t>Surendra Metal Works</t>
  </si>
  <si>
    <t>Tirupati Udyog</t>
  </si>
  <si>
    <t>Vijay Aluminium Industries</t>
  </si>
  <si>
    <t>Hyderabad</t>
  </si>
  <si>
    <t>Excel Ano Components</t>
  </si>
  <si>
    <t>Pennar Aluminium Co</t>
  </si>
  <si>
    <t>Jagatpur</t>
  </si>
  <si>
    <t>Glore aluminium Industries</t>
  </si>
  <si>
    <t>Jaipur</t>
  </si>
  <si>
    <t>Kasera Metal Industries</t>
  </si>
  <si>
    <t>Quality Casting &amp; Rolling Mills</t>
  </si>
  <si>
    <t>Jalgaon</t>
  </si>
  <si>
    <t>B. S. Castings &amp; Engineering</t>
  </si>
  <si>
    <t>Jgadhari</t>
  </si>
  <si>
    <t>Dewan Shah &amp; Sons</t>
  </si>
  <si>
    <t>Guru Nanak Rolling Mills</t>
  </si>
  <si>
    <t>Hanuman Rolling Mills</t>
  </si>
  <si>
    <t>J. K. Metals Industries</t>
  </si>
  <si>
    <t>K. C. Metal Industries</t>
  </si>
  <si>
    <t>Madaan Udyog</t>
  </si>
  <si>
    <t>Oswal Metal Industries</t>
  </si>
  <si>
    <t>Prakash Aloha Udyog</t>
  </si>
  <si>
    <t>Juhi</t>
  </si>
  <si>
    <t>Madan Metal Industries</t>
  </si>
  <si>
    <t>Kalamassery</t>
  </si>
  <si>
    <t>Karnataka</t>
  </si>
  <si>
    <t>Hindustan Aeronautics Ltd.</t>
  </si>
  <si>
    <t>Jindal Aluminium</t>
  </si>
  <si>
    <t>Kharagpur</t>
  </si>
  <si>
    <t>Century Exreusions</t>
  </si>
  <si>
    <t>Kherdi</t>
  </si>
  <si>
    <t>Hamco Mining</t>
  </si>
  <si>
    <t>Kolkata</t>
  </si>
  <si>
    <t>Century Aluminium Manufacturing</t>
  </si>
  <si>
    <t>Savitri Impex</t>
  </si>
  <si>
    <t>Korba</t>
  </si>
  <si>
    <t>Kupwad</t>
  </si>
  <si>
    <t>Shree Pomani Metals &amp; Alloys</t>
  </si>
  <si>
    <t>Lakadganj</t>
  </si>
  <si>
    <t>Metal Process</t>
  </si>
  <si>
    <t>Ludhiana</t>
  </si>
  <si>
    <t>Madras</t>
  </si>
  <si>
    <t>Ananda Metal Palace</t>
  </si>
  <si>
    <t>Associated Industries</t>
  </si>
  <si>
    <t>M. A. Metal Works</t>
  </si>
  <si>
    <t>Madras Aluminium Co.</t>
  </si>
  <si>
    <t>Nandagopalan Metals</t>
  </si>
  <si>
    <t>P. Gopal Chettiar Rolling Works</t>
  </si>
  <si>
    <t>Rajan Industries</t>
  </si>
  <si>
    <t>Ram Metals</t>
  </si>
  <si>
    <t>Shanmugha Metal Industries</t>
  </si>
  <si>
    <t>South India Aluminium</t>
  </si>
  <si>
    <t>Sun Metal Rolling Mills</t>
  </si>
  <si>
    <t>Suresh Metal Works</t>
  </si>
  <si>
    <t>The India Metal Works</t>
  </si>
  <si>
    <t>Veer Industries</t>
  </si>
  <si>
    <t>Venkateswara Metal Corp</t>
  </si>
  <si>
    <t>Maharashtra</t>
  </si>
  <si>
    <t>A.J. Brothers Pvt. Ltd.</t>
  </si>
  <si>
    <t>Malda</t>
  </si>
  <si>
    <t>Malda Aluminium Factory</t>
  </si>
  <si>
    <t>Matigara</t>
  </si>
  <si>
    <t>Bengal Aluminium &amp; Anodizing</t>
  </si>
  <si>
    <t>Medawakkam</t>
  </si>
  <si>
    <t>Padma Metals</t>
  </si>
  <si>
    <t>Midnapur</t>
  </si>
  <si>
    <t>Century Extrusions Ltd.</t>
  </si>
  <si>
    <t>Mumbai</t>
  </si>
  <si>
    <t>Hind Aluminium</t>
  </si>
  <si>
    <t>Indian Smelting and Refining</t>
  </si>
  <si>
    <t>Nico Extrusions</t>
  </si>
  <si>
    <t>Pankaj Extrusions</t>
  </si>
  <si>
    <t>Mysore</t>
  </si>
  <si>
    <t>Bhoruka Aluminium Ltd</t>
  </si>
  <si>
    <t>Nagpur</t>
  </si>
  <si>
    <t>AMA Extrusions</t>
  </si>
  <si>
    <t>Bajrang Metal Works</t>
  </si>
  <si>
    <t>Bhavesh Metal Industries</t>
  </si>
  <si>
    <t>Gopal Metal Industries</t>
  </si>
  <si>
    <t>K. G. Aluminium Industries</t>
  </si>
  <si>
    <t>Ministry of Defence Ordnance</t>
  </si>
  <si>
    <t>Narayani Metalcrafts</t>
  </si>
  <si>
    <t>Vakharia Rolling Mills</t>
  </si>
  <si>
    <t>Vidharba Aluminium Industry</t>
  </si>
  <si>
    <t>Vidharba Extrusions Pvt. Ltd</t>
  </si>
  <si>
    <t>Naroli</t>
  </si>
  <si>
    <t>Nico Extrusions Pvt Ltd</t>
  </si>
  <si>
    <t>Nasik</t>
  </si>
  <si>
    <t>Sudal Industries Ltd.</t>
  </si>
  <si>
    <t>Sudarsjam Aluminium Industries</t>
  </si>
  <si>
    <t>New Delhi</t>
  </si>
  <si>
    <t>Mahavir Aluminium Ltd</t>
  </si>
  <si>
    <t>Noida</t>
  </si>
  <si>
    <t>Midi Extrusions Ltd.</t>
  </si>
  <si>
    <t>Odisha</t>
  </si>
  <si>
    <t>Master Alloys</t>
  </si>
  <si>
    <t>National aluminium Co. Ltd.</t>
  </si>
  <si>
    <t>Oragadam</t>
  </si>
  <si>
    <t>Sundaram-Clayton Ltd (SCL)</t>
  </si>
  <si>
    <t>Panchmahal</t>
  </si>
  <si>
    <t>Aum Aluminium Co</t>
  </si>
  <si>
    <t>Patna City</t>
  </si>
  <si>
    <t>Patna Aluminium Udyog</t>
  </si>
  <si>
    <t>Phagi</t>
  </si>
  <si>
    <t>Gravita India</t>
  </si>
  <si>
    <t>Phagwara</t>
  </si>
  <si>
    <t>Partap Aluminium Industries</t>
  </si>
  <si>
    <t>Pitham Pur</t>
  </si>
  <si>
    <t>Decora Tubes Ltd.</t>
  </si>
  <si>
    <t>Man Industries (India) Ltd.</t>
  </si>
  <si>
    <t>Pondicherry</t>
  </si>
  <si>
    <t>Pune</t>
  </si>
  <si>
    <t>Spark Minda, Ashok Minda Group</t>
  </si>
  <si>
    <t>Rathod Metal Rolling Mills</t>
  </si>
  <si>
    <t>Swastik Metal Rollig Mills</t>
  </si>
  <si>
    <t>Raigad</t>
  </si>
  <si>
    <t>Indian Aluminium Company</t>
  </si>
  <si>
    <t>Raipur</t>
  </si>
  <si>
    <t>Kesri Metal Pvt Ltd</t>
  </si>
  <si>
    <t>Rajmohalla</t>
  </si>
  <si>
    <t>Patni Engineering Pvt. Ltd</t>
  </si>
  <si>
    <t>Renukoot</t>
  </si>
  <si>
    <t>Sanaswadi</t>
  </si>
  <si>
    <t>Sterlite Industries</t>
  </si>
  <si>
    <t>Sangli</t>
  </si>
  <si>
    <t>Bothra Metals</t>
  </si>
  <si>
    <t>Secunderabad</t>
  </si>
  <si>
    <t>Jayakrishna Aluminium</t>
  </si>
  <si>
    <t>Lotus Aluminium Pvt. Ltd.</t>
  </si>
  <si>
    <t>Silchar</t>
  </si>
  <si>
    <t>Nagar Aluminium Works</t>
  </si>
  <si>
    <t>Siliguri</t>
  </si>
  <si>
    <t>North Bengal Iron &amp; Aluminium</t>
  </si>
  <si>
    <t>Silvassa</t>
  </si>
  <si>
    <t>Sirmour</t>
  </si>
  <si>
    <t>Ta Visnagar</t>
  </si>
  <si>
    <t>Tal-Khed</t>
  </si>
  <si>
    <t>Ramanand Extrusions Pvt. Ltd.</t>
  </si>
  <si>
    <t>Talod</t>
  </si>
  <si>
    <t>Sacheta Metals</t>
  </si>
  <si>
    <t>Taloja</t>
  </si>
  <si>
    <t>Tamil Nadu</t>
  </si>
  <si>
    <t>Sangam Aluminium Ltd.</t>
  </si>
  <si>
    <t>Tarapur</t>
  </si>
  <si>
    <t>Salco Extrusions Pvt. Ltd.</t>
  </si>
  <si>
    <t>Thane</t>
  </si>
  <si>
    <t>Everlasting Engineering Co</t>
  </si>
  <si>
    <t>Vidharbha Extrusions Pvt. Ltd.</t>
  </si>
  <si>
    <t>Thirumangalam</t>
  </si>
  <si>
    <t>The Metal Powder Co</t>
  </si>
  <si>
    <t>Vaghodia</t>
  </si>
  <si>
    <t>Apurva Aluminium Corp</t>
  </si>
  <si>
    <t>Vijaywada</t>
  </si>
  <si>
    <t>Venkateswara Metal Rolling</t>
  </si>
  <si>
    <t>Villaga Masat</t>
  </si>
  <si>
    <t>Vakharia Aluminium Industries</t>
  </si>
  <si>
    <t>West Bengal</t>
  </si>
  <si>
    <t>Indonesia</t>
  </si>
  <si>
    <t>Bandung</t>
  </si>
  <si>
    <t>P. T. Alexindo</t>
  </si>
  <si>
    <t>P. T. Alumido Perkas</t>
  </si>
  <si>
    <t>P. T. Angsa Mas Perkas</t>
  </si>
  <si>
    <t>P. T. Edico Utama</t>
  </si>
  <si>
    <t>P. T. Imelda Utama</t>
  </si>
  <si>
    <t>P.T. Indo Extrusions</t>
  </si>
  <si>
    <t>P. T. Inter Alumindo Ventosa</t>
  </si>
  <si>
    <t>P.T. Professindo Jaya International</t>
  </si>
  <si>
    <t>P.T. Saluyu Putra</t>
  </si>
  <si>
    <t>P.T. Supreme Alurodin</t>
  </si>
  <si>
    <t>P.T. YKK Aumico Indon</t>
  </si>
  <si>
    <t>Cibidung Bekasi</t>
  </si>
  <si>
    <t>P. T. Indoaluminium Intikarsa</t>
  </si>
  <si>
    <t>Cikupa</t>
  </si>
  <si>
    <t>Starmas Inti Aluminum Industry</t>
  </si>
  <si>
    <t>Cimahi</t>
  </si>
  <si>
    <t>P. T. Indo Extrusions</t>
  </si>
  <si>
    <t>Desa Harapan</t>
  </si>
  <si>
    <t>Jakarta</t>
  </si>
  <si>
    <t>P. T. Alkasa Extrusions</t>
  </si>
  <si>
    <t>P. T. Alko Mandiri</t>
  </si>
  <si>
    <t>P. T. Hercules Aluminium Manufacturing Co. Ltd.</t>
  </si>
  <si>
    <t>P. T. Molten Aluminium Producer</t>
  </si>
  <si>
    <t>P. T. Supreme Alurodin</t>
  </si>
  <si>
    <t>Karawang Int. Ind. City</t>
  </si>
  <si>
    <t>Toyota Motor Manufacturing Indonesia</t>
  </si>
  <si>
    <t>Kotip Cimahi</t>
  </si>
  <si>
    <t>N.V. Perusahan Logam Dima</t>
  </si>
  <si>
    <t>Kuala Tanjung</t>
  </si>
  <si>
    <t>P.T. Asahan Aluminium Alloys</t>
  </si>
  <si>
    <t>Leuwigajah</t>
  </si>
  <si>
    <t>P. T. Saluyu Putra</t>
  </si>
  <si>
    <t>Medan</t>
  </si>
  <si>
    <t>P.T. Damai Abadi</t>
  </si>
  <si>
    <t>P.T. Gunung Gahapi Sakti</t>
  </si>
  <si>
    <t>P. T. Intbumi Alumindotama Ind.</t>
  </si>
  <si>
    <t>P.T. Kenkana Lulia Agung</t>
  </si>
  <si>
    <t>P.T. Sari Logam Morawa</t>
  </si>
  <si>
    <t>Mokokerto</t>
  </si>
  <si>
    <t>P.T. HP Metals Indonesia</t>
  </si>
  <si>
    <t>Surabaya</t>
  </si>
  <si>
    <t>P.T. Alumindo Light Metal Ind</t>
  </si>
  <si>
    <t>P.T. Impact Indonesia</t>
  </si>
  <si>
    <t>P.T. Indal Aluminium Industry</t>
  </si>
  <si>
    <t>P.T. Indonesia Smelting Technology</t>
  </si>
  <si>
    <t>P.T. Paramount</t>
  </si>
  <si>
    <t>Tangerang</t>
  </si>
  <si>
    <t>P.T. Aluminium Works Indonesia</t>
  </si>
  <si>
    <t>P. T. Calindo Damai Sejahtera Abadi</t>
  </si>
  <si>
    <t>P. T. Makmur Jaya Saputra Perkasa</t>
  </si>
  <si>
    <t>P. T. Starmas International</t>
  </si>
  <si>
    <t>P.T. Superex Raya</t>
  </si>
  <si>
    <t>P.T. YKK Alumico Indonesia</t>
  </si>
  <si>
    <t>Timur</t>
  </si>
  <si>
    <t>P. T. Alumido Light Metal Ind.</t>
  </si>
  <si>
    <t>Waru</t>
  </si>
  <si>
    <t>P.T. Langgeng Makmur</t>
  </si>
  <si>
    <t>Iran</t>
  </si>
  <si>
    <t>Bandar Abbas</t>
  </si>
  <si>
    <t>Hamoon Aluminium Co.</t>
  </si>
  <si>
    <t>Kerman</t>
  </si>
  <si>
    <t>Hezar Aluminium Industries Co.</t>
  </si>
  <si>
    <t>Saveh</t>
  </si>
  <si>
    <t>Alum Pars Co</t>
  </si>
  <si>
    <t>Teheran</t>
  </si>
  <si>
    <t>Alumroll Company SA</t>
  </si>
  <si>
    <t>Iran Poya Co</t>
  </si>
  <si>
    <t>Navard Aluminium Co</t>
  </si>
  <si>
    <t>Irish Republic</t>
  </si>
  <si>
    <t>Carrickfergus</t>
  </si>
  <si>
    <t>Ryobi</t>
  </si>
  <si>
    <t>Kells</t>
  </si>
  <si>
    <t>P. Carney Ltd</t>
  </si>
  <si>
    <t>Israel</t>
  </si>
  <si>
    <t>Galile</t>
  </si>
  <si>
    <t>Profal</t>
  </si>
  <si>
    <t>Haifa</t>
  </si>
  <si>
    <t>SHL Ltd.</t>
  </si>
  <si>
    <t>Haifa Bay</t>
  </si>
  <si>
    <t>Alubin Ltd.</t>
  </si>
  <si>
    <t>Jerusalem</t>
  </si>
  <si>
    <t>Extal Ltd.</t>
  </si>
  <si>
    <t>Kiryat Bihalik</t>
  </si>
  <si>
    <t>Nablus</t>
  </si>
  <si>
    <t>National Aluminium</t>
  </si>
  <si>
    <t>Petah Tikva</t>
  </si>
  <si>
    <t>MMAB87 Ltd</t>
  </si>
  <si>
    <t>Schremer Aluminium Works</t>
  </si>
  <si>
    <t>Ambivere</t>
  </si>
  <si>
    <t>Somet SpA</t>
  </si>
  <si>
    <t>Aquila</t>
  </si>
  <si>
    <t>Abruzzo Laminazione Alluminio</t>
  </si>
  <si>
    <t>Ascoli Pice</t>
  </si>
  <si>
    <t>Ocma SpA</t>
  </si>
  <si>
    <t>Atessa</t>
  </si>
  <si>
    <t>Hydro Alluminio</t>
  </si>
  <si>
    <t>Biassono</t>
  </si>
  <si>
    <t>LT Alluminio-Indinvest</t>
  </si>
  <si>
    <t>Sapa Profil</t>
  </si>
  <si>
    <t>Borgofranco</t>
  </si>
  <si>
    <t>Novelis S.p.A.</t>
  </si>
  <si>
    <t>Botticino Sera</t>
  </si>
  <si>
    <t>Colosio</t>
  </si>
  <si>
    <t>Brescia</t>
  </si>
  <si>
    <t>Brelasco</t>
  </si>
  <si>
    <t>Deral S.p.A.</t>
  </si>
  <si>
    <t>Eural Gnutti SpA</t>
  </si>
  <si>
    <t>Raffineria Metalli Capra</t>
  </si>
  <si>
    <t>Fondal</t>
  </si>
  <si>
    <t>Endurance Castings SpA</t>
  </si>
  <si>
    <t>Bressanvido</t>
  </si>
  <si>
    <t>Cestaro Fonderia</t>
  </si>
  <si>
    <t>Brixen</t>
  </si>
  <si>
    <t>Alupress AG</t>
  </si>
  <si>
    <t>Buccino</t>
  </si>
  <si>
    <t>Profilati Italia Srl</t>
  </si>
  <si>
    <t>Caivano</t>
  </si>
  <si>
    <t>Tecnal S.p.A.</t>
  </si>
  <si>
    <t>Cardano al Campo</t>
  </si>
  <si>
    <t>Lag SpA</t>
  </si>
  <si>
    <t>Carisio</t>
  </si>
  <si>
    <t>Sacal S.p.A.</t>
  </si>
  <si>
    <t>Carmagnola (Torino)</t>
  </si>
  <si>
    <t>Alital Srl</t>
  </si>
  <si>
    <t>Caserta</t>
  </si>
  <si>
    <t>Matal Point</t>
  </si>
  <si>
    <t>Casto</t>
  </si>
  <si>
    <t>Raffmetal SpA</t>
  </si>
  <si>
    <t>Catelmella</t>
  </si>
  <si>
    <t>Celano</t>
  </si>
  <si>
    <t>Ve Pr Al Snc</t>
  </si>
  <si>
    <t>Cisterna</t>
  </si>
  <si>
    <t>LT Alluminio</t>
  </si>
  <si>
    <t>Cisterna di Latina</t>
  </si>
  <si>
    <t>Rolling Mills International GmbH</t>
  </si>
  <si>
    <t>Indinvest LT</t>
  </si>
  <si>
    <t>Como</t>
  </si>
  <si>
    <t>Carcano Antonio SpA</t>
  </si>
  <si>
    <t>Dolzago</t>
  </si>
  <si>
    <t>Trafilerie Passerini</t>
  </si>
  <si>
    <t>Fondotoce</t>
  </si>
  <si>
    <t>Raffineria Metalli Cusiana</t>
  </si>
  <si>
    <t>Fusina</t>
  </si>
  <si>
    <t>Slim Aluminium</t>
  </si>
  <si>
    <t>Ghedi</t>
  </si>
  <si>
    <t>Cromodora Wheels SpA</t>
  </si>
  <si>
    <t>Gussago</t>
  </si>
  <si>
    <t>Sepal</t>
  </si>
  <si>
    <t>La Baraggia</t>
  </si>
  <si>
    <t>Sacal</t>
  </si>
  <si>
    <t>Latina</t>
  </si>
  <si>
    <t>Indinvest</t>
  </si>
  <si>
    <t>Lentiai</t>
  </si>
  <si>
    <t>Pandolfo Alluminio</t>
  </si>
  <si>
    <t>Longarone</t>
  </si>
  <si>
    <t>Metalba Nord SpA</t>
  </si>
  <si>
    <t>Maclodio</t>
  </si>
  <si>
    <t>Osalmec Srl</t>
  </si>
  <si>
    <t>Manerbio</t>
  </si>
  <si>
    <t>Deral</t>
  </si>
  <si>
    <t>Estral</t>
  </si>
  <si>
    <t>Maniago</t>
  </si>
  <si>
    <t>Mantova</t>
  </si>
  <si>
    <t>novALmec</t>
  </si>
  <si>
    <t>Marcianise</t>
  </si>
  <si>
    <t>Metalpoint SpA</t>
  </si>
  <si>
    <t>Medicina</t>
  </si>
  <si>
    <t>Profilati SpA</t>
  </si>
  <si>
    <t>Milano</t>
  </si>
  <si>
    <t>Vedani CarloMetalli SpA</t>
  </si>
  <si>
    <t>Monteno</t>
  </si>
  <si>
    <t>Airoldi Metalli</t>
  </si>
  <si>
    <t>Montirone</t>
  </si>
  <si>
    <t>Nusco</t>
  </si>
  <si>
    <t>Rifometal Srl</t>
  </si>
  <si>
    <t>Ornago</t>
  </si>
  <si>
    <t>Hydro Alluminio Ornago</t>
  </si>
  <si>
    <t>Parabiago</t>
  </si>
  <si>
    <t>Fonderia Riva SpA</t>
  </si>
  <si>
    <t>Parona Lomellina</t>
  </si>
  <si>
    <t>Intals SpA</t>
  </si>
  <si>
    <t>Pavia</t>
  </si>
  <si>
    <t>Carlo Vedani Metalli</t>
  </si>
  <si>
    <t>Pieve Emanuele</t>
  </si>
  <si>
    <t>Alupex</t>
  </si>
  <si>
    <t>Novelis Italia</t>
  </si>
  <si>
    <t>Pieve Portomorone</t>
  </si>
  <si>
    <t>Billette Italia Srl</t>
  </si>
  <si>
    <t>Pisa</t>
  </si>
  <si>
    <t>All Co. SpA</t>
  </si>
  <si>
    <t>High Tech Aluminium SpA</t>
  </si>
  <si>
    <t>Portscuso</t>
  </si>
  <si>
    <t>Industrie Laminazione Alluminio</t>
  </si>
  <si>
    <t>Porzano di Leno</t>
  </si>
  <si>
    <t>Alnor Nuova Alluminio</t>
  </si>
  <si>
    <t>Pozzilli</t>
  </si>
  <si>
    <t>Alcoa</t>
  </si>
  <si>
    <t>Ragusa</t>
  </si>
  <si>
    <t>Metra</t>
  </si>
  <si>
    <t>Riese Pio</t>
  </si>
  <si>
    <t>Metallic Alloys Srl</t>
  </si>
  <si>
    <t>Roccafranca</t>
  </si>
  <si>
    <t>Extrusione Roccafranca</t>
  </si>
  <si>
    <t>Rodengo Saiano</t>
  </si>
  <si>
    <t>Foall Srl (owned by Metra SpA)</t>
  </si>
  <si>
    <t>Romanore</t>
  </si>
  <si>
    <t>Novellini Industrie Srl</t>
  </si>
  <si>
    <t>Rome</t>
  </si>
  <si>
    <t>Fonderie SpA</t>
  </si>
  <si>
    <t>Rovato</t>
  </si>
  <si>
    <t>Rovello Porro</t>
  </si>
  <si>
    <t>Premoli Luigi &amp; Figli</t>
  </si>
  <si>
    <t>Rubiera</t>
  </si>
  <si>
    <t>Icmet Metalli SpA</t>
  </si>
  <si>
    <t>San Lazzaro di Savena</t>
  </si>
  <si>
    <t>Figli Madrigali Metalli Srl</t>
  </si>
  <si>
    <t>San Marco Evang.</t>
  </si>
  <si>
    <t>Laminazione Sottile SpA</t>
  </si>
  <si>
    <t>Sarmeola</t>
  </si>
  <si>
    <t>Sezze Romano</t>
  </si>
  <si>
    <t>Tecnometal SpA</t>
  </si>
  <si>
    <t>Sirpress Nusco</t>
  </si>
  <si>
    <t>Sira Industrie S.A.</t>
  </si>
  <si>
    <t>Sural SpA</t>
  </si>
  <si>
    <t>Venice</t>
  </si>
  <si>
    <t>Alcoa Transformazioni Srl</t>
  </si>
  <si>
    <t>Verbania</t>
  </si>
  <si>
    <t>Volpiano</t>
  </si>
  <si>
    <t>Comital SpA</t>
  </si>
  <si>
    <t>Japan</t>
  </si>
  <si>
    <t>Abu-gun</t>
  </si>
  <si>
    <t>Almine Co.</t>
  </si>
  <si>
    <t>Aichi City</t>
  </si>
  <si>
    <t>Asahi Seiren Co. Ltd</t>
  </si>
  <si>
    <t>Aichi-Ken</t>
  </si>
  <si>
    <t>Asuka Industries Inc</t>
  </si>
  <si>
    <t>Honda Metal Industries Ltd.</t>
  </si>
  <si>
    <t>Nippon Light Metal Co. Ltd.</t>
  </si>
  <si>
    <t>Sumitomo Light Metal Ind. Ltd.</t>
  </si>
  <si>
    <t>Anjo</t>
  </si>
  <si>
    <t>Yoki Co</t>
  </si>
  <si>
    <t>Asaba</t>
  </si>
  <si>
    <t>MC Aluminium</t>
  </si>
  <si>
    <t>Ayauta</t>
  </si>
  <si>
    <t>YKKAP</t>
  </si>
  <si>
    <t>Chiba</t>
  </si>
  <si>
    <t>Fujisash Co. Ltd.</t>
  </si>
  <si>
    <t>Showa Denko</t>
  </si>
  <si>
    <t>Sumitomo Light Metal Industries</t>
  </si>
  <si>
    <t>Chuo-ku</t>
  </si>
  <si>
    <t>Sky Aluminium</t>
  </si>
  <si>
    <t>Fuji City</t>
  </si>
  <si>
    <t>Fuji Aluminium</t>
  </si>
  <si>
    <t>Fujioyama</t>
  </si>
  <si>
    <t>Mitsubishi Aluminium Co</t>
  </si>
  <si>
    <t>Fukui</t>
  </si>
  <si>
    <t>Fukui Furukawa Sky</t>
  </si>
  <si>
    <t>Furukawa Electric</t>
  </si>
  <si>
    <t>Funabashi</t>
  </si>
  <si>
    <t>Shin Nikkei Co. Ltd.</t>
  </si>
  <si>
    <t>Habikino City</t>
  </si>
  <si>
    <t>Umehara Light Metal Industry</t>
  </si>
  <si>
    <t>Hamamatsu</t>
  </si>
  <si>
    <t>Ahresty Corp</t>
  </si>
  <si>
    <t>Hatogaya City</t>
  </si>
  <si>
    <t>Adachi Light Metal Co</t>
  </si>
  <si>
    <t>Ishiyama Light Metal Co</t>
  </si>
  <si>
    <t>Hekinan</t>
  </si>
  <si>
    <t>Hoei Shokai Co</t>
  </si>
  <si>
    <t>Higasi-Matsuyama</t>
  </si>
  <si>
    <t>Hikone</t>
  </si>
  <si>
    <t>Showa Aluminium</t>
  </si>
  <si>
    <t>Himeji City</t>
  </si>
  <si>
    <t>Koyo Light Metal Co</t>
  </si>
  <si>
    <t>Hirakata City</t>
  </si>
  <si>
    <t>Shikishima Aluminium Co. Ltd.</t>
  </si>
  <si>
    <t>Hirano</t>
  </si>
  <si>
    <t>Shinzuyo Metal</t>
  </si>
  <si>
    <t>Hisai</t>
  </si>
  <si>
    <t>Tostem Hisai Co. Ltd.</t>
  </si>
  <si>
    <t>Toyo Sash</t>
  </si>
  <si>
    <t>Hyogo</t>
  </si>
  <si>
    <t>Goyo Kousan Co. Ltd.</t>
  </si>
  <si>
    <t>Ibaragi</t>
  </si>
  <si>
    <t>Asahi Seiren Co</t>
  </si>
  <si>
    <t>Ihara</t>
  </si>
  <si>
    <t>Nippon Light Metal</t>
  </si>
  <si>
    <t>Ishihara</t>
  </si>
  <si>
    <t>Fujisash Co</t>
  </si>
  <si>
    <t>Ishihara City</t>
  </si>
  <si>
    <t>Summit Showa Aluminium</t>
  </si>
  <si>
    <t>Itami City</t>
  </si>
  <si>
    <t>Nihon Atsuen Kogyo</t>
  </si>
  <si>
    <t>Iwatsuki City</t>
  </si>
  <si>
    <t>Hishinuma Light Metall Inc.</t>
  </si>
  <si>
    <t>Kambara</t>
  </si>
  <si>
    <t>Kamese</t>
  </si>
  <si>
    <t>Almine</t>
  </si>
  <si>
    <t>Kameyama</t>
  </si>
  <si>
    <t>Daiki Aluminium Industry</t>
  </si>
  <si>
    <t>Kanbara-machi</t>
  </si>
  <si>
    <t>Karitacho</t>
  </si>
  <si>
    <t>Kyushu Smelting Technology</t>
  </si>
  <si>
    <t>Kasukabe</t>
  </si>
  <si>
    <t>Sanko</t>
  </si>
  <si>
    <t>Kasuya-gun</t>
  </si>
  <si>
    <t>Hakata Aluminium Industrial Co</t>
  </si>
  <si>
    <t>Kawanishi City</t>
  </si>
  <si>
    <t>Shinsuyo Metal Industry</t>
  </si>
  <si>
    <t>Kiregawa</t>
  </si>
  <si>
    <t>Kitakata</t>
  </si>
  <si>
    <t>SHOTIC</t>
  </si>
  <si>
    <t>Kitamoto</t>
  </si>
  <si>
    <t>Heiwa Aluminium</t>
  </si>
  <si>
    <t>Kitatakebara</t>
  </si>
  <si>
    <t>Arai Co. Ltd.</t>
  </si>
  <si>
    <t>Koda</t>
  </si>
  <si>
    <t>Aska Co</t>
  </si>
  <si>
    <t>Koto-cho</t>
  </si>
  <si>
    <t>Kumagaya</t>
  </si>
  <si>
    <t>Kumamoto</t>
  </si>
  <si>
    <t>Allis Sanyo</t>
  </si>
  <si>
    <t>Kumamoto-ken</t>
  </si>
  <si>
    <t>Fuji Sash</t>
  </si>
  <si>
    <t>Kurashiki City</t>
  </si>
  <si>
    <t>Mizushima Fero-Alloy</t>
  </si>
  <si>
    <t>Kurobe</t>
  </si>
  <si>
    <t>Yoshida Kogyo</t>
  </si>
  <si>
    <t>Kyokushima</t>
  </si>
  <si>
    <t>Maebashi</t>
  </si>
  <si>
    <t>Tostem Maebashi Co. Ltd.</t>
  </si>
  <si>
    <t>Maibara</t>
  </si>
  <si>
    <t>Sanko Japan</t>
  </si>
  <si>
    <t>Masuda</t>
  </si>
  <si>
    <t>Matsumoto City</t>
  </si>
  <si>
    <t>Hanamura Industry</t>
  </si>
  <si>
    <t>Matsuyama City</t>
  </si>
  <si>
    <t>Daisho Light Metal Co.</t>
  </si>
  <si>
    <t>Mie</t>
  </si>
  <si>
    <t>Mihara-cho</t>
  </si>
  <si>
    <t>Wash in Kogyo</t>
  </si>
  <si>
    <t>Mikuni-machi</t>
  </si>
  <si>
    <t>Furukawa Aluminium</t>
  </si>
  <si>
    <t>Mitsukaido</t>
  </si>
  <si>
    <t>Mizushima</t>
  </si>
  <si>
    <t>Mizushima Ferro Alloy</t>
  </si>
  <si>
    <t>Moka</t>
  </si>
  <si>
    <t>Kobe Steel</t>
  </si>
  <si>
    <t>Nagabuchou</t>
  </si>
  <si>
    <t>Honda Metal Industries</t>
  </si>
  <si>
    <t>Nagano</t>
  </si>
  <si>
    <t>MC Aluminium Co</t>
  </si>
  <si>
    <t>Nagasu-machi</t>
  </si>
  <si>
    <t>Nagoya</t>
  </si>
  <si>
    <t>Hattori Diecast</t>
  </si>
  <si>
    <t>Nagoya Aluminium Co</t>
  </si>
  <si>
    <t>Sumitomo Light Metal</t>
  </si>
  <si>
    <t>Nagoya City</t>
  </si>
  <si>
    <t>Nagoya Alumi Co</t>
  </si>
  <si>
    <t>Nakazato Fuji</t>
  </si>
  <si>
    <t>Fuji Alumi Industry Corp</t>
  </si>
  <si>
    <t>Nasu</t>
  </si>
  <si>
    <t>Nerima-ku</t>
  </si>
  <si>
    <t>Akao Aluminium</t>
  </si>
  <si>
    <t>Nikko</t>
  </si>
  <si>
    <t>Furukawa-Sky</t>
  </si>
  <si>
    <t>Nishio</t>
  </si>
  <si>
    <t>Nishio City</t>
  </si>
  <si>
    <t>Askua Industry Co</t>
  </si>
  <si>
    <t>Nishitonami</t>
  </si>
  <si>
    <t>S. T. Products</t>
  </si>
  <si>
    <t>Noda</t>
  </si>
  <si>
    <t>Oasa Nishinosawa</t>
  </si>
  <si>
    <t>Taniyama Aluminium Smelting</t>
  </si>
  <si>
    <t>Obayashi</t>
  </si>
  <si>
    <t>Hoei Shokai Co.</t>
  </si>
  <si>
    <t>Oimachi</t>
  </si>
  <si>
    <t>Okayama</t>
  </si>
  <si>
    <t>Osaka</t>
  </si>
  <si>
    <t>Almetax Manufacturing Co</t>
  </si>
  <si>
    <t>Almine Co</t>
  </si>
  <si>
    <t>Katagi Aluminium Products Ltd.</t>
  </si>
  <si>
    <t>Naniwa Keikinzoku</t>
  </si>
  <si>
    <t>Showa Denko KK</t>
  </si>
  <si>
    <t>Sumitomo Electric</t>
  </si>
  <si>
    <t>Summit Showa Alumi Co. Ltd</t>
  </si>
  <si>
    <t>Wash in Kogyo Co. Ltd.</t>
  </si>
  <si>
    <t>Otonemachi</t>
  </si>
  <si>
    <t>Kyowa Metal Industry</t>
  </si>
  <si>
    <t>Oyama</t>
  </si>
  <si>
    <t>Ryuyo-cho</t>
  </si>
  <si>
    <t>Saitama</t>
  </si>
  <si>
    <t>Sakai</t>
  </si>
  <si>
    <t>Sakai City</t>
  </si>
  <si>
    <t>Kobayashi Aluminium Industrial</t>
  </si>
  <si>
    <t>Sanbongi-machi</t>
  </si>
  <si>
    <t>Sayama City</t>
  </si>
  <si>
    <t>Seta</t>
  </si>
  <si>
    <t>Molten Aluminium Producer Co</t>
  </si>
  <si>
    <t>Shiga</t>
  </si>
  <si>
    <t>Daiki Aluminium</t>
  </si>
  <si>
    <t>Nichon Atsuen Kongyo KK</t>
  </si>
  <si>
    <t>Shimizu</t>
  </si>
  <si>
    <t>Nippon Light Metals</t>
  </si>
  <si>
    <t>Shimonoseki</t>
  </si>
  <si>
    <t>Kobe Steel Ltd.</t>
  </si>
  <si>
    <t>Shimozuma</t>
  </si>
  <si>
    <t>Tostem Shimonzuma</t>
  </si>
  <si>
    <t>Shinminato</t>
  </si>
  <si>
    <t>Shinshiro</t>
  </si>
  <si>
    <t>Shirakawa</t>
  </si>
  <si>
    <t>Shizuoka</t>
  </si>
  <si>
    <t>Mitsubishi Aluminium Co.Ltd.</t>
  </si>
  <si>
    <t>Susono-chi</t>
  </si>
  <si>
    <t>Mitsubishi Aluminium</t>
  </si>
  <si>
    <t>Ohte Metal Co</t>
  </si>
  <si>
    <t>Takaoka</t>
  </si>
  <si>
    <t>Tateyama Alloys</t>
  </si>
  <si>
    <t>Tamana-gun</t>
  </si>
  <si>
    <t>Tostem Ariake</t>
  </si>
  <si>
    <t>Tochigi</t>
  </si>
  <si>
    <t>Kobe Steel (Aluminium &amp; Copper)</t>
  </si>
  <si>
    <t>Tochigi-ken</t>
  </si>
  <si>
    <t>Oyama furukawa Sky</t>
  </si>
  <si>
    <t>Toda City</t>
  </si>
  <si>
    <t>Inoue Light Metal Co.</t>
  </si>
  <si>
    <t>Koyama Light Metal Casting</t>
  </si>
  <si>
    <t>Toguramachi</t>
  </si>
  <si>
    <t>Tokyo</t>
  </si>
  <si>
    <t>Akao Aluminium Co. Ltd.</t>
  </si>
  <si>
    <t>Ida Light Metal Co.</t>
  </si>
  <si>
    <t>Miyano Light Metal Co</t>
  </si>
  <si>
    <t>Nippon Light Metal Co.</t>
  </si>
  <si>
    <t>Tottori</t>
  </si>
  <si>
    <t>Toyama-ken</t>
  </si>
  <si>
    <t>Toyama Alloy</t>
  </si>
  <si>
    <t>Toyohashi</t>
  </si>
  <si>
    <t>Toyo</t>
  </si>
  <si>
    <t>Ueno-shi</t>
  </si>
  <si>
    <t>Unimachi</t>
  </si>
  <si>
    <t>Kyushu Daiki Aluminium</t>
  </si>
  <si>
    <t>Utatsu-machi</t>
  </si>
  <si>
    <t>Utsunomiya City</t>
  </si>
  <si>
    <t>Aikoh Ltd</t>
  </si>
  <si>
    <t>Yao City</t>
  </si>
  <si>
    <t>Kyoei Aluminium Industry Co</t>
  </si>
  <si>
    <t>Naniwa Keikinzoku Co Ltd.</t>
  </si>
  <si>
    <t>Shoei Metal Industry</t>
  </si>
  <si>
    <t>Yatsushiro</t>
  </si>
  <si>
    <t>Yuki</t>
  </si>
  <si>
    <t>Jordan</t>
  </si>
  <si>
    <t>Amman</t>
  </si>
  <si>
    <t>Aboura Trading</t>
  </si>
  <si>
    <t>Arab Aluminium Industry</t>
  </si>
  <si>
    <t>Jordanian Metals Melting</t>
  </si>
  <si>
    <t>National Aluminium Factories</t>
  </si>
  <si>
    <t>Sharif Metals</t>
  </si>
  <si>
    <t>Kenya</t>
  </si>
  <si>
    <t>Kikuyu</t>
  </si>
  <si>
    <t>Aluminium Enterprises</t>
  </si>
  <si>
    <t>Crystal Industries Ltd</t>
  </si>
  <si>
    <t>Mombasa</t>
  </si>
  <si>
    <t>Kaluworks Ltd</t>
  </si>
  <si>
    <t>Narcol Aluminium Rolling</t>
  </si>
  <si>
    <t>Nairobi</t>
  </si>
  <si>
    <t>Aluminium Extruders Ltd</t>
  </si>
  <si>
    <t>Booth Manufacturing Ltd</t>
  </si>
  <si>
    <t>Nishat Export &amp; Import</t>
  </si>
  <si>
    <t>GZ Industries</t>
  </si>
  <si>
    <t>Thika</t>
  </si>
  <si>
    <t>Booth Manufacturing</t>
  </si>
  <si>
    <t>Kuwait</t>
  </si>
  <si>
    <t>Ahmadi</t>
  </si>
  <si>
    <t>Arabian Light Metals</t>
  </si>
  <si>
    <t>Safat</t>
  </si>
  <si>
    <t>Kuwait Aluminium Extrusions</t>
  </si>
  <si>
    <t>Kyrgyzstan</t>
  </si>
  <si>
    <t>Kirgiz Turkistan</t>
  </si>
  <si>
    <t>Frunze</t>
  </si>
  <si>
    <t>Riga</t>
  </si>
  <si>
    <t>Baltmetals</t>
  </si>
  <si>
    <t>Dilers Ltd</t>
  </si>
  <si>
    <t>Lebanon</t>
  </si>
  <si>
    <t>Jounieh</t>
  </si>
  <si>
    <t>Siden</t>
  </si>
  <si>
    <t>Lithuania</t>
  </si>
  <si>
    <t>Siauliu</t>
  </si>
  <si>
    <t>Siaulia Veiras</t>
  </si>
  <si>
    <t>Clervaux</t>
  </si>
  <si>
    <t>Dudelange</t>
  </si>
  <si>
    <t>Novelis Europe</t>
  </si>
  <si>
    <t>Eselborn</t>
  </si>
  <si>
    <t>Gottschol Alcuilux</t>
  </si>
  <si>
    <t>Malaysia</t>
  </si>
  <si>
    <t>Bangi</t>
  </si>
  <si>
    <t>Unophone Cables Sdn</t>
  </si>
  <si>
    <t>Beranang</t>
  </si>
  <si>
    <t>LB Aluminium Berhad</t>
  </si>
  <si>
    <t>Bukit Raja</t>
  </si>
  <si>
    <t>Aluminium Co of Malaysia (Alcom, sub Novelis)</t>
  </si>
  <si>
    <t>Hutan Melintang</t>
  </si>
  <si>
    <t>Central Aluminium Manufacturing</t>
  </si>
  <si>
    <t>Johore</t>
  </si>
  <si>
    <t>Selaco Aluminium Berhad</t>
  </si>
  <si>
    <t>SHOTIC Malaysia Sdn Bhd</t>
  </si>
  <si>
    <t>Johore Bahru</t>
  </si>
  <si>
    <t>Aluminium Industries Sdn</t>
  </si>
  <si>
    <t>Universal Cable</t>
  </si>
  <si>
    <t>Johore Darul</t>
  </si>
  <si>
    <t>Hydro Aluminium Al Sdn. Bhd.</t>
  </si>
  <si>
    <t>Klang</t>
  </si>
  <si>
    <t>Aluminium Co of Malaysia</t>
  </si>
  <si>
    <t>Amalgamated Aluminium</t>
  </si>
  <si>
    <t>Belogs Sdn Bhd</t>
  </si>
  <si>
    <t>Jannik Metal Works</t>
  </si>
  <si>
    <t>Kuala Lumpur</t>
  </si>
  <si>
    <t>Choong Fei Foundry</t>
  </si>
  <si>
    <t>Dai Hing Die Casting</t>
  </si>
  <si>
    <t>Fuji Extrusion Manufacturing Sdn. Bhd.</t>
  </si>
  <si>
    <t>Kamco Aluminium</t>
  </si>
  <si>
    <t>LB Aluminium Manufacture</t>
  </si>
  <si>
    <t>NCK Aluminium Extrusions</t>
  </si>
  <si>
    <t>Pony Metal Works</t>
  </si>
  <si>
    <t>Kuching</t>
  </si>
  <si>
    <t>Classic Emas Sdn. Bhd.</t>
  </si>
  <si>
    <t>Pasir Gudang</t>
  </si>
  <si>
    <t>Aluminium Industries</t>
  </si>
  <si>
    <t>Meiyer Aluminium</t>
  </si>
  <si>
    <t>Selaco Aluminium Bhd</t>
  </si>
  <si>
    <t>Shine Aluminium</t>
  </si>
  <si>
    <t>Teknikast Sdn</t>
  </si>
  <si>
    <t>Penang</t>
  </si>
  <si>
    <t>Fujisash (Malaysia) Sdn. Bhd.</t>
  </si>
  <si>
    <t>Metech Aluminium Industry Sdn. Bhd.</t>
  </si>
  <si>
    <t>Perak</t>
  </si>
  <si>
    <t>Central Aluminium Manufactory</t>
  </si>
  <si>
    <t>Petaling Jaya</t>
  </si>
  <si>
    <t>Prai</t>
  </si>
  <si>
    <t>Fujisash Malaysia</t>
  </si>
  <si>
    <t>Rawang</t>
  </si>
  <si>
    <t>Sumimetal Industries</t>
  </si>
  <si>
    <t>Samalaju</t>
  </si>
  <si>
    <t>Press Metal Aluminium</t>
  </si>
  <si>
    <t>Selangor</t>
  </si>
  <si>
    <t>Rio Tinto Alcan Nikkei Asahan</t>
  </si>
  <si>
    <t>Alumac Industries Sdn. Bhd.</t>
  </si>
  <si>
    <t>Aluminium Co. of Malaysia</t>
  </si>
  <si>
    <t>Beloga Sdn. Bhd.</t>
  </si>
  <si>
    <t>General Cables Malaysia</t>
  </si>
  <si>
    <t>Selangor Darul</t>
  </si>
  <si>
    <t>Shine Aluminium Sdn</t>
  </si>
  <si>
    <t>Sha Alam</t>
  </si>
  <si>
    <t>Power Cables Malaysia</t>
  </si>
  <si>
    <t>Sungai Besi</t>
  </si>
  <si>
    <t>See Seng Foundry</t>
  </si>
  <si>
    <t>Sungai Petani</t>
  </si>
  <si>
    <t>Armstrong Auto Parts</t>
  </si>
  <si>
    <t>Tanjung Langsat</t>
  </si>
  <si>
    <t>Ye Chui Metal Smelting</t>
  </si>
  <si>
    <t>Tarnar Maluri</t>
  </si>
  <si>
    <t>Milleon Metal Works</t>
  </si>
  <si>
    <t>Tarnar Pelangi</t>
  </si>
  <si>
    <t>Zurrieq</t>
  </si>
  <si>
    <t>Aluminium Extrusions Ltd.</t>
  </si>
  <si>
    <t>Mexico</t>
  </si>
  <si>
    <t>Aguascalientes</t>
  </si>
  <si>
    <t>Frasca Alloys</t>
  </si>
  <si>
    <t>Apizaco</t>
  </si>
  <si>
    <t>Varmoxz, SA de CV</t>
  </si>
  <si>
    <t>Apodaca</t>
  </si>
  <si>
    <t>Atizapan</t>
  </si>
  <si>
    <t>Romvel Aluminio S.A. de C.V.</t>
  </si>
  <si>
    <t>Azcapot Zalco</t>
  </si>
  <si>
    <t>Ekco SAB de CV</t>
  </si>
  <si>
    <t>Barrientos</t>
  </si>
  <si>
    <t>Rasa Aluminio</t>
  </si>
  <si>
    <t>Carretera</t>
  </si>
  <si>
    <t>Alloy Technologies Co S.</t>
  </si>
  <si>
    <t>Cartagena</t>
  </si>
  <si>
    <t>Aluminio y Zinc Industrial</t>
  </si>
  <si>
    <t>Chalco de Diaz Covarrubias</t>
  </si>
  <si>
    <t>Faeza</t>
  </si>
  <si>
    <t>Chihuahua</t>
  </si>
  <si>
    <t>Compass</t>
  </si>
  <si>
    <t>Cienaga de Flores</t>
  </si>
  <si>
    <t>Sapa H. E. Tubing LLC</t>
  </si>
  <si>
    <t>Coahuila</t>
  </si>
  <si>
    <t>Aleaciones y Metales Industriales de Saltillo SA</t>
  </si>
  <si>
    <t>Col America</t>
  </si>
  <si>
    <t>Aluminio Nuevo Leon</t>
  </si>
  <si>
    <t>Col Moctezuma</t>
  </si>
  <si>
    <t>Tubos de Estaño</t>
  </si>
  <si>
    <t>Col Roma</t>
  </si>
  <si>
    <t>General de Metales y Derivados</t>
  </si>
  <si>
    <t>Col Santa Cecilla</t>
  </si>
  <si>
    <t>Zinc-Alum., S.A. de C.V.</t>
  </si>
  <si>
    <t>Col Santa Clara</t>
  </si>
  <si>
    <t>Industria Santa Clara</t>
  </si>
  <si>
    <t>Col Santo Domingo</t>
  </si>
  <si>
    <t>Ekco S.A.</t>
  </si>
  <si>
    <t>Col Urdiales</t>
  </si>
  <si>
    <t>Exal S.A.</t>
  </si>
  <si>
    <t>Consunto Industrial</t>
  </si>
  <si>
    <t>Lasa</t>
  </si>
  <si>
    <t>Cuautitlan</t>
  </si>
  <si>
    <t>Industria Mexicana del Aluminio</t>
  </si>
  <si>
    <t>Edo de Mexico</t>
  </si>
  <si>
    <t>Aluminio Laminado SA</t>
  </si>
  <si>
    <t>Consorcio Industrial Valsa</t>
  </si>
  <si>
    <t>Cuprum SA de CV</t>
  </si>
  <si>
    <t>Fontera</t>
  </si>
  <si>
    <t>Aleris International, S. de R.L. de C.V.</t>
  </si>
  <si>
    <t>Garcia</t>
  </si>
  <si>
    <t>Guadalajara</t>
  </si>
  <si>
    <t>Aluminio Conesa</t>
  </si>
  <si>
    <t>Guadalupe</t>
  </si>
  <si>
    <t>Alumetles, S.A. de C.V.</t>
  </si>
  <si>
    <t>Aluminio Nuevo Leon SA</t>
  </si>
  <si>
    <t>Vesuvius Mexico</t>
  </si>
  <si>
    <t>Guanajuato</t>
  </si>
  <si>
    <t>Aluminicaste Fundicion de Mexico</t>
  </si>
  <si>
    <t>Ryobi Die Casting</t>
  </si>
  <si>
    <t>Huehuetoca</t>
  </si>
  <si>
    <t>Aleaciniones Finas, S.A. de C.V.</t>
  </si>
  <si>
    <t>Independe</t>
  </si>
  <si>
    <t>Estano y sus Derivados</t>
  </si>
  <si>
    <t>Leon</t>
  </si>
  <si>
    <t>Aleris International de R.L. de C.V.</t>
  </si>
  <si>
    <t>Nemak S.A.</t>
  </si>
  <si>
    <t>Vesuvius</t>
  </si>
  <si>
    <t>Matamoros</t>
  </si>
  <si>
    <t>Materiales Reciciables Para Exportation</t>
  </si>
  <si>
    <t>Aluminio y Derivados de Veracruz</t>
  </si>
  <si>
    <t>Aluminio S.A. de C.V.</t>
  </si>
  <si>
    <t>RR Abastecedores Industriales</t>
  </si>
  <si>
    <t>Monclova</t>
  </si>
  <si>
    <t>Aleris International</t>
  </si>
  <si>
    <t>Monterrey</t>
  </si>
  <si>
    <t>Accuride Corp.</t>
  </si>
  <si>
    <t>Alindsa S.A. de C.V.</t>
  </si>
  <si>
    <t>Aluminio Rod S.A.</t>
  </si>
  <si>
    <t>Cuprum S.A. de C.V.</t>
  </si>
  <si>
    <t>Hascor de Mexico</t>
  </si>
  <si>
    <t>Nuevo Laredo</t>
  </si>
  <si>
    <t>Harvey Industries LLC</t>
  </si>
  <si>
    <t>Nuevo Leon</t>
  </si>
  <si>
    <t>Indalum</t>
  </si>
  <si>
    <t>Parque Industrial Queretaro</t>
  </si>
  <si>
    <t>Puebla</t>
  </si>
  <si>
    <t>Ramos Arizpe</t>
  </si>
  <si>
    <t>Aleaciones y Metales Industriales</t>
  </si>
  <si>
    <t>Castech</t>
  </si>
  <si>
    <t>Reynosa</t>
  </si>
  <si>
    <t>Roma</t>
  </si>
  <si>
    <t>San Juan del Rio</t>
  </si>
  <si>
    <t>Grupo Condumex SA de CV</t>
  </si>
  <si>
    <t>San Juan Ixhua</t>
  </si>
  <si>
    <t>Alcomex</t>
  </si>
  <si>
    <t>San Nicolas Garza</t>
  </si>
  <si>
    <t>Aluminio y Aleaciones S.A. de C.V.</t>
  </si>
  <si>
    <t>Cuprum S.A.</t>
  </si>
  <si>
    <t>Insalum S.A.</t>
  </si>
  <si>
    <t>Metales Extruidos S.A.</t>
  </si>
  <si>
    <t>Mexsa</t>
  </si>
  <si>
    <t>Tijuana-Tecate</t>
  </si>
  <si>
    <t>Alloy Technologies</t>
  </si>
  <si>
    <t>Tizayuka</t>
  </si>
  <si>
    <t>S.A. de C.V.</t>
  </si>
  <si>
    <t>Tlalnepantla</t>
  </si>
  <si>
    <t>Zinc-Alum S.A.</t>
  </si>
  <si>
    <t>Tultitlan</t>
  </si>
  <si>
    <t>Aluminio Laminado S.A.</t>
  </si>
  <si>
    <t>Aluminio y Zinc Industrial S.A. de C.V.</t>
  </si>
  <si>
    <t>Estaño y Sus Derivados</t>
  </si>
  <si>
    <t>Tecnoalum, S.A. de C.V.</t>
  </si>
  <si>
    <t>Veracruz</t>
  </si>
  <si>
    <t>Almexa Aluminio S.A. de C.V.</t>
  </si>
  <si>
    <t>Aluminio y Christales Cuauhtemoc</t>
  </si>
  <si>
    <t>Aluminio y Vidrio S.A. de C.V.</t>
  </si>
  <si>
    <t>Christales de Aluminio, S.A.</t>
  </si>
  <si>
    <t>Tiendas Alutodo, S.A. de C.V.</t>
  </si>
  <si>
    <t>Kombinat Alumijuma Podgorica</t>
  </si>
  <si>
    <t>Morocco</t>
  </si>
  <si>
    <t>Aseela</t>
  </si>
  <si>
    <t>Spanish Industrial Group</t>
  </si>
  <si>
    <t>Casablanca</t>
  </si>
  <si>
    <t>Sté Africaine des Métaux</t>
  </si>
  <si>
    <t>Kenitra</t>
  </si>
  <si>
    <t>Citic Dicastal</t>
  </si>
  <si>
    <t>Klesch &amp; Co. Ltd.</t>
  </si>
  <si>
    <t>F.H.S.</t>
  </si>
  <si>
    <t>Drunen</t>
  </si>
  <si>
    <t>Sapa Extrusions</t>
  </si>
  <si>
    <t>Hardenberg</t>
  </si>
  <si>
    <t>Reukema Blocq &amp; Maneschijn</t>
  </si>
  <si>
    <t>Heijen</t>
  </si>
  <si>
    <t>Kerkrade</t>
  </si>
  <si>
    <t>Oss</t>
  </si>
  <si>
    <t>Roermond</t>
  </si>
  <si>
    <t>Nedal Aluminium (Purso Group Oy)</t>
  </si>
  <si>
    <t>Vlissingen</t>
  </si>
  <si>
    <t>New Zealand</t>
  </si>
  <si>
    <t>Avondale</t>
  </si>
  <si>
    <t>Glucina Smelters</t>
  </si>
  <si>
    <t>Glenfield</t>
  </si>
  <si>
    <t>Mascot Die Caster</t>
  </si>
  <si>
    <t>Manukau</t>
  </si>
  <si>
    <t>Capral Aluminium</t>
  </si>
  <si>
    <t>Mt. Roskil</t>
  </si>
  <si>
    <t>Cheviot Pacific</t>
  </si>
  <si>
    <t>Mt. Wellington</t>
  </si>
  <si>
    <t>Fletcher Aluminium Ltd.</t>
  </si>
  <si>
    <t>New Plymouth</t>
  </si>
  <si>
    <t>MCK Metals Pacific Ltd.</t>
  </si>
  <si>
    <t>Otahuhu</t>
  </si>
  <si>
    <t>Ullrich Aluminium</t>
  </si>
  <si>
    <t>Panmure</t>
  </si>
  <si>
    <t>Masport Ltd</t>
  </si>
  <si>
    <t>Penrose</t>
  </si>
  <si>
    <t>Haysom Metal</t>
  </si>
  <si>
    <t>Waharoa</t>
  </si>
  <si>
    <t>Resource Refineries</t>
  </si>
  <si>
    <t>Nicaragua</t>
  </si>
  <si>
    <t>Managua</t>
  </si>
  <si>
    <t>Nicaraguese de Al</t>
  </si>
  <si>
    <t>Nigeria</t>
  </si>
  <si>
    <t>Ikeja</t>
  </si>
  <si>
    <t>Nigerian Aluminium Extrus.</t>
  </si>
  <si>
    <t>Lagos</t>
  </si>
  <si>
    <t>Tower Aluminium (Nig.) Ltd</t>
  </si>
  <si>
    <t>Aardal</t>
  </si>
  <si>
    <t>Eidsvaag</t>
  </si>
  <si>
    <t>Aluvest SA</t>
  </si>
  <si>
    <t>Eina</t>
  </si>
  <si>
    <t>Metallco A/S</t>
  </si>
  <si>
    <t>Farsund</t>
  </si>
  <si>
    <t>Chassix Norway AS</t>
  </si>
  <si>
    <t>Holmestrand</t>
  </si>
  <si>
    <t>Høyanger</t>
  </si>
  <si>
    <t>Husnes</t>
  </si>
  <si>
    <t>Søral</t>
  </si>
  <si>
    <t>Karmøy</t>
  </si>
  <si>
    <t>Karmsund</t>
  </si>
  <si>
    <t>Ranalum AS</t>
  </si>
  <si>
    <t>Mosjoen</t>
  </si>
  <si>
    <t>Mosjoen Metall AS</t>
  </si>
  <si>
    <t>Alcoa Norway</t>
  </si>
  <si>
    <t>Nesset</t>
  </si>
  <si>
    <t>Aleris Recycling</t>
  </si>
  <si>
    <t>Raufoss</t>
  </si>
  <si>
    <t>Hydro Aluminium Profiler</t>
  </si>
  <si>
    <t>Rjukan</t>
  </si>
  <si>
    <t>Hydelco</t>
  </si>
  <si>
    <t>Romsdal</t>
  </si>
  <si>
    <t>Alumox AS (Aleris Recycling)</t>
  </si>
  <si>
    <t>Stabekk</t>
  </si>
  <si>
    <t>Hydro Automotive Structures AS</t>
  </si>
  <si>
    <t>Sunndalsöra</t>
  </si>
  <si>
    <t>Oman</t>
  </si>
  <si>
    <t>Sohar</t>
  </si>
  <si>
    <t>SAG Sohar L.L.C.</t>
  </si>
  <si>
    <t>30.000-40.000</t>
  </si>
  <si>
    <t>Oman Aluminium Processing Industries (OAPIL)</t>
  </si>
  <si>
    <t>Pakistan</t>
  </si>
  <si>
    <t>Gujranwala</t>
  </si>
  <si>
    <t>Canon Metal Works</t>
  </si>
  <si>
    <t>H. Ghulam Qadir &amp; Sons</t>
  </si>
  <si>
    <t>M. Siraj Din Mohammed Shafi</t>
  </si>
  <si>
    <t>Punjab Metal Works</t>
  </si>
  <si>
    <t>Karachi</t>
  </si>
  <si>
    <t>Alcop</t>
  </si>
  <si>
    <t>Japan Metal Industries</t>
  </si>
  <si>
    <t>Khan Aluminium Industries</t>
  </si>
  <si>
    <t>Kruddson Pvt Ltd</t>
  </si>
  <si>
    <t>Lucky Industries</t>
  </si>
  <si>
    <t>Noor Aluminium Co.</t>
  </si>
  <si>
    <t>Pakistan Cables Ltd.</t>
  </si>
  <si>
    <t>Pakistan Metal Industries</t>
  </si>
  <si>
    <t>S. Mohammed &amp; Co</t>
  </si>
  <si>
    <t>Standard Aluminium</t>
  </si>
  <si>
    <t>Lahore</t>
  </si>
  <si>
    <t>Alpha Aluminium Co</t>
  </si>
  <si>
    <t>Chauhan Industries</t>
  </si>
  <si>
    <t>Chawla Chemical &amp; Metal Industries</t>
  </si>
  <si>
    <t>China Industries</t>
  </si>
  <si>
    <t>Craft Aluminium</t>
  </si>
  <si>
    <t>Khuram Industry</t>
  </si>
  <si>
    <t>Pakistan Alco Products</t>
  </si>
  <si>
    <t>Shaheen Industries</t>
  </si>
  <si>
    <t>Peshawar</t>
  </si>
  <si>
    <t>Sana Aluminium Industries</t>
  </si>
  <si>
    <t>Sahiwal</t>
  </si>
  <si>
    <t>Hyder Industries</t>
  </si>
  <si>
    <t>Jilani Industries</t>
  </si>
  <si>
    <t>Peru</t>
  </si>
  <si>
    <t>Callao</t>
  </si>
  <si>
    <t>Zinc Industrias Nacionales SA</t>
  </si>
  <si>
    <t>Lima</t>
  </si>
  <si>
    <t>Corporacion Furukawa</t>
  </si>
  <si>
    <t>Fabbrica de Alluminio y Met</t>
  </si>
  <si>
    <t>Metales Industriales del P.</t>
  </si>
  <si>
    <t>Philippines</t>
  </si>
  <si>
    <t>Binondo</t>
  </si>
  <si>
    <t>Santa Maria Co</t>
  </si>
  <si>
    <t>Cavite</t>
  </si>
  <si>
    <t>Mandaluyong</t>
  </si>
  <si>
    <t>D’Airplane Aluminium Works</t>
  </si>
  <si>
    <t>Marikina</t>
  </si>
  <si>
    <t>Paramount Aluminium</t>
  </si>
  <si>
    <t>Metro Manila</t>
  </si>
  <si>
    <t>A &amp; J Aluminium Co.</t>
  </si>
  <si>
    <t>Alcophil Metal Inc.</t>
  </si>
  <si>
    <t>Atlanta Aluminium Co.</t>
  </si>
  <si>
    <t>Currimao Aluminium Corp.</t>
  </si>
  <si>
    <t>Gammon Metal Industries</t>
  </si>
  <si>
    <t>Hilton Manufacturing Co.</t>
  </si>
  <si>
    <t>Paramount Aluminium Corp.</t>
  </si>
  <si>
    <t>Western Pacific Aluminium Corp.</t>
  </si>
  <si>
    <t>Pasig</t>
  </si>
  <si>
    <t>Hooven Industries</t>
  </si>
  <si>
    <t>Velfox Manufacturing</t>
  </si>
  <si>
    <t>Quezon City</t>
  </si>
  <si>
    <t>United Aluminium Factory</t>
  </si>
  <si>
    <t>Calco Industries Inc.</t>
  </si>
  <si>
    <t>Aluminium Group International</t>
  </si>
  <si>
    <t>Rizal</t>
  </si>
  <si>
    <t>Hoover Philippines Inc.</t>
  </si>
  <si>
    <t>San Francisco</t>
  </si>
  <si>
    <t>Ajax Aluminium</t>
  </si>
  <si>
    <t>Hilton Manufacturing</t>
  </si>
  <si>
    <t>Taguig</t>
  </si>
  <si>
    <t>Reynolds Philippines Corp.</t>
  </si>
  <si>
    <t>Valenzuela</t>
  </si>
  <si>
    <t>Aluex Corp</t>
  </si>
  <si>
    <t>Gamma Metal Industries</t>
  </si>
  <si>
    <t>Bestwinka</t>
  </si>
  <si>
    <t>Nicromet</t>
  </si>
  <si>
    <t>Bogumilow</t>
  </si>
  <si>
    <t>Eurometal S.A.</t>
  </si>
  <si>
    <t>Czechowice</t>
  </si>
  <si>
    <t>Walcownie Metali Dziedzice</t>
  </si>
  <si>
    <t>Czestochowa</t>
  </si>
  <si>
    <t>Eko Swiat Group</t>
  </si>
  <si>
    <t>Gorzyce</t>
  </si>
  <si>
    <t>Katowice</t>
  </si>
  <si>
    <t>Huta Bedzin</t>
  </si>
  <si>
    <t>Kety</t>
  </si>
  <si>
    <t>Grupa Kety SA</t>
  </si>
  <si>
    <t>Zaklady Metali Lekkich</t>
  </si>
  <si>
    <t>Klomnice</t>
  </si>
  <si>
    <t>Konin</t>
  </si>
  <si>
    <t>Aluminium Konin (Impexmetal)</t>
  </si>
  <si>
    <t>Krakow</t>
  </si>
  <si>
    <t>Befesa Alluminio</t>
  </si>
  <si>
    <t>Nova Sol</t>
  </si>
  <si>
    <t>alu-druckguss</t>
  </si>
  <si>
    <t>Oswiecim</t>
  </si>
  <si>
    <t>Rzeszow</t>
  </si>
  <si>
    <t>Eko-Swiat Group</t>
  </si>
  <si>
    <t>Skawina</t>
  </si>
  <si>
    <t>Impexmetal</t>
  </si>
  <si>
    <t>Kolmet</t>
  </si>
  <si>
    <t>Eurometal SA</t>
  </si>
  <si>
    <t>Walbrzych</t>
  </si>
  <si>
    <t>Poland Smelting Technology</t>
  </si>
  <si>
    <t>W_adys_awów</t>
  </si>
  <si>
    <t>Konger Recykling Polska Sp. z. O o.</t>
  </si>
  <si>
    <t>Avintes</t>
  </si>
  <si>
    <t>SAPA Portugal Extrusao</t>
  </si>
  <si>
    <t>Braga</t>
  </si>
  <si>
    <t>Alpor-Empresa Produtora</t>
  </si>
  <si>
    <t>Aluminios Navarra</t>
  </si>
  <si>
    <t>Cacem</t>
  </si>
  <si>
    <t>Bavaria Industriekapital AG Portalex</t>
  </si>
  <si>
    <t>Leca do Balio</t>
  </si>
  <si>
    <t>Stade Metalurgica Antonio Fonseca</t>
  </si>
  <si>
    <t>Lourosa</t>
  </si>
  <si>
    <t>Alberto da Silva Barbosa</t>
  </si>
  <si>
    <t>Alberto da Silva Barbos</t>
  </si>
  <si>
    <t>Povoa de Varzim</t>
  </si>
  <si>
    <t>Quintas &amp; Quintas</t>
  </si>
  <si>
    <t>S. Mamade de Infesta</t>
  </si>
  <si>
    <t>Arad</t>
  </si>
  <si>
    <t>HammererAluminium Industries (HAI)</t>
  </si>
  <si>
    <t>Baia Mare/Dumbravita</t>
  </si>
  <si>
    <t>Montana Tech Components</t>
  </si>
  <si>
    <t>Bucharest</t>
  </si>
  <si>
    <t>SAC Neferal</t>
  </si>
  <si>
    <t>Chisneu-Cris</t>
  </si>
  <si>
    <t>Hammerer Aluminium Industries (HAI)</t>
  </si>
  <si>
    <t>Craiova</t>
  </si>
  <si>
    <t>Altur SA</t>
  </si>
  <si>
    <t>Santana</t>
  </si>
  <si>
    <t>Vimetco (Alro)</t>
  </si>
  <si>
    <t>Honsel AG</t>
  </si>
  <si>
    <t>Russia</t>
  </si>
  <si>
    <t>Belaya Kalitva</t>
  </si>
  <si>
    <t>Belis</t>
  </si>
  <si>
    <t>Chakassia</t>
  </si>
  <si>
    <t>Khakass Aluminium Works</t>
  </si>
  <si>
    <t>Chelyabinsk</t>
  </si>
  <si>
    <t>Chelyabvtortsvetmet</t>
  </si>
  <si>
    <t>Chkalovsk</t>
  </si>
  <si>
    <t>Kamensk-Uralsky Metallurgical Works (KUMZ)</t>
  </si>
  <si>
    <t>Ekaterinburg</t>
  </si>
  <si>
    <t>Slinmet</t>
  </si>
  <si>
    <t>Kalitva</t>
  </si>
  <si>
    <t>Alcoa Belaya Kalitva</t>
  </si>
  <si>
    <t>Lvovsky</t>
  </si>
  <si>
    <t>Podolsk Non-Ferrous Metals</t>
  </si>
  <si>
    <t>Maloyaroslavets</t>
  </si>
  <si>
    <t>Agrisovgaz Ltd.</t>
  </si>
  <si>
    <t>Moscow</t>
  </si>
  <si>
    <t>Aviavtorresurs</t>
  </si>
  <si>
    <t>PK Vtoraluminprodukt</t>
  </si>
  <si>
    <t>Moscow Vidnoe</t>
  </si>
  <si>
    <t>Rusal Mosmek</t>
  </si>
  <si>
    <t>Mtsensk</t>
  </si>
  <si>
    <t>Oryol Metals</t>
  </si>
  <si>
    <t>Novo-Kosino</t>
  </si>
  <si>
    <t>Vtormet</t>
  </si>
  <si>
    <t>Novosibirsk</t>
  </si>
  <si>
    <t>Sibelcom-Metall</t>
  </si>
  <si>
    <t>Obninsk</t>
  </si>
  <si>
    <t>Realit</t>
  </si>
  <si>
    <t>Oktyabrsky</t>
  </si>
  <si>
    <t>Remetall-C</t>
  </si>
  <si>
    <t>Perm</t>
  </si>
  <si>
    <t>Permtsvetmet</t>
  </si>
  <si>
    <t>Podolsk</t>
  </si>
  <si>
    <t>VMS Plant</t>
  </si>
  <si>
    <t>Polevskoj</t>
  </si>
  <si>
    <t>Precise Alloys Plant</t>
  </si>
  <si>
    <t>Samara</t>
  </si>
  <si>
    <t>Alcoa Samara</t>
  </si>
  <si>
    <t>Resal</t>
  </si>
  <si>
    <t>Tsvetmetobrabotka</t>
  </si>
  <si>
    <t>Saransk</t>
  </si>
  <si>
    <t>Mordowtorsyrjo</t>
  </si>
  <si>
    <t>St. Petersburg</t>
  </si>
  <si>
    <t>Krasny Viborzhets</t>
  </si>
  <si>
    <t>Sverdlovsk</t>
  </si>
  <si>
    <t>Sulkhoy Log Secondary</t>
  </si>
  <si>
    <t>Varonezh</t>
  </si>
  <si>
    <t>VZAK</t>
  </si>
  <si>
    <t>Volgograd</t>
  </si>
  <si>
    <t>Volgograd Aluminium Smelter</t>
  </si>
  <si>
    <t>Volkhov</t>
  </si>
  <si>
    <t>Volkhov Aluminium Smelter</t>
  </si>
  <si>
    <t>Voskresensk</t>
  </si>
  <si>
    <t>Advintra Trading Ltd.</t>
  </si>
  <si>
    <t>Mosoblprommontazh</t>
  </si>
  <si>
    <t>Saudi Arabia</t>
  </si>
  <si>
    <t>Damman</t>
  </si>
  <si>
    <t>Aluminium Products Co. Ltd.</t>
  </si>
  <si>
    <t>Jeddah</t>
  </si>
  <si>
    <t>Al Haramain Co</t>
  </si>
  <si>
    <t>Alupco</t>
  </si>
  <si>
    <t>Sarco (Saudi Aluminium Recycling)</t>
  </si>
  <si>
    <t>Saudi Cable Co</t>
  </si>
  <si>
    <t>Raz Az Khair</t>
  </si>
  <si>
    <t>Ma’aden Aluminium</t>
  </si>
  <si>
    <t>Riyadh</t>
  </si>
  <si>
    <t>Al Taiseer Aluminium Factory</t>
  </si>
  <si>
    <t>Saudi Aluminium Extrusions</t>
  </si>
  <si>
    <t>Tuzla</t>
  </si>
  <si>
    <t>Assan Demir</t>
  </si>
  <si>
    <t>Nis</t>
  </si>
  <si>
    <t>Nissal</t>
  </si>
  <si>
    <t>Sevojno</t>
  </si>
  <si>
    <t>Impol-Seval</t>
  </si>
  <si>
    <t>Sremska Mitrovica</t>
  </si>
  <si>
    <t>Industricum d.o.o.</t>
  </si>
  <si>
    <t>Tresnjica</t>
  </si>
  <si>
    <t>Seval</t>
  </si>
  <si>
    <t>Singapore</t>
  </si>
  <si>
    <t>Jurong</t>
  </si>
  <si>
    <t>AEI Corporation Ltd.</t>
  </si>
  <si>
    <t>Asia Metals</t>
  </si>
  <si>
    <t>Jones Enterprise</t>
  </si>
  <si>
    <t>Chuan Eng Leong</t>
  </si>
  <si>
    <t>JTS Engineering</t>
  </si>
  <si>
    <t>NGL Pte Ltd</t>
  </si>
  <si>
    <t>Peerless Engineering</t>
  </si>
  <si>
    <t>Pioneer Die-Casting</t>
  </si>
  <si>
    <t>Swanmet Engineering</t>
  </si>
  <si>
    <t>United Sigma Metal</t>
  </si>
  <si>
    <t>Wearnes Precision</t>
  </si>
  <si>
    <t>Black &amp; Decker</t>
  </si>
  <si>
    <t>Chi Tat Metal</t>
  </si>
  <si>
    <t>Dynacast</t>
  </si>
  <si>
    <t>Kinertech Pte Ltd</t>
  </si>
  <si>
    <t>Tool Products</t>
  </si>
  <si>
    <t>Unicast Engineering</t>
  </si>
  <si>
    <t>Uraco Die Casting</t>
  </si>
  <si>
    <t>Yau Tat Casting</t>
  </si>
  <si>
    <t>Spisske Vlachy</t>
  </si>
  <si>
    <t>Alcupro as</t>
  </si>
  <si>
    <t>Slovalco</t>
  </si>
  <si>
    <t>Jesenic</t>
  </si>
  <si>
    <t>Hidria Rotomatika d.o.o.</t>
  </si>
  <si>
    <t>Talum d.d.</t>
  </si>
  <si>
    <t>Koper</t>
  </si>
  <si>
    <t>Slovenska Bistrica</t>
  </si>
  <si>
    <t>Impol d.o.o Aluminium Industry</t>
  </si>
  <si>
    <t>South Africa</t>
  </si>
  <si>
    <t>Alberton</t>
  </si>
  <si>
    <t>Wispaco (Pty) Ltd</t>
  </si>
  <si>
    <t>Anderbolt</t>
  </si>
  <si>
    <t>Aluminium Granulated</t>
  </si>
  <si>
    <t>Befordview</t>
  </si>
  <si>
    <t>Bell Metals</t>
  </si>
  <si>
    <t>Benoni South</t>
  </si>
  <si>
    <t>Zimco Aluminium Co. Pty. Ltd.</t>
  </si>
  <si>
    <t>Cato Ridge</t>
  </si>
  <si>
    <t>Goswell Developments</t>
  </si>
  <si>
    <t>Dunswart</t>
  </si>
  <si>
    <t>Future Alloys (Pty) Ltd</t>
  </si>
  <si>
    <t>Durban</t>
  </si>
  <si>
    <t>Non-Ferrous Metals</t>
  </si>
  <si>
    <t>Eppindust</t>
  </si>
  <si>
    <t>Metlite Alloys (Pty) Ltd</t>
  </si>
  <si>
    <t>Gauteng</t>
  </si>
  <si>
    <t>Zimalco</t>
  </si>
  <si>
    <t>Kwazulu/Natal</t>
  </si>
  <si>
    <t>Goswell Development</t>
  </si>
  <si>
    <t>Olifantsfontein</t>
  </si>
  <si>
    <t>Hulett Aluminium</t>
  </si>
  <si>
    <t>Parow</t>
  </si>
  <si>
    <t>Metlite Alloys</t>
  </si>
  <si>
    <t>Pietermaritzburg</t>
  </si>
  <si>
    <t>Selcourt</t>
  </si>
  <si>
    <t>Windsor Metals</t>
  </si>
  <si>
    <t>Western Cape</t>
  </si>
  <si>
    <t>Hulamin Aluminium</t>
  </si>
  <si>
    <t>South Korea</t>
  </si>
  <si>
    <t>Ansan</t>
  </si>
  <si>
    <t>Han Il Metal</t>
  </si>
  <si>
    <t>Han Young Aluminium</t>
  </si>
  <si>
    <t>Il Jin Corp</t>
  </si>
  <si>
    <t>Kyung Il Metal Industry</t>
  </si>
  <si>
    <t>Sam Bo Metal</t>
  </si>
  <si>
    <t>San Dong Metal</t>
  </si>
  <si>
    <t>Shin Yang Metal</t>
  </si>
  <si>
    <t>Sung Hoon Light Metal Ltd.</t>
  </si>
  <si>
    <t>Bongdam-myun</t>
  </si>
  <si>
    <t>Poong Han Aluminium</t>
  </si>
  <si>
    <t>Seoul Light Metals</t>
  </si>
  <si>
    <t>Buchon</t>
  </si>
  <si>
    <t>Woo Il Industrial</t>
  </si>
  <si>
    <t>Woo Yang Metal</t>
  </si>
  <si>
    <t>Buk-ku</t>
  </si>
  <si>
    <t>Able Corp</t>
  </si>
  <si>
    <t>Dong Kyung Industrial</t>
  </si>
  <si>
    <t>Dong Nam Aluminium</t>
  </si>
  <si>
    <t>Kang Il Industrial</t>
  </si>
  <si>
    <t>Nam Sun Aluminium Co. Ltd.</t>
  </si>
  <si>
    <t>Sam Bo Industrial</t>
  </si>
  <si>
    <t>Sam Kwang Light</t>
  </si>
  <si>
    <t>Sam Sung Aluminium</t>
  </si>
  <si>
    <t>Sam Woo Industrial</t>
  </si>
  <si>
    <t>Se Jin Enterprise</t>
  </si>
  <si>
    <t>Seoul Light Metal</t>
  </si>
  <si>
    <t>Sun General Metal</t>
  </si>
  <si>
    <t>Shin Heung Industrial</t>
  </si>
  <si>
    <t>Shin Kwang Industrial</t>
  </si>
  <si>
    <t>Sun Hak Aluminium</t>
  </si>
  <si>
    <t>Sun Il General Metal</t>
  </si>
  <si>
    <t>Woo Shin Metal</t>
  </si>
  <si>
    <t>Changwon</t>
  </si>
  <si>
    <t>Kyung Nam Metal</t>
  </si>
  <si>
    <t>Sam Sun Industrial</t>
  </si>
  <si>
    <t>Choog-ku</t>
  </si>
  <si>
    <t>Seoul Aluminium</t>
  </si>
  <si>
    <t>Chunchon</t>
  </si>
  <si>
    <t>Chung San Metal</t>
  </si>
  <si>
    <t>Chung-ku</t>
  </si>
  <si>
    <t>Dong Yang Hardwear</t>
  </si>
  <si>
    <t>Kyung Jin Aluminium</t>
  </si>
  <si>
    <t>Novelis Korea</t>
  </si>
  <si>
    <t>Shin Industries</t>
  </si>
  <si>
    <t>Tai Han Electric</t>
  </si>
  <si>
    <t>Daeduk-ku</t>
  </si>
  <si>
    <t>Dong Yang Steel</t>
  </si>
  <si>
    <t>Dalseo-gu</t>
  </si>
  <si>
    <t>Kyung Hee aluminium Co. Ltd.</t>
  </si>
  <si>
    <t>Dalseo-ku</t>
  </si>
  <si>
    <t>Dae A. Aluminium Co. Ltd.</t>
  </si>
  <si>
    <t>Dae Young Light Metals</t>
  </si>
  <si>
    <t>Victory Industrial</t>
  </si>
  <si>
    <t>Dalsung-gun</t>
  </si>
  <si>
    <t>Dong Hwa Co</t>
  </si>
  <si>
    <t>Kwang Sung Aluminium</t>
  </si>
  <si>
    <t>Dong-ku</t>
  </si>
  <si>
    <t>Deog Sin Metal</t>
  </si>
  <si>
    <t>Dong Yang Metal Co.</t>
  </si>
  <si>
    <t>Sae Kwang Metal</t>
  </si>
  <si>
    <t>Tae Kwang Metal</t>
  </si>
  <si>
    <t>Goang</t>
  </si>
  <si>
    <t>Dong Ki Aluminium</t>
  </si>
  <si>
    <t>Guro-ku</t>
  </si>
  <si>
    <t>Haman-gun</t>
  </si>
  <si>
    <t>Kum Yang Aluminium</t>
  </si>
  <si>
    <t>Hwaseong-gun</t>
  </si>
  <si>
    <t>Yo Chin Aluminium Co. Ltd.</t>
  </si>
  <si>
    <t>Hwasung-gun</t>
  </si>
  <si>
    <t>Jai Ki Co</t>
  </si>
  <si>
    <t>Jinlyang</t>
  </si>
  <si>
    <t>Choil Aluminium</t>
  </si>
  <si>
    <t>Kimpo-gun</t>
  </si>
  <si>
    <t>Dae Heung Aluminium</t>
  </si>
  <si>
    <t>Kongdan Seo-ku</t>
  </si>
  <si>
    <t>Shilla Metal</t>
  </si>
  <si>
    <t>Koyang-gun</t>
  </si>
  <si>
    <t>Sang Kyo Metal</t>
  </si>
  <si>
    <t>Kyungsang-gun</t>
  </si>
  <si>
    <t>Dae Young Metal</t>
  </si>
  <si>
    <t>Masan</t>
  </si>
  <si>
    <t>Dae Soung Metal</t>
  </si>
  <si>
    <t>Namdong-gu</t>
  </si>
  <si>
    <t>Dae Heung Metal Co. Ltd.</t>
  </si>
  <si>
    <t>Hy Yang Industrial</t>
  </si>
  <si>
    <t>Seoul Metal Co.</t>
  </si>
  <si>
    <t>Namyangjiu</t>
  </si>
  <si>
    <t>Sae Jin Metal</t>
  </si>
  <si>
    <t>Namyangju</t>
  </si>
  <si>
    <t>Nongong-myum</t>
  </si>
  <si>
    <t>Nan Sun Aluminium</t>
  </si>
  <si>
    <t>Seo Ho Co</t>
  </si>
  <si>
    <t>Onsan-myun</t>
  </si>
  <si>
    <t>Hyosung Metals</t>
  </si>
  <si>
    <t>Pusan</t>
  </si>
  <si>
    <t>Dong Kyung Metals</t>
  </si>
  <si>
    <t>Dong Nam Aluminium Ltd.</t>
  </si>
  <si>
    <t>Woo Shin Aluminium Co. Ltd.</t>
  </si>
  <si>
    <t>Saha-ku</t>
  </si>
  <si>
    <t>Dae Young Industrial</t>
  </si>
  <si>
    <t>Dong Il Metal</t>
  </si>
  <si>
    <t>Seo-ku</t>
  </si>
  <si>
    <t>A Seung Industrial Co</t>
  </si>
  <si>
    <t>Seoul</t>
  </si>
  <si>
    <t>Hannam Metals</t>
  </si>
  <si>
    <t>LC Cable Co</t>
  </si>
  <si>
    <t>Sindang-dong</t>
  </si>
  <si>
    <t>Kyung Hee Industrial</t>
  </si>
  <si>
    <t>Solae-eup</t>
  </si>
  <si>
    <t>Lee Won Metal</t>
  </si>
  <si>
    <t>Soosung-ku</t>
  </si>
  <si>
    <t>Choil Aluminium Manufacture</t>
  </si>
  <si>
    <t>Ulchu-ku</t>
  </si>
  <si>
    <t>Korgo Industrial Development Co. Ltd.</t>
  </si>
  <si>
    <t>Ulsan</t>
  </si>
  <si>
    <t>Novelis Korea Ltd.</t>
  </si>
  <si>
    <t>A Jin Metal</t>
  </si>
  <si>
    <t>Hyundai Aluminium</t>
  </si>
  <si>
    <t>Watak-eup</t>
  </si>
  <si>
    <t>Dong Jin Metal</t>
  </si>
  <si>
    <t>Yangsan-gun</t>
  </si>
  <si>
    <t>Young Poong Light Metals</t>
  </si>
  <si>
    <t>Yeongju</t>
  </si>
  <si>
    <t>Youngdeungpo</t>
  </si>
  <si>
    <t>Gold Star Cable</t>
  </si>
  <si>
    <t>Afueras</t>
  </si>
  <si>
    <t>Aluminio Sala</t>
  </si>
  <si>
    <t>Alcala de Guadaira</t>
  </si>
  <si>
    <t>Extrugal S.A.</t>
  </si>
  <si>
    <t>Alicante</t>
  </si>
  <si>
    <t>Aludium</t>
  </si>
  <si>
    <t>Alsasua</t>
  </si>
  <si>
    <t>Galdan (Befesa Aluminium)</t>
  </si>
  <si>
    <t>Amorebieta</t>
  </si>
  <si>
    <t>Aleastur</t>
  </si>
  <si>
    <t>Azuqueca de Henares</t>
  </si>
  <si>
    <t>Barcelona</t>
  </si>
  <si>
    <t>Aluminsa</t>
  </si>
  <si>
    <t>Befesa Aluminium (Triton Partners)</t>
  </si>
  <si>
    <t>EuroProfil Aluminio SA</t>
  </si>
  <si>
    <t>Hidroaluminio La Roca</t>
  </si>
  <si>
    <t>Ruffini SA</t>
  </si>
  <si>
    <t>Manzoni</t>
  </si>
  <si>
    <t>Bilbao</t>
  </si>
  <si>
    <t>Befesa Aluminio Bilbao SL (Triton Partners)</t>
  </si>
  <si>
    <t>Remetal</t>
  </si>
  <si>
    <t>Biscay</t>
  </si>
  <si>
    <t>Canovellas</t>
  </si>
  <si>
    <t>Funalter</t>
  </si>
  <si>
    <t>Cheste</t>
  </si>
  <si>
    <t>Fuvalsa</t>
  </si>
  <si>
    <t>El Robledo</t>
  </si>
  <si>
    <t>Alucofer Internacional SL</t>
  </si>
  <si>
    <t>Erandio</t>
  </si>
  <si>
    <t>Fuenlabrada</t>
  </si>
  <si>
    <t>Redisa</t>
  </si>
  <si>
    <t>Metalquex S.L.</t>
  </si>
  <si>
    <t>Refineria Diaz SA</t>
  </si>
  <si>
    <t>Fuenlabrada (Madrid)</t>
  </si>
  <si>
    <t>Aluminio La Estrella</t>
  </si>
  <si>
    <t>Galdan</t>
  </si>
  <si>
    <t>Gijon</t>
  </si>
  <si>
    <t>Eurosigma</t>
  </si>
  <si>
    <t>Gojain</t>
  </si>
  <si>
    <t>Fundial</t>
  </si>
  <si>
    <t>Granollers</t>
  </si>
  <si>
    <t>Alcasa Aluminio Catalan</t>
  </si>
  <si>
    <t>Irurzun</t>
  </si>
  <si>
    <t>Manufacturas Irular</t>
  </si>
  <si>
    <t>Sapa Perfiles</t>
  </si>
  <si>
    <t>La Coruna</t>
  </si>
  <si>
    <t>Alcoa Inespal S.A.</t>
  </si>
  <si>
    <t>Aluminios Cortizo S.A.</t>
  </si>
  <si>
    <t>Exlabesa SA</t>
  </si>
  <si>
    <t>Legutiano</t>
  </si>
  <si>
    <t>Fundial SLU</t>
  </si>
  <si>
    <t>Les Frasques</t>
  </si>
  <si>
    <t>Alluminio Catalan</t>
  </si>
  <si>
    <t>ES</t>
  </si>
  <si>
    <t>Lledia</t>
  </si>
  <si>
    <t>Navarra</t>
  </si>
  <si>
    <t>Padron</t>
  </si>
  <si>
    <t>Palau de Plegamans</t>
  </si>
  <si>
    <t>Trefal S.A.</t>
  </si>
  <si>
    <t>Ripollet</t>
  </si>
  <si>
    <t>Aluminio Ferlo S.A.</t>
  </si>
  <si>
    <t>Seville</t>
  </si>
  <si>
    <t>Exprogal SA</t>
  </si>
  <si>
    <t>Sondika</t>
  </si>
  <si>
    <t>Refinerias Sangroniz SL</t>
  </si>
  <si>
    <t>Sotiello</t>
  </si>
  <si>
    <t>Alusigma SA</t>
  </si>
  <si>
    <t>Tremanes</t>
  </si>
  <si>
    <t>Fundiastur SA</t>
  </si>
  <si>
    <t>Usurbil</t>
  </si>
  <si>
    <t>Jose Maria Ucin SA</t>
  </si>
  <si>
    <t>Valencia</t>
  </si>
  <si>
    <t>Cia Valenciana de Aluminio Baux</t>
  </si>
  <si>
    <t>Valladolid</t>
  </si>
  <si>
    <t>Refinalsa</t>
  </si>
  <si>
    <t>Befesa Alluminio Valladolid (Triton Partners)</t>
  </si>
  <si>
    <t>Villadangos</t>
  </si>
  <si>
    <t>Latem Aluminium</t>
  </si>
  <si>
    <t>Vizcaya</t>
  </si>
  <si>
    <t>JL French</t>
  </si>
  <si>
    <t>Iberica de Aleaciones</t>
  </si>
  <si>
    <t>Sri Lanka</t>
  </si>
  <si>
    <t>Colombo</t>
  </si>
  <si>
    <t>Castalloy</t>
  </si>
  <si>
    <t>Lanka Aluminium Industries</t>
  </si>
  <si>
    <t>Zenith Aluminium Co</t>
  </si>
  <si>
    <t>Gonawala</t>
  </si>
  <si>
    <t>Alumex Ltd</t>
  </si>
  <si>
    <t>Makola</t>
  </si>
  <si>
    <t>Alumex (Pvt.) Ltd.</t>
  </si>
  <si>
    <t>Älmhult</t>
  </si>
  <si>
    <t>Aseda</t>
  </si>
  <si>
    <t>Profilgruppen AB</t>
  </si>
  <si>
    <t>Charlottenberg</t>
  </si>
  <si>
    <t>Finspång</t>
  </si>
  <si>
    <t>Gränges Aluminium</t>
  </si>
  <si>
    <t>Gothenburg</t>
  </si>
  <si>
    <t>International Aluminium Casting Sweden AB</t>
  </si>
  <si>
    <t>Gränges</t>
  </si>
  <si>
    <t>Helsingborg</t>
  </si>
  <si>
    <t>AB Elektrokoppar</t>
  </si>
  <si>
    <t>Vetlanda</t>
  </si>
  <si>
    <t>Sapa</t>
  </si>
  <si>
    <t>Switzerland</t>
  </si>
  <si>
    <t>Bettlach</t>
  </si>
  <si>
    <t>Turgibega AG</t>
  </si>
  <si>
    <t>Bürglen</t>
  </si>
  <si>
    <t>Algisa AG</t>
  </si>
  <si>
    <t>Peter Hänseler AG</t>
  </si>
  <si>
    <t>Chippis</t>
  </si>
  <si>
    <t>Constellium Valais SA</t>
  </si>
  <si>
    <t>Düdingen</t>
  </si>
  <si>
    <t>Düdal Leichtmetal-Giesserei AG</t>
  </si>
  <si>
    <t>Gossau</t>
  </si>
  <si>
    <t>MEGA Gossau AG</t>
  </si>
  <si>
    <t>Liesberg</t>
  </si>
  <si>
    <t>Aluminium Laufen AG</t>
  </si>
  <si>
    <t>Lyss</t>
  </si>
  <si>
    <t>Metalyss AG</t>
  </si>
  <si>
    <t>Matzendorf</t>
  </si>
  <si>
    <t>Metallgiesserei Matzendorf AG</t>
  </si>
  <si>
    <t>Moutier</t>
  </si>
  <si>
    <t>Navazzone</t>
  </si>
  <si>
    <t>GF Casting Solutions</t>
  </si>
  <si>
    <t>Oensingen</t>
  </si>
  <si>
    <t>DRUAG Druckguss AG</t>
  </si>
  <si>
    <t>Reinach</t>
  </si>
  <si>
    <t>Alu Menziken Extrusions AG</t>
  </si>
  <si>
    <t>Roveredo</t>
  </si>
  <si>
    <t>Suisse Aluminium S.A.</t>
  </si>
  <si>
    <t>Sarmenstorf</t>
  </si>
  <si>
    <t>Aluminiumgiesserei Wizol AG</t>
  </si>
  <si>
    <t>Selzach</t>
  </si>
  <si>
    <t>Atmosform AG</t>
  </si>
  <si>
    <t>Sierre</t>
  </si>
  <si>
    <t>St. Gallen</t>
  </si>
  <si>
    <t>Steg</t>
  </si>
  <si>
    <t>Teufental</t>
  </si>
  <si>
    <t>Injecta Druckguss AG</t>
  </si>
  <si>
    <t>Turgi</t>
  </si>
  <si>
    <t>Uzwil</t>
  </si>
  <si>
    <t>Bühler AG</t>
  </si>
  <si>
    <t>Waldstatt</t>
  </si>
  <si>
    <t>Wagner AG</t>
  </si>
  <si>
    <t>Syria</t>
  </si>
  <si>
    <t>Damascus</t>
  </si>
  <si>
    <t>Alumina</t>
  </si>
  <si>
    <t>Madar Aluminium Extrusion</t>
  </si>
  <si>
    <t>Mohammad Daboul Factory</t>
  </si>
  <si>
    <t>The National Comp of Aluminium</t>
  </si>
  <si>
    <t>Lattakia</t>
  </si>
  <si>
    <t>General Company for Aluminium</t>
  </si>
  <si>
    <t>Taiwan</t>
  </si>
  <si>
    <t>Chia</t>
  </si>
  <si>
    <t>Ta Tung Aluminium Co. Ltd.</t>
  </si>
  <si>
    <t>Dou-Liu-City</t>
  </si>
  <si>
    <t>Super Alloy Industrial Co (SAI)</t>
  </si>
  <si>
    <t>Jiashan</t>
  </si>
  <si>
    <t>Sigma Corp.</t>
  </si>
  <si>
    <t>Kaohsiung</t>
  </si>
  <si>
    <t>Bor Horng Aluminium</t>
  </si>
  <si>
    <t>Chen Jung Metals</t>
  </si>
  <si>
    <t>Cheng Zang Enterprise</t>
  </si>
  <si>
    <t>China Steel Aluminium Company (CSAC)</t>
  </si>
  <si>
    <t>Crown Aluminium</t>
  </si>
  <si>
    <t>CS Aluminium</t>
  </si>
  <si>
    <t>Feng An Metal</t>
  </si>
  <si>
    <t>Fon An Metal Industry</t>
  </si>
  <si>
    <t>Formosa Shin Yuan</t>
  </si>
  <si>
    <t>Golden Industrial</t>
  </si>
  <si>
    <t>J King Aluminium Inc</t>
  </si>
  <si>
    <t>Kai Hua Industrial</t>
  </si>
  <si>
    <t>Kai Nan Metal</t>
  </si>
  <si>
    <t>Kau Sheng Aluminium Co. Ltd.</t>
  </si>
  <si>
    <t>Long Jen Aluminium</t>
  </si>
  <si>
    <t>Nanko Metal</t>
  </si>
  <si>
    <t>Nao Hsin Industrial</t>
  </si>
  <si>
    <t>New Sun Metal Industry Co. Ltd.</t>
  </si>
  <si>
    <t>Sigma Brothers</t>
  </si>
  <si>
    <t>Takao Aluminium</t>
  </si>
  <si>
    <t>Ta Wie Aluminium</t>
  </si>
  <si>
    <t>Yu Jic Ind. Co. Ltd.</t>
  </si>
  <si>
    <t>Kuan Tiang Hsiang</t>
  </si>
  <si>
    <t>Pintung</t>
  </si>
  <si>
    <t>Chyun Sheng Aluminium</t>
  </si>
  <si>
    <t>Gau Ching Aluminium Co. Ltd.</t>
  </si>
  <si>
    <t>Liow Ho Aluminium</t>
  </si>
  <si>
    <t>Lung Chi Aluminium</t>
  </si>
  <si>
    <t>Shui Yi Aluminium</t>
  </si>
  <si>
    <t>Ta Ya Hsiang</t>
  </si>
  <si>
    <t>Ta Yue Metal Industrial</t>
  </si>
  <si>
    <t>Tai Pao Hsiang</t>
  </si>
  <si>
    <t>Wan Hua Metal</t>
  </si>
  <si>
    <t>Taichung</t>
  </si>
  <si>
    <t>Ta Yush Metal Industrial</t>
  </si>
  <si>
    <t>Tainan</t>
  </si>
  <si>
    <t>Altec Aluminium Corp.</t>
  </si>
  <si>
    <t>Chun Chao Aluminium</t>
  </si>
  <si>
    <t>Goang Hann Enterprise</t>
  </si>
  <si>
    <t>Golden Industrial Corporation</t>
  </si>
  <si>
    <t>Hong Yao Aluminium Co. Ltd.</t>
  </si>
  <si>
    <t>Hwan Chee Metal</t>
  </si>
  <si>
    <t>J King Aluminium Co</t>
  </si>
  <si>
    <t>Lu Chang Metals</t>
  </si>
  <si>
    <t>Man Zai Industrial</t>
  </si>
  <si>
    <t>Nanko Metal Co. Ltd.</t>
  </si>
  <si>
    <t>Sheng Hsin Metal Co. KLtd.</t>
  </si>
  <si>
    <t>Sung Ken Aluminium</t>
  </si>
  <si>
    <t>Taiwan Hodaka Technologies</t>
  </si>
  <si>
    <t>Tong Shin Aluminium</t>
  </si>
  <si>
    <t>Tung Ming Aluminium</t>
  </si>
  <si>
    <t>Wan Sow Aluminium Co. Ltd.</t>
  </si>
  <si>
    <t>Wei Hsin Aluminium</t>
  </si>
  <si>
    <t>Wei Shin Aluminium Co. Ltd.</t>
  </si>
  <si>
    <t>Wen Ben Aluminium Enterprise</t>
  </si>
  <si>
    <t>White Peak Enterprise</t>
  </si>
  <si>
    <t>Win Ta Aluminium</t>
  </si>
  <si>
    <t>Yao Sheng Aluminium</t>
  </si>
  <si>
    <t>Ying Li Metal Industry</t>
  </si>
  <si>
    <t>Yuangsee Industrial Co</t>
  </si>
  <si>
    <t>Yung Li Aluminium</t>
  </si>
  <si>
    <t>Taipei</t>
  </si>
  <si>
    <t>Asia Aluminium</t>
  </si>
  <si>
    <t>Cheng Kuong Trim</t>
  </si>
  <si>
    <t>China Rebar</t>
  </si>
  <si>
    <t>China Wire &amp; Cable</t>
  </si>
  <si>
    <t>Chung Nan Aluminium</t>
  </si>
  <si>
    <t>Min Shiang Industrial</t>
  </si>
  <si>
    <t>Pacific Electric Wire</t>
  </si>
  <si>
    <t>San Zen Industrial</t>
  </si>
  <si>
    <t>Ta Kang Metal</t>
  </si>
  <si>
    <t>Ta Tung Aluminium</t>
  </si>
  <si>
    <t>Tai Lain Aluminium</t>
  </si>
  <si>
    <t>Tong Hsing Hardware</t>
  </si>
  <si>
    <t>Walsin Lihwa Electric</t>
  </si>
  <si>
    <t>Wingo Corporation</t>
  </si>
  <si>
    <t>Yin Ta Metal</t>
  </si>
  <si>
    <t>Yo Kung Metal</t>
  </si>
  <si>
    <t>YTS Aluminium Co.</t>
  </si>
  <si>
    <t>Yung Lung Aluminium</t>
  </si>
  <si>
    <t>Taoyuan Hsien</t>
  </si>
  <si>
    <t>Chen Hsin Aluminium</t>
  </si>
  <si>
    <t>Chi Ta Aluminium</t>
  </si>
  <si>
    <t>Yunlin County</t>
  </si>
  <si>
    <t>Formosa Alloy Materials Company (Famco)</t>
  </si>
  <si>
    <t>Yunlin Industrial Estate</t>
  </si>
  <si>
    <t>Ting Sin Metal Co. Ltd.</t>
  </si>
  <si>
    <t>New Sun Metals</t>
  </si>
  <si>
    <t>Tanzania</t>
  </si>
  <si>
    <t>Dar es Salam</t>
  </si>
  <si>
    <t>Aluco</t>
  </si>
  <si>
    <t>Thailand</t>
  </si>
  <si>
    <t>Amphur Bangolee</t>
  </si>
  <si>
    <t>Metropolitan Metal Co. Ltd.</t>
  </si>
  <si>
    <t>Amphur Klongluang</t>
  </si>
  <si>
    <t>Rio Tinto Alcan Siam Co</t>
  </si>
  <si>
    <t>Nikkei Siam Co</t>
  </si>
  <si>
    <t>Amphur Krathumban</t>
  </si>
  <si>
    <t>Kim Nguan Heng Factory</t>
  </si>
  <si>
    <t>Amphur Muang</t>
  </si>
  <si>
    <t>Almet</t>
  </si>
  <si>
    <t>Fuji Metal</t>
  </si>
  <si>
    <t>ISO Metal Co</t>
  </si>
  <si>
    <t>Nikkei Thai Aluminium</t>
  </si>
  <si>
    <t>Phelps Dodge Thailand Ltd</t>
  </si>
  <si>
    <t>Quality Alloys Co Ltd</t>
  </si>
  <si>
    <t>Sootsuwan Ltd</t>
  </si>
  <si>
    <t>Ayutthaya</t>
  </si>
  <si>
    <t>Aluminium Billet Casting</t>
  </si>
  <si>
    <t>Bangkok</t>
  </si>
  <si>
    <t>Anglo Asia Trading</t>
  </si>
  <si>
    <t>Diamond Brand Aluminium Containers</t>
  </si>
  <si>
    <t>Enkai Co Ltd</t>
  </si>
  <si>
    <t>Lompa Metals</t>
  </si>
  <si>
    <t>Ngee Thye Metal Co.</t>
  </si>
  <si>
    <t>Phelps Dodge Thailand</t>
  </si>
  <si>
    <t>Sapraisan Co Ltd</t>
  </si>
  <si>
    <t>Varopakorn</t>
  </si>
  <si>
    <t>Yashiyoda Alloy Wheel</t>
  </si>
  <si>
    <t>Bangpakong</t>
  </si>
  <si>
    <t>Daiki Nikkei Thai</t>
  </si>
  <si>
    <t>Bankkhuntien</t>
  </si>
  <si>
    <t>Lamthong Die Cast</t>
  </si>
  <si>
    <t>Chachengsao</t>
  </si>
  <si>
    <t>Chonburi</t>
  </si>
  <si>
    <t>Rio Tinto Alcan Nikkei Thai</t>
  </si>
  <si>
    <t>Daiki Nikkei Thai (new)</t>
  </si>
  <si>
    <t>Chongnonsri</t>
  </si>
  <si>
    <t>Varopakorn Co Ltd</t>
  </si>
  <si>
    <t>Klongkluang</t>
  </si>
  <si>
    <t>Tostem Thai</t>
  </si>
  <si>
    <t>Kratumban</t>
  </si>
  <si>
    <t>Goldstar Metal Company Ltd</t>
  </si>
  <si>
    <t>Muang</t>
  </si>
  <si>
    <t>Thai Metal Co</t>
  </si>
  <si>
    <t>Phasicharoen</t>
  </si>
  <si>
    <t>Rianchai Aluminium</t>
  </si>
  <si>
    <t>Phrapradaeng</t>
  </si>
  <si>
    <t>Aluminium Chue Chin Hua</t>
  </si>
  <si>
    <t>Charoong Thai Wire</t>
  </si>
  <si>
    <t>Union Metal Co. Ltd.</t>
  </si>
  <si>
    <t>Radburana</t>
  </si>
  <si>
    <t>Asia Die Casting Producer</t>
  </si>
  <si>
    <t>Bangpakok Factory</t>
  </si>
  <si>
    <t>Rayong</t>
  </si>
  <si>
    <t>UACJ</t>
  </si>
  <si>
    <t>Samphanthawong</t>
  </si>
  <si>
    <t>Udom’s Propriety</t>
  </si>
  <si>
    <t>Samrong Nua</t>
  </si>
  <si>
    <t>Alucon Manufacturing</t>
  </si>
  <si>
    <t>Samut Prakarn</t>
  </si>
  <si>
    <t>Thai-Yazaki Electric Wire</t>
  </si>
  <si>
    <t>Samyan</t>
  </si>
  <si>
    <t>Bangkog Cable</t>
  </si>
  <si>
    <t>Srimahapoh</t>
  </si>
  <si>
    <t>United Aluminium Industry Co.</t>
  </si>
  <si>
    <t>Tunesia</t>
  </si>
  <si>
    <t>Megrine</t>
  </si>
  <si>
    <t>Tréfileries Profilés Réunis</t>
  </si>
  <si>
    <t>Turkey</t>
  </si>
  <si>
    <t>Andana</t>
  </si>
  <si>
    <t>Zahit Alüminyum ve Plastik Sti</t>
  </si>
  <si>
    <t>Ankara</t>
  </si>
  <si>
    <t>Sahinler Metal Sanayi</t>
  </si>
  <si>
    <t>Seabat Metal ve Mekina</t>
  </si>
  <si>
    <t>Aydin</t>
  </si>
  <si>
    <t>Aykim Metal</t>
  </si>
  <si>
    <t>Baris Mah</t>
  </si>
  <si>
    <t>Almet Alüminyum Sanayi</t>
  </si>
  <si>
    <t>Bilecik</t>
  </si>
  <si>
    <t>Arslan Alüminyum</t>
  </si>
  <si>
    <t>Bursa</t>
  </si>
  <si>
    <t>PMS Alüminyum Sanayi ve Ticaret</t>
  </si>
  <si>
    <t>Gebze</t>
  </si>
  <si>
    <t>Assan Alüminyum Dilovasi</t>
  </si>
  <si>
    <t>Gencer Aluminyum Profil</t>
  </si>
  <si>
    <t>Hasanaga</t>
  </si>
  <si>
    <t>Cansan Alüminyum</t>
  </si>
  <si>
    <t>Istanbul</t>
  </si>
  <si>
    <t>Alcin Aluminyum Ticaret</t>
  </si>
  <si>
    <t>Altek Metal Tic</t>
  </si>
  <si>
    <t>Alüminyum Cinko Haddecilik</t>
  </si>
  <si>
    <t>Asas Alüminyum Sanayi ve Ticaret A.S. (ASAS)</t>
  </si>
  <si>
    <t>Assan Demir ve Sac Sanayi</t>
  </si>
  <si>
    <t>Kibar/Assan Alüminyum</t>
  </si>
  <si>
    <t>Korumaz Karde Alüminyum Sanayl</t>
  </si>
  <si>
    <t>Mesan Metal Alüminyum</t>
  </si>
  <si>
    <t>Otomat Sanayi Alüminyum Prof</t>
  </si>
  <si>
    <t>Palmek A.S.</t>
  </si>
  <si>
    <t>Rabak Elektrolitik Bakir</t>
  </si>
  <si>
    <t>Saray Aluminium</t>
  </si>
  <si>
    <t>Sepa Aluminium</t>
  </si>
  <si>
    <t>Sivas Alüminyum Profil</t>
  </si>
  <si>
    <t>Teknik Alüminyum Sanayi</t>
  </si>
  <si>
    <t>Yaparlar A.S.</t>
  </si>
  <si>
    <t>Izmit</t>
  </si>
  <si>
    <t>Barlan Metal Parzalama</t>
  </si>
  <si>
    <t>Tirakya Sanay A</t>
  </si>
  <si>
    <t>Kayseri</t>
  </si>
  <si>
    <t>Sebat Netal ve Makina Ind</t>
  </si>
  <si>
    <t>Kocaeli</t>
  </si>
  <si>
    <t>Al-San Alüminyum</t>
  </si>
  <si>
    <t>Fenis Alüminyum Sanyi</t>
  </si>
  <si>
    <t>Seral Alüminyum Metal</t>
  </si>
  <si>
    <t>Konya</t>
  </si>
  <si>
    <t>Almetal Aluminyum San.Tic. A.S</t>
  </si>
  <si>
    <t>Cengiz Insaat</t>
  </si>
  <si>
    <t>Eti Alüminyum A.S.</t>
  </si>
  <si>
    <t>Gönenc Aluminium Profil</t>
  </si>
  <si>
    <t>Samsun</t>
  </si>
  <si>
    <t>Topkai-Istanbul</t>
  </si>
  <si>
    <t>Abacilar Alküminyum Sanayi</t>
  </si>
  <si>
    <t>Tuzla-Istanbul</t>
  </si>
  <si>
    <t>Akpa Alüminyum</t>
  </si>
  <si>
    <t>Assan Alüminyum</t>
  </si>
  <si>
    <t>Biat Aluminium</t>
  </si>
  <si>
    <t>U.S.A.</t>
  </si>
  <si>
    <t>Agawam</t>
  </si>
  <si>
    <t>Atlas Foundries Inc.</t>
  </si>
  <si>
    <t>Ahoskie</t>
  </si>
  <si>
    <t>Easco</t>
  </si>
  <si>
    <t>Aiken</t>
  </si>
  <si>
    <t>Akron</t>
  </si>
  <si>
    <t>Quality Molded</t>
  </si>
  <si>
    <t>Alaton</t>
  </si>
  <si>
    <t>Commonwealth Industries</t>
  </si>
  <si>
    <t>Albion</t>
  </si>
  <si>
    <t>Citation Corp.</t>
  </si>
  <si>
    <t>Albuquerque</t>
  </si>
  <si>
    <t>Tri Star Aluminum LL</t>
  </si>
  <si>
    <t>Alhambra</t>
  </si>
  <si>
    <t>International Extrusions Corp.</t>
  </si>
  <si>
    <t>Arkansas Aluminum Alloys</t>
  </si>
  <si>
    <t>Marport</t>
  </si>
  <si>
    <t>Allenton</t>
  </si>
  <si>
    <t>Allcast LLC</t>
  </si>
  <si>
    <t>Alliance</t>
  </si>
  <si>
    <t>GNW Aluminum Inc.</t>
  </si>
  <si>
    <t>Contech LLC</t>
  </si>
  <si>
    <t>Anaheim</t>
  </si>
  <si>
    <t>Almex</t>
  </si>
  <si>
    <t>Ashville</t>
  </si>
  <si>
    <t>Auburn</t>
  </si>
  <si>
    <t>2a S.p.A.</t>
  </si>
  <si>
    <t>Leggett &amp; Platt</t>
  </si>
  <si>
    <t>Baltimore</t>
  </si>
  <si>
    <t>Ansan Metals Corp</t>
  </si>
  <si>
    <t>Service Aluminum Corp.</t>
  </si>
  <si>
    <t>Barberton</t>
  </si>
  <si>
    <t>Batavia</t>
  </si>
  <si>
    <t>Altimet (Global Scrap Management)</t>
  </si>
  <si>
    <t>Bay City</t>
  </si>
  <si>
    <t>General Motors</t>
  </si>
  <si>
    <t>Bayamon</t>
  </si>
  <si>
    <t>Miami Tropical Window</t>
  </si>
  <si>
    <t>Beachwood</t>
  </si>
  <si>
    <t>Bedford</t>
  </si>
  <si>
    <t>Newco Metals Processing</t>
  </si>
  <si>
    <t>Beech Bottom</t>
  </si>
  <si>
    <t>Jupiter Aluminum Corp.</t>
  </si>
  <si>
    <t>Bellville</t>
  </si>
  <si>
    <t>Belleville Recycling</t>
  </si>
  <si>
    <t>Bellwood</t>
  </si>
  <si>
    <t>Kaiser Aluminum</t>
  </si>
  <si>
    <t>Beloit</t>
  </si>
  <si>
    <t>Alcoa Auto Cast Wheels</t>
  </si>
  <si>
    <t>Belton</t>
  </si>
  <si>
    <t>Belton Metal Company Inc.</t>
  </si>
  <si>
    <t>Benton</t>
  </si>
  <si>
    <t>Benton Harbor</t>
  </si>
  <si>
    <t>Harbor Light Metals LLC</t>
  </si>
  <si>
    <t>Berea</t>
  </si>
  <si>
    <t>Novelis Corporation</t>
  </si>
  <si>
    <t>Bicknell</t>
  </si>
  <si>
    <t>Birmingham</t>
  </si>
  <si>
    <t>Bermco Aluminum</t>
  </si>
  <si>
    <t>Vulcan Aluminum</t>
  </si>
  <si>
    <t>W. J. Bullock Inc</t>
  </si>
  <si>
    <t>Blount County</t>
  </si>
  <si>
    <t>Bluffton</t>
  </si>
  <si>
    <t>Alexin LLC</t>
  </si>
  <si>
    <t>Booneville</t>
  </si>
  <si>
    <t>Ohio Valley Aluminum Co., LLC</t>
  </si>
  <si>
    <t>Boston</t>
  </si>
  <si>
    <t>Connell LP</t>
  </si>
  <si>
    <t>Bowling Green</t>
  </si>
  <si>
    <t>Kobe Aluminium Automotive Products (KAAP)</t>
  </si>
  <si>
    <t>Kobelco Aluminum Products &amp; Extrusions (KPEX)</t>
  </si>
  <si>
    <t>Owl’s Head Alloys Inc.</t>
  </si>
  <si>
    <t>BowlingGreen</t>
  </si>
  <si>
    <t>Metalworks Recycler-Reload</t>
  </si>
  <si>
    <t>Matalco Inc.</t>
  </si>
  <si>
    <t>Bristol</t>
  </si>
  <si>
    <t>Citation Corporation</t>
  </si>
  <si>
    <t>Brook Park</t>
  </si>
  <si>
    <t>Ford</t>
  </si>
  <si>
    <t>Brooklyn</t>
  </si>
  <si>
    <t>Ansam Metals Corp.</t>
  </si>
  <si>
    <t>Belmont Metals Inc</t>
  </si>
  <si>
    <t>J&amp;J Bronze &amp; Aluminum Casting Corp.</t>
  </si>
  <si>
    <t>Broomfield</t>
  </si>
  <si>
    <t>Ball Metal Beverage Container Corp.</t>
  </si>
  <si>
    <t>Bryan</t>
  </si>
  <si>
    <t>Alenco</t>
  </si>
  <si>
    <t>Buckhannon</t>
  </si>
  <si>
    <t>Buena Park</t>
  </si>
  <si>
    <t>Almex USA Inc.</t>
  </si>
  <si>
    <t>Calhoun</t>
  </si>
  <si>
    <t>Barmet aluminum Corp.</t>
  </si>
  <si>
    <t>Camden</t>
  </si>
  <si>
    <t>State Metal Industries Inc.</t>
  </si>
  <si>
    <t>Forgitron Technologies LLC (Accuride Corp)</t>
  </si>
  <si>
    <t>Campbell</t>
  </si>
  <si>
    <t>Calex Corp</t>
  </si>
  <si>
    <t>Canton</t>
  </si>
  <si>
    <t>Albex Aluminum</t>
  </si>
  <si>
    <t>Kaiser Aluminum &amp; Chem</t>
  </si>
  <si>
    <t>Matalco Inc</t>
  </si>
  <si>
    <t>Carlstadt</t>
  </si>
  <si>
    <t>Tec-Cast Inc.</t>
  </si>
  <si>
    <t>Carrolton</t>
  </si>
  <si>
    <t>Western Extrusions</t>
  </si>
  <si>
    <t>Carson</t>
  </si>
  <si>
    <t>Commonwealth</t>
  </si>
  <si>
    <t>Cartersville</t>
  </si>
  <si>
    <t>Recycling Industries</t>
  </si>
  <si>
    <t>Chandler</t>
  </si>
  <si>
    <t>Abitibi Consolidated</t>
  </si>
  <si>
    <t>Alcoa Global Engineered Products</t>
  </si>
  <si>
    <t>Kaiser Alexco</t>
  </si>
  <si>
    <t>Charleston</t>
  </si>
  <si>
    <t>Ohio Valley Aluminum Co., LLC (Ovaco)</t>
  </si>
  <si>
    <t>Charlotte</t>
  </si>
  <si>
    <t>Chattanooga</t>
  </si>
  <si>
    <t>Allied Metal Co.</t>
  </si>
  <si>
    <t>Chicago</t>
  </si>
  <si>
    <t>Aldridge Metal Co</t>
  </si>
  <si>
    <t>Allied Metal Company</t>
  </si>
  <si>
    <t>Imperial Alloys Corporation</t>
  </si>
  <si>
    <t>Midland Industries</t>
  </si>
  <si>
    <t>Z Alloy</t>
  </si>
  <si>
    <t>Chicago Heights</t>
  </si>
  <si>
    <t>Beck Aluminum Corp.</t>
  </si>
  <si>
    <t>Marport Smelting</t>
  </si>
  <si>
    <t>Trialco</t>
  </si>
  <si>
    <t>Cincinnati</t>
  </si>
  <si>
    <t>David J. Joseph Co.</t>
  </si>
  <si>
    <t>Cinicinnati</t>
  </si>
  <si>
    <t>Rumpke Consoldidated Companies</t>
  </si>
  <si>
    <t>City of Commerce</t>
  </si>
  <si>
    <t>City of Industry</t>
  </si>
  <si>
    <t>Caradon</t>
  </si>
  <si>
    <t>Columbia Ventures Corp.</t>
  </si>
  <si>
    <t>Custom Alloy Light Metals Inc.</t>
  </si>
  <si>
    <t>Sapa Inc.</t>
  </si>
  <si>
    <t>Clarksburg</t>
  </si>
  <si>
    <t>Skana Aluminum</t>
  </si>
  <si>
    <t>Clarksville</t>
  </si>
  <si>
    <t>Berea Industries LLC</t>
  </si>
  <si>
    <t>Siloh Industries</t>
  </si>
  <si>
    <t>Clayton</t>
  </si>
  <si>
    <t>Cleveland</t>
  </si>
  <si>
    <t>Alumitech of Cleveland Inc</t>
  </si>
  <si>
    <t>Apex International Alloys</t>
  </si>
  <si>
    <t>Continental Metal Processing Co.</t>
  </si>
  <si>
    <t>Coldwater</t>
  </si>
  <si>
    <t>Alchem Aluminum</t>
  </si>
  <si>
    <t>Profile Extrusion Co.</t>
  </si>
  <si>
    <t>United Technologies</t>
  </si>
  <si>
    <t>Coldwater (North and South)</t>
  </si>
  <si>
    <t>Columbia</t>
  </si>
  <si>
    <t>Tennessee Aluminum Processors</t>
  </si>
  <si>
    <t>Columbus</t>
  </si>
  <si>
    <t>J. T. Knight Inc</t>
  </si>
  <si>
    <t>Nikkei M.C. Aluminum America Inc.</t>
  </si>
  <si>
    <t>Columbus Scrap Material Comp.</t>
  </si>
  <si>
    <t>Central Aluminum Co.</t>
  </si>
  <si>
    <t>Nu-Cor Automotive Corp.</t>
  </si>
  <si>
    <t>Transmet Corp</t>
  </si>
  <si>
    <t>Commerce</t>
  </si>
  <si>
    <t>Compton</t>
  </si>
  <si>
    <t>Thorock Metals Company Inc.</t>
  </si>
  <si>
    <t>A to Z Metals Inc.</t>
  </si>
  <si>
    <t>Liston Aluminum Brick</t>
  </si>
  <si>
    <t>Connersville</t>
  </si>
  <si>
    <t>Sapa Extrusions Inc.</t>
  </si>
  <si>
    <t>Corona</t>
  </si>
  <si>
    <t>Liston Aluminum</t>
  </si>
  <si>
    <t>Corsicana</t>
  </si>
  <si>
    <t>Audubon Metals LLC</t>
  </si>
  <si>
    <t>Council Bluffs</t>
  </si>
  <si>
    <t>Renshaw &amp; Renshaw Inc.</t>
  </si>
  <si>
    <t>Creek</t>
  </si>
  <si>
    <t>Cressona</t>
  </si>
  <si>
    <t>Dallas</t>
  </si>
  <si>
    <t>CMC Recycling</t>
  </si>
  <si>
    <t>Dalton</t>
  </si>
  <si>
    <t>Sun Capital Partners</t>
  </si>
  <si>
    <t>Danbury</t>
  </si>
  <si>
    <t>Republic Foil Inc.</t>
  </si>
  <si>
    <t>Davenport</t>
  </si>
  <si>
    <t>Dearborn</t>
  </si>
  <si>
    <t>Ford Dearborn Truck Plant</t>
  </si>
  <si>
    <t>Decatur</t>
  </si>
  <si>
    <t>Tennessee Valley Recycling Inc.</t>
  </si>
  <si>
    <t>Wolverine Tube Co</t>
  </si>
  <si>
    <t>Decatur Aluminum</t>
  </si>
  <si>
    <t>Defiance</t>
  </si>
  <si>
    <t>Delair</t>
  </si>
  <si>
    <t>Aluminum Shapes LLC (HIG Capital LLC owned)</t>
  </si>
  <si>
    <t>Denver</t>
  </si>
  <si>
    <t>Aluminum Complex Components Inc.</t>
  </si>
  <si>
    <t>Detroit</t>
  </si>
  <si>
    <t>Falcon Foundry Inc.</t>
  </si>
  <si>
    <t>McNichols Scrap Iron &amp; Metal Co.</t>
  </si>
  <si>
    <t>DeWitt</t>
  </si>
  <si>
    <t>Metalico Aluminum Recovery Inc.</t>
  </si>
  <si>
    <t>Dolton</t>
  </si>
  <si>
    <t>Easco Aluminum</t>
  </si>
  <si>
    <t>Dolton Extrusion Co</t>
  </si>
  <si>
    <t>Dorchester County</t>
  </si>
  <si>
    <t>Sundaram Clayton Ltd (SCL)</t>
  </si>
  <si>
    <t>Dowagiac</t>
  </si>
  <si>
    <t>Downey</t>
  </si>
  <si>
    <t>TST Inc.</t>
  </si>
  <si>
    <t>On-Guard Metals</t>
  </si>
  <si>
    <t>Dublin</t>
  </si>
  <si>
    <t>YKK AP America</t>
  </si>
  <si>
    <t>East Chicago</t>
  </si>
  <si>
    <t>East Gadsen</t>
  </si>
  <si>
    <t>East Point</t>
  </si>
  <si>
    <t>Alloys Inc.</t>
  </si>
  <si>
    <t>El Campo</t>
  </si>
  <si>
    <t>Elizabethton</t>
  </si>
  <si>
    <t>Elk Grove Village</t>
  </si>
  <si>
    <t>Tower Metal Products</t>
  </si>
  <si>
    <t>Ellenville</t>
  </si>
  <si>
    <t>Elmendorf</t>
  </si>
  <si>
    <t>AFL Automotive</t>
  </si>
  <si>
    <t>Elyria</t>
  </si>
  <si>
    <t>Rock Creek Aluminum Co.</t>
  </si>
  <si>
    <t>Entiat</t>
  </si>
  <si>
    <t>Advanced Aluminum LLC</t>
  </si>
  <si>
    <t>Erie</t>
  </si>
  <si>
    <t>Euless</t>
  </si>
  <si>
    <t>C-KOE Metals Lp</t>
  </si>
  <si>
    <t>Evansville</t>
  </si>
  <si>
    <t>Joe W. Morgan Inc.</t>
  </si>
  <si>
    <t>Material Recycling Inc</t>
  </si>
  <si>
    <t>Export</t>
  </si>
  <si>
    <t>Ami Doduco Inc.</t>
  </si>
  <si>
    <t>Exton</t>
  </si>
  <si>
    <t>Resource Recovering Indus</t>
  </si>
  <si>
    <t>General Electric Co</t>
  </si>
  <si>
    <t>Fairmont</t>
  </si>
  <si>
    <t>Novelis Corp.</t>
  </si>
  <si>
    <t>Falls</t>
  </si>
  <si>
    <t>Fayetteville</t>
  </si>
  <si>
    <t>Leggett &amp; Platt Aluminum</t>
  </si>
  <si>
    <t>Florence</t>
  </si>
  <si>
    <t>Kaiser Aluminum Corp.</t>
  </si>
  <si>
    <t>Foley</t>
  </si>
  <si>
    <t>Dennis Aluminum Products</t>
  </si>
  <si>
    <t>Fond du Lac</t>
  </si>
  <si>
    <t>Mercury Marine Group</t>
  </si>
  <si>
    <t>Fonda</t>
  </si>
  <si>
    <t>Keymark Aluminum Corporation</t>
  </si>
  <si>
    <t>Fontana</t>
  </si>
  <si>
    <t>Sierra Aluminum Co</t>
  </si>
  <si>
    <t>Vista Metals Corporation</t>
  </si>
  <si>
    <t>Fort Edward</t>
  </si>
  <si>
    <t>General Electric</t>
  </si>
  <si>
    <t>Fort Lupton</t>
  </si>
  <si>
    <t>Golden Aluminum Co</t>
  </si>
  <si>
    <t>Nichols Homeshield</t>
  </si>
  <si>
    <t>Fort Scott</t>
  </si>
  <si>
    <t>Fort Wayne</t>
  </si>
  <si>
    <t>Ward Aluminum Casting</t>
  </si>
  <si>
    <t>OmniSource Corp</t>
  </si>
  <si>
    <t>Franklin</t>
  </si>
  <si>
    <t>Franklin Aluminum Co. Inc.</t>
  </si>
  <si>
    <t>Hoover Universal</t>
  </si>
  <si>
    <t>Franklin Non-Ferrous Foundry Inc.</t>
  </si>
  <si>
    <t>Franklin Park</t>
  </si>
  <si>
    <t>R. D. Werner Comp</t>
  </si>
  <si>
    <t>Freemont</t>
  </si>
  <si>
    <t>Amcast Industrial Corp.</t>
  </si>
  <si>
    <t>Freeport</t>
  </si>
  <si>
    <t>Gulf Chemical &amp; Metallurgical Corp.</t>
  </si>
  <si>
    <t>Friendly</t>
  </si>
  <si>
    <t>Alumitech</t>
  </si>
  <si>
    <t>Bens Run Recycling</t>
  </si>
  <si>
    <t>Fruitport</t>
  </si>
  <si>
    <t>Compass Automotive Group</t>
  </si>
  <si>
    <t>Gainsville</t>
  </si>
  <si>
    <t>Galesburg</t>
  </si>
  <si>
    <t>Aluminum Castings Cor.</t>
  </si>
  <si>
    <t>Garden City</t>
  </si>
  <si>
    <t>Girard</t>
  </si>
  <si>
    <t>Glasgow</t>
  </si>
  <si>
    <t>J. L. French Automotive Castings Inc.</t>
  </si>
  <si>
    <t>Gnadenhutten</t>
  </si>
  <si>
    <t>Alsco</t>
  </si>
  <si>
    <t>Golden</t>
  </si>
  <si>
    <t>Quanex Corp.</t>
  </si>
  <si>
    <t>Goodyear</t>
  </si>
  <si>
    <t>Goose Creek</t>
  </si>
  <si>
    <t>JW Aluminum Co</t>
  </si>
  <si>
    <t>Grand Rapids</t>
  </si>
  <si>
    <t>Greens</t>
  </si>
  <si>
    <t>Owls Head Alloys, Inc</t>
  </si>
  <si>
    <t>Greensboro</t>
  </si>
  <si>
    <t>Greenville</t>
  </si>
  <si>
    <t>Ilsco Extrusions</t>
  </si>
  <si>
    <t>Greenwood</t>
  </si>
  <si>
    <t>Revstone Industries LLC</t>
  </si>
  <si>
    <t>Grenada</t>
  </si>
  <si>
    <t>Luvata</t>
  </si>
  <si>
    <t>Gulfport</t>
  </si>
  <si>
    <t>Taber Extrusions LLC</t>
  </si>
  <si>
    <t>Hamel</t>
  </si>
  <si>
    <t>Temroc Metals Inc. (Signature Aluminum Inc.)</t>
  </si>
  <si>
    <t>Hammond</t>
  </si>
  <si>
    <t>HT Aluminum Specialties Inc.</t>
  </si>
  <si>
    <t>Jupiter Aluminum</t>
  </si>
  <si>
    <t>Hampton</t>
  </si>
  <si>
    <t>Worthington Industries Inc (Hy-Marc Cylinders)</t>
  </si>
  <si>
    <t>Haven</t>
  </si>
  <si>
    <t>Omnisource Corporation</t>
  </si>
  <si>
    <t>Hawesville</t>
  </si>
  <si>
    <t>Century Aluminum Co.</t>
  </si>
  <si>
    <t>Hawsville</t>
  </si>
  <si>
    <t>Southwire Co.</t>
  </si>
  <si>
    <t>Hayti</t>
  </si>
  <si>
    <t>The Loxcreen Company</t>
  </si>
  <si>
    <t>Heath</t>
  </si>
  <si>
    <t>Kaiser Aluminum &amp; Chem.</t>
  </si>
  <si>
    <t>Hebron</t>
  </si>
  <si>
    <t>Wagstaff Inc.</t>
  </si>
  <si>
    <t>Heights</t>
  </si>
  <si>
    <t>Trialco Inc.</t>
  </si>
  <si>
    <t>Henderson</t>
  </si>
  <si>
    <t>Rio Tinto Alcan</t>
  </si>
  <si>
    <t>Henrietta</t>
  </si>
  <si>
    <t>U.S. Granules</t>
  </si>
  <si>
    <t>Hernando</t>
  </si>
  <si>
    <t>Kawneer Inc.</t>
  </si>
  <si>
    <t>Holland</t>
  </si>
  <si>
    <t>Louis Padnos Iron &amp; Metal Co.</t>
  </si>
  <si>
    <t>Hot Springs</t>
  </si>
  <si>
    <t>Houston</t>
  </si>
  <si>
    <t>Arsham Aluminum Alloys</t>
  </si>
  <si>
    <t>Bodner Metal &amp; Iron Corp.</t>
  </si>
  <si>
    <t>Hubbard</t>
  </si>
  <si>
    <t>Ellwood Aluminum</t>
  </si>
  <si>
    <t>Hudson</t>
  </si>
  <si>
    <t>Continental Aluminum Co</t>
  </si>
  <si>
    <t>Huntingdon</t>
  </si>
  <si>
    <t>Huntington</t>
  </si>
  <si>
    <t>Huntington Aluminum</t>
  </si>
  <si>
    <t>Transmetco Inc</t>
  </si>
  <si>
    <t>Industry</t>
  </si>
  <si>
    <t>Jackson</t>
  </si>
  <si>
    <t>Ormet Aluminum</t>
  </si>
  <si>
    <t>Aluminum Recycling of Mississippi</t>
  </si>
  <si>
    <t>Kaiser Aluminum Corp. (Tennalum)</t>
  </si>
  <si>
    <t>Metal Exchange Corp.</t>
  </si>
  <si>
    <t>Toyota</t>
  </si>
  <si>
    <t>Joliet</t>
  </si>
  <si>
    <t>Berlinsky Scrap Corp.</t>
  </si>
  <si>
    <t>Kalamazoo</t>
  </si>
  <si>
    <t>Schupan &amp; Sons Inc.</t>
  </si>
  <si>
    <t>Kearney</t>
  </si>
  <si>
    <t>American Modern Metals</t>
  </si>
  <si>
    <t>Kendallville</t>
  </si>
  <si>
    <t>Aluminum Recovery Technologies</t>
  </si>
  <si>
    <t>L. Knife &amp; Son</t>
  </si>
  <si>
    <t>Kingsville</t>
  </si>
  <si>
    <t>Speyside Equity LLC</t>
  </si>
  <si>
    <t>Lafayette</t>
  </si>
  <si>
    <t>Alcoa Aerospace (Al-Li alloys)</t>
  </si>
  <si>
    <t>Lancaster</t>
  </si>
  <si>
    <t>Latrobe</t>
  </si>
  <si>
    <t>Carpenter Technology Corp.</t>
  </si>
  <si>
    <t>Laurens County</t>
  </si>
  <si>
    <t>Lancaster Aluminum</t>
  </si>
  <si>
    <t>Beck Aluminum Alloys</t>
  </si>
  <si>
    <t>Leetonia</t>
  </si>
  <si>
    <t>Aluminum Brass and Foundry</t>
  </si>
  <si>
    <t>Lewisburg</t>
  </si>
  <si>
    <t>Abeco Die Dasting</t>
  </si>
  <si>
    <t>Lewisport</t>
  </si>
  <si>
    <t>Lfayette</t>
  </si>
  <si>
    <t>Nanshan America Advanced Aluminum Technology</t>
  </si>
  <si>
    <t>Litchfield</t>
  </si>
  <si>
    <t>H. T. Aluminum Specialties Inc.</t>
  </si>
  <si>
    <t>Lititz</t>
  </si>
  <si>
    <t>Livia</t>
  </si>
  <si>
    <t>Lockport</t>
  </si>
  <si>
    <t>Milward Alloys</t>
  </si>
  <si>
    <t>Logan County</t>
  </si>
  <si>
    <t>Kentucky Aluminum Processors</t>
  </si>
  <si>
    <t>Novelis Inc.</t>
  </si>
  <si>
    <t>Tri-Arrows Aluminum</t>
  </si>
  <si>
    <t>Lordstown</t>
  </si>
  <si>
    <t>Matalco</t>
  </si>
  <si>
    <t>Los Angeles</t>
  </si>
  <si>
    <t>Century Brass Manufacturing Inc.</t>
  </si>
  <si>
    <t>Nissho Iwai</t>
  </si>
  <si>
    <t>Sumitomo</t>
  </si>
  <si>
    <t>Alloy Metals Co</t>
  </si>
  <si>
    <t>Loudon</t>
  </si>
  <si>
    <t>Louisville</t>
  </si>
  <si>
    <t>Ohio Valley Aluminum Co. LLL</t>
  </si>
  <si>
    <t>Lowell</t>
  </si>
  <si>
    <t>Ludington</t>
  </si>
  <si>
    <t>SRS Industries LLC</t>
  </si>
  <si>
    <t>Lufkin</t>
  </si>
  <si>
    <t>Lumber Bridge</t>
  </si>
  <si>
    <t>Atlantic Aluminum LLC (Signature Aluminum Inc.)</t>
  </si>
  <si>
    <t>Signature Aluminum Inc.</t>
  </si>
  <si>
    <t>Lyman</t>
  </si>
  <si>
    <t>Omnisource</t>
  </si>
  <si>
    <t>Lynwood</t>
  </si>
  <si>
    <t>Custom Alloy Sales Inc</t>
  </si>
  <si>
    <t>Lyon Township</t>
  </si>
  <si>
    <t>Continental Aluminum Corp.</t>
  </si>
  <si>
    <t>Madison</t>
  </si>
  <si>
    <t>Spectrulite Consort</t>
  </si>
  <si>
    <t>Madison Precision Products (part of Metts Group)</t>
  </si>
  <si>
    <t>Magnolia</t>
  </si>
  <si>
    <t>Sapa Extrusions Inc</t>
  </si>
  <si>
    <t>Manchester</t>
  </si>
  <si>
    <t>G&amp;S Metals Inc</t>
  </si>
  <si>
    <t>Denny Beckner &amp; Co.</t>
  </si>
  <si>
    <t>Manitowoc</t>
  </si>
  <si>
    <t>Skana Aluminum Co</t>
  </si>
  <si>
    <t>Mansfield</t>
  </si>
  <si>
    <t>Metal Conversions Ltd</t>
  </si>
  <si>
    <t>Marietta</t>
  </si>
  <si>
    <t>Mars</t>
  </si>
  <si>
    <t>Keystone Aluminum</t>
  </si>
  <si>
    <t>Massena</t>
  </si>
  <si>
    <t>Alcoa Global Cold Finished Products</t>
  </si>
  <si>
    <t>Mayfield</t>
  </si>
  <si>
    <t>Remelt Services Inc.</t>
  </si>
  <si>
    <t>Mayfield Heights</t>
  </si>
  <si>
    <t>Spartan Light Metal Products</t>
  </si>
  <si>
    <t>Michigan City</t>
  </si>
  <si>
    <t>Indiana Aluminum Processors</t>
  </si>
  <si>
    <t>Milwaukee</t>
  </si>
  <si>
    <t>Stroh Die Casting Co Ltd.</t>
  </si>
  <si>
    <t>Minerva</t>
  </si>
  <si>
    <t>Imperial Coldwater Group LLC</t>
  </si>
  <si>
    <t>Imperial Aluminum LLC</t>
  </si>
  <si>
    <t>Aluminum One</t>
  </si>
  <si>
    <t>Minneapolis</t>
  </si>
  <si>
    <t>Minnesota Metal Finishing</t>
  </si>
  <si>
    <t>Modesto</t>
  </si>
  <si>
    <t>Moline</t>
  </si>
  <si>
    <t>Quad City Die Casting Co.</t>
  </si>
  <si>
    <t>Monett</t>
  </si>
  <si>
    <t>Montclair</t>
  </si>
  <si>
    <t>Tri-Alloy Inc</t>
  </si>
  <si>
    <t>Montgomery County</t>
  </si>
  <si>
    <t>Shiloh Industries Inc.</t>
  </si>
  <si>
    <t>Moraine</t>
  </si>
  <si>
    <t>Morgantown</t>
  </si>
  <si>
    <t>Morristown</t>
  </si>
  <si>
    <t>Morristown Iron &amp; Metals Inc</t>
  </si>
  <si>
    <t>Mountaintop</t>
  </si>
  <si>
    <t>Mideast Aluminum</t>
  </si>
  <si>
    <t>Mt. Holly</t>
  </si>
  <si>
    <t>J W Aluminum Co</t>
  </si>
  <si>
    <t>Mt. Pleasant</t>
  </si>
  <si>
    <t>Smelter Service Corp</t>
  </si>
  <si>
    <t>Tennessee Aluminum Processors Inc. (TAP)</t>
  </si>
  <si>
    <t>Real Industry</t>
  </si>
  <si>
    <t>Muncie</t>
  </si>
  <si>
    <t>U. S. Reduction Co</t>
  </si>
  <si>
    <t>Muscle Shoals</t>
  </si>
  <si>
    <t>Muskego</t>
  </si>
  <si>
    <t>Delta Group</t>
  </si>
  <si>
    <t>Muskegon</t>
  </si>
  <si>
    <t>Alloy Resources Corp.</t>
  </si>
  <si>
    <t>Cannon Muskegon</t>
  </si>
  <si>
    <t>New Cumberland</t>
  </si>
  <si>
    <t>AL Solutions Inc.</t>
  </si>
  <si>
    <t>New Haven</t>
  </si>
  <si>
    <t>Superior Aluminum Alloys</t>
  </si>
  <si>
    <t>New Hudson</t>
  </si>
  <si>
    <t>Continental Aluminum</t>
  </si>
  <si>
    <t>New Madrid</t>
  </si>
  <si>
    <t>Norandal USA Inc.</t>
  </si>
  <si>
    <t>New York</t>
  </si>
  <si>
    <t>Newark</t>
  </si>
  <si>
    <t>Newark Recycling Ltd.</t>
  </si>
  <si>
    <t>Newburgh</t>
  </si>
  <si>
    <t>Newnan</t>
  </si>
  <si>
    <t>William L. Bonnell Co. Ltd. (Bonnell Aluminum)</t>
  </si>
  <si>
    <t>Newport</t>
  </si>
  <si>
    <t>Norandal</t>
  </si>
  <si>
    <t>Newsbury</t>
  </si>
  <si>
    <t>Newton</t>
  </si>
  <si>
    <t>B&amp;B Metals Processing Co</t>
  </si>
  <si>
    <t>Niles</t>
  </si>
  <si>
    <t>Ohio Valley Aluminum Co, LLC</t>
  </si>
  <si>
    <t>Norcross</t>
  </si>
  <si>
    <t>Kawneer</t>
  </si>
  <si>
    <t>North Little Rock</t>
  </si>
  <si>
    <t>Aluminum Recycling Corp.</t>
  </si>
  <si>
    <t>Norton</t>
  </si>
  <si>
    <t>B &amp; C Corp.</t>
  </si>
  <si>
    <t>Oakland</t>
  </si>
  <si>
    <t>Custom Alloy Scrap Sales Inc.</t>
  </si>
  <si>
    <t>Oldsmar</t>
  </si>
  <si>
    <t>MI Metals</t>
  </si>
  <si>
    <t>Olney</t>
  </si>
  <si>
    <t>Tower Extrusions Ltd.</t>
  </si>
  <si>
    <t>Olympia</t>
  </si>
  <si>
    <t>South Sound Steel &amp; Recycling Inc.</t>
  </si>
  <si>
    <t>Omaha</t>
  </si>
  <si>
    <t>Three Way aluminum Recycling Inc.</t>
  </si>
  <si>
    <t>Oswego</t>
  </si>
  <si>
    <t>Novelis North America Corporation</t>
  </si>
  <si>
    <t>Oxnard</t>
  </si>
  <si>
    <t>Ozark</t>
  </si>
  <si>
    <t>Kenton Wright</t>
  </si>
  <si>
    <t>Painsville</t>
  </si>
  <si>
    <t>Philip Services Corp</t>
  </si>
  <si>
    <t>Pendleton</t>
  </si>
  <si>
    <t>Newco Metals Inc.</t>
  </si>
  <si>
    <t>Pensacola</t>
  </si>
  <si>
    <t>Pensauken</t>
  </si>
  <si>
    <t>Aluminum Shapes LLC</t>
  </si>
  <si>
    <t>Petersburg</t>
  </si>
  <si>
    <t>Star Metals Inc.</t>
  </si>
  <si>
    <t>Philadelphia</t>
  </si>
  <si>
    <t>AlleghenyIron &amp; Metal Comp.</t>
  </si>
  <si>
    <t>Phoenix</t>
  </si>
  <si>
    <t>Hydro Aluminium Phoenix</t>
  </si>
  <si>
    <t>Pierceton</t>
  </si>
  <si>
    <t>Pittsburgh</t>
  </si>
  <si>
    <t>Plant City</t>
  </si>
  <si>
    <t>Pleasant</t>
  </si>
  <si>
    <t>Smelter Services Corporation</t>
  </si>
  <si>
    <t>Tennesse Aluminum Processors</t>
  </si>
  <si>
    <t>Plymouth</t>
  </si>
  <si>
    <t>Pontiac</t>
  </si>
  <si>
    <t>Pontiac Recyclers Inc.</t>
  </si>
  <si>
    <t>Portage</t>
  </si>
  <si>
    <t>Calbag Metals Co.</t>
  </si>
  <si>
    <t>Colombia Aluminum Recycling</t>
  </si>
  <si>
    <t>Metro Metals Northwest Inc.</t>
  </si>
  <si>
    <t>Precision Castparts Corp. (PCC)</t>
  </si>
  <si>
    <t>Post Falls</t>
  </si>
  <si>
    <t>Prescott</t>
  </si>
  <si>
    <t>Tower Metal Products LP</t>
  </si>
  <si>
    <t>Prince George</t>
  </si>
  <si>
    <t>Service Center Metals (SCM)</t>
  </si>
  <si>
    <t>Racine</t>
  </si>
  <si>
    <t>Colonial Metals Co</t>
  </si>
  <si>
    <t>Woodland Alloy Casting</t>
  </si>
  <si>
    <t>Ravenna</t>
  </si>
  <si>
    <t>Ravenna Aluminum Inc.</t>
  </si>
  <si>
    <t>Ravenswood</t>
  </si>
  <si>
    <t>Century Aluminum</t>
  </si>
  <si>
    <t>Reading</t>
  </si>
  <si>
    <t>Element 13 LLC</t>
  </si>
  <si>
    <t>Riverport</t>
  </si>
  <si>
    <t>Riverside</t>
  </si>
  <si>
    <t>Sierra Aluminium Co</t>
  </si>
  <si>
    <t>Rochester</t>
  </si>
  <si>
    <t>Rochester Aluminum Smelting</t>
  </si>
  <si>
    <t>Rock Creek</t>
  </si>
  <si>
    <t>Rock Creek Aluminum (Aleris)</t>
  </si>
  <si>
    <t>Rock Island</t>
  </si>
  <si>
    <t>Dels Metal</t>
  </si>
  <si>
    <t>Rock Wall</t>
  </si>
  <si>
    <t>Columbia Aluminum Processes</t>
  </si>
  <si>
    <t>Rockdale</t>
  </si>
  <si>
    <t>Rockford</t>
  </si>
  <si>
    <t>Rockford Aluminum Smelting</t>
  </si>
  <si>
    <t>Rockledge</t>
  </si>
  <si>
    <t>Hydro Aluminum (North America)</t>
  </si>
  <si>
    <t>Rockwood</t>
  </si>
  <si>
    <t>Rootstown</t>
  </si>
  <si>
    <t>Roseburg</t>
  </si>
  <si>
    <t>Rio Tinto Alcan Cable</t>
  </si>
  <si>
    <t>Rosemount</t>
  </si>
  <si>
    <t>FFS Inc.</t>
  </si>
  <si>
    <t>Spectro Alloys Corp</t>
  </si>
  <si>
    <t>Roxboro</t>
  </si>
  <si>
    <t>The Loxcreen Co</t>
  </si>
  <si>
    <t>Royal Palm Beach</t>
  </si>
  <si>
    <t>Resources Alloys &amp; Metals</t>
  </si>
  <si>
    <t>Russells Point</t>
  </si>
  <si>
    <t>Honda</t>
  </si>
  <si>
    <t>Russellville</t>
  </si>
  <si>
    <t>Tabor Metals</t>
  </si>
  <si>
    <t>Logan Aluminum Inc</t>
  </si>
  <si>
    <t>Russelville</t>
  </si>
  <si>
    <t>J. W. Aluminum Co</t>
  </si>
  <si>
    <t>Saginaw</t>
  </si>
  <si>
    <t>Saginaw County</t>
  </si>
  <si>
    <t>Salisbury</t>
  </si>
  <si>
    <t>Norandal USA Inc</t>
  </si>
  <si>
    <t>San Antonio</t>
  </si>
  <si>
    <t>Ashley Salvage Co.</t>
  </si>
  <si>
    <t>San Diego</t>
  </si>
  <si>
    <t>San Leandro</t>
  </si>
  <si>
    <t>Alco Iron &amp; Metal Co.</t>
  </si>
  <si>
    <t>Sanford</t>
  </si>
  <si>
    <t>Benada Aluminum Products LLC</t>
  </si>
  <si>
    <t>Sanford International Inc.</t>
  </si>
  <si>
    <t>Sapulpa</t>
  </si>
  <si>
    <t>Scottsboro</t>
  </si>
  <si>
    <t>Ace Metal Corp.</t>
  </si>
  <si>
    <t>Imperial Aluminum-Scottsboro LLC</t>
  </si>
  <si>
    <t>Seattle</t>
  </si>
  <si>
    <t>Joseph Simon &amp; Sons</t>
  </si>
  <si>
    <t>Seattle Iron &amp; Metals Corp</t>
  </si>
  <si>
    <t>Sebree</t>
  </si>
  <si>
    <t>Century Aluminum, Sebree smelter</t>
  </si>
  <si>
    <t>Seneca Falls</t>
  </si>
  <si>
    <t>Sheboygan</t>
  </si>
  <si>
    <t>Allotech International Inc.</t>
  </si>
  <si>
    <t>J. L. French</t>
  </si>
  <si>
    <t>Sheffield</t>
  </si>
  <si>
    <t>D’Addario Industries</t>
  </si>
  <si>
    <t>Southern Reclamation</t>
  </si>
  <si>
    <t>Shelby</t>
  </si>
  <si>
    <t>KSM Casting</t>
  </si>
  <si>
    <t>Shelbyville</t>
  </si>
  <si>
    <t>Ryobi Die Casting USA Inc.</t>
  </si>
  <si>
    <t>Ohio Valley Aluminum Company (Ovaco)</t>
  </si>
  <si>
    <t>Sherman</t>
  </si>
  <si>
    <t>Kaiser Aluminum &amp; Chemical Corp.</t>
  </si>
  <si>
    <t>Sikeston</t>
  </si>
  <si>
    <t>Singleton</t>
  </si>
  <si>
    <t>International Extrusion Corporation</t>
  </si>
  <si>
    <t>Sioux Falls</t>
  </si>
  <si>
    <t>Mid America Recycling LLC</t>
  </si>
  <si>
    <t>South Elgin</t>
  </si>
  <si>
    <t>Babbitting ServiceInc.</t>
  </si>
  <si>
    <t>Spanish Fork</t>
  </si>
  <si>
    <t>Sparta</t>
  </si>
  <si>
    <t>Spokane</t>
  </si>
  <si>
    <t>Cap Cel Co.Ltd.</t>
  </si>
  <si>
    <t>Kaiser Aluminum &amp; Chemicals</t>
  </si>
  <si>
    <t>Sprindale</t>
  </si>
  <si>
    <t>Bush Valley Recycling</t>
  </si>
  <si>
    <t>Spring Hill</t>
  </si>
  <si>
    <t>St. Augustine</t>
  </si>
  <si>
    <t>Hydro Aluminum</t>
  </si>
  <si>
    <t>St. Charles</t>
  </si>
  <si>
    <t>St. Louis</t>
  </si>
  <si>
    <t>JW Aluminum</t>
  </si>
  <si>
    <t>Mid States Smelting Co</t>
  </si>
  <si>
    <t>Sigma International Inc.</t>
  </si>
  <si>
    <t>Steele</t>
  </si>
  <si>
    <t>Culp Aluminum Alloys</t>
  </si>
  <si>
    <t>Summerville</t>
  </si>
  <si>
    <t>Briteline Extrusions Inc.</t>
  </si>
  <si>
    <t>Sumter</t>
  </si>
  <si>
    <t>A &amp; P Recycling Inc.</t>
  </si>
  <si>
    <t>Sweetwater</t>
  </si>
  <si>
    <t>Texas Tst Inc.</t>
  </si>
  <si>
    <t>Timco</t>
  </si>
  <si>
    <t>Syracuse</t>
  </si>
  <si>
    <t>Metalico</t>
  </si>
  <si>
    <t>Tacoma</t>
  </si>
  <si>
    <t>Simon Metals LLC</t>
  </si>
  <si>
    <t>Tacoma Metals Inc</t>
  </si>
  <si>
    <t>Tampa</t>
  </si>
  <si>
    <t>Trademark Metals Recycling (TMR)</t>
  </si>
  <si>
    <t>Terre Haute</t>
  </si>
  <si>
    <t>Texarkana</t>
  </si>
  <si>
    <t>Ta Chen International Inc.</t>
  </si>
  <si>
    <t>The Dalles</t>
  </si>
  <si>
    <t>Tifton</t>
  </si>
  <si>
    <t>Tifton Aluminum</t>
  </si>
  <si>
    <t>Toledo</t>
  </si>
  <si>
    <t>Doehler-Jarvis</t>
  </si>
  <si>
    <t>Kripke Enterprises Inc.</t>
  </si>
  <si>
    <t>Toms River</t>
  </si>
  <si>
    <t>Artistic Custom Enclosures</t>
  </si>
  <si>
    <t>Towson</t>
  </si>
  <si>
    <t>Troy</t>
  </si>
  <si>
    <t>Most Inc</t>
  </si>
  <si>
    <t>Twinsburg</t>
  </si>
  <si>
    <t>Commercial Alloys Corp</t>
  </si>
  <si>
    <t>Uhrichsville</t>
  </si>
  <si>
    <t>Van Nuys</t>
  </si>
  <si>
    <t>Superior Industries International Inc.</t>
  </si>
  <si>
    <t>Ventura</t>
  </si>
  <si>
    <t>Stainless Specialities</t>
  </si>
  <si>
    <t>Verona</t>
  </si>
  <si>
    <t>Wabash</t>
  </si>
  <si>
    <t>G &amp; S Metal Consultants LLC</t>
  </si>
  <si>
    <t>S &amp; R Enterprises</t>
  </si>
  <si>
    <t>Walnut</t>
  </si>
  <si>
    <t>BIAM</t>
  </si>
  <si>
    <t>Wandover</t>
  </si>
  <si>
    <t>Warminster</t>
  </si>
  <si>
    <t>Connell Ltd. Partnership</t>
  </si>
  <si>
    <t>Warren</t>
  </si>
  <si>
    <t>LKQ Corp.</t>
  </si>
  <si>
    <t>SLC Recycling</t>
  </si>
  <si>
    <t>Warrensburg</t>
  </si>
  <si>
    <t>Warrick County</t>
  </si>
  <si>
    <t>Wastland</t>
  </si>
  <si>
    <t>Watertown</t>
  </si>
  <si>
    <t>CowlCo Alloys &amp; Metals Inc.</t>
  </si>
  <si>
    <t>Watsonville</t>
  </si>
  <si>
    <t>Ketema</t>
  </si>
  <si>
    <t>Waukesha</t>
  </si>
  <si>
    <t>Westwood Aluminum Castings</t>
  </si>
  <si>
    <t>Waverly</t>
  </si>
  <si>
    <t>Waxahachie</t>
  </si>
  <si>
    <t>International Extrusions</t>
  </si>
  <si>
    <t>Wellsville</t>
  </si>
  <si>
    <t>Pennex Aluminum Company</t>
  </si>
  <si>
    <t>Wendover</t>
  </si>
  <si>
    <t>West Franklin</t>
  </si>
  <si>
    <t>Vitex Extrusion</t>
  </si>
  <si>
    <t>Whitehall</t>
  </si>
  <si>
    <t>Alcoa Howmet</t>
  </si>
  <si>
    <t>Wichita</t>
  </si>
  <si>
    <t>Wichita Iron &amp; Metals Corp.</t>
  </si>
  <si>
    <t>Wilkes Barre</t>
  </si>
  <si>
    <t>Allan Industires</t>
  </si>
  <si>
    <t>Williamsport</t>
  </si>
  <si>
    <t>Willow</t>
  </si>
  <si>
    <t>Wilmer</t>
  </si>
  <si>
    <t>Sassin &amp; Sons Aluminum Corp.</t>
  </si>
  <si>
    <t>Wilmington</t>
  </si>
  <si>
    <t>IBC Advanced Alloys Corp.</t>
  </si>
  <si>
    <t>Winston-Salem</t>
  </si>
  <si>
    <t>Oracle Flexible Packaging</t>
  </si>
  <si>
    <t>RJR Packaging</t>
  </si>
  <si>
    <t>Withee</t>
  </si>
  <si>
    <t>Wakefield Thermal Solutions Inc.</t>
  </si>
  <si>
    <t>Worcester</t>
  </si>
  <si>
    <t>Consolidated Recycling Corp</t>
  </si>
  <si>
    <t>Yankton</t>
  </si>
  <si>
    <t>York</t>
  </si>
  <si>
    <t>Pennex Aluminum Co.</t>
  </si>
  <si>
    <t>Zelienople</t>
  </si>
  <si>
    <t>Three Rivers Extrusions</t>
  </si>
  <si>
    <t>Zimmerman</t>
  </si>
  <si>
    <t>Aluminum Recycling Inc.</t>
  </si>
  <si>
    <t>Uganda</t>
  </si>
  <si>
    <t>Kampala</t>
  </si>
  <si>
    <t>Shumuk Group</t>
  </si>
  <si>
    <t>Ukraine</t>
  </si>
  <si>
    <t>Brovary</t>
  </si>
  <si>
    <t>Kylv Aluminium Construction</t>
  </si>
  <si>
    <t>Dnieproppetrowsk</t>
  </si>
  <si>
    <t>Alumash</t>
  </si>
  <si>
    <t>Donetsk</t>
  </si>
  <si>
    <t>Donetsk Aluminium Extrusions</t>
  </si>
  <si>
    <t>Ukrsplav</t>
  </si>
  <si>
    <t>Karchov</t>
  </si>
  <si>
    <t>UkrespetsMet</t>
  </si>
  <si>
    <t>Odessa</t>
  </si>
  <si>
    <t>Statalsky Gestion Nonferous Metals</t>
  </si>
  <si>
    <t>JV Intersplav</t>
  </si>
  <si>
    <t>Zaporozhye</t>
  </si>
  <si>
    <t>Forum</t>
  </si>
  <si>
    <t>Zaporozhye Aluminium Kombinat</t>
  </si>
  <si>
    <t>United Arab Emirates</t>
  </si>
  <si>
    <t>Al Jaber Aluminium Extrusions</t>
  </si>
  <si>
    <t>Federal Aluminium Co</t>
  </si>
  <si>
    <t>TALEx</t>
  </si>
  <si>
    <t>Ajman</t>
  </si>
  <si>
    <t>Alinoor Recyclers</t>
  </si>
  <si>
    <t>Sun Metal Casting</t>
  </si>
  <si>
    <t>Dubai</t>
  </si>
  <si>
    <t>Dubai Aluminium Co. (Dubal)</t>
  </si>
  <si>
    <t>Emirates Recycling</t>
  </si>
  <si>
    <t>Gulf Extrusions</t>
  </si>
  <si>
    <t>Lucky Recycling</t>
  </si>
  <si>
    <t>Trans gulf Ind.</t>
  </si>
  <si>
    <t>Fujairah</t>
  </si>
  <si>
    <t>Gulf Alloys</t>
  </si>
  <si>
    <t>Qatar</t>
  </si>
  <si>
    <t>Qatalum</t>
  </si>
  <si>
    <t>Sharja</t>
  </si>
  <si>
    <t>Al Waha Recycling</t>
  </si>
  <si>
    <t>Sherif Metals</t>
  </si>
  <si>
    <t>Solo Industries</t>
  </si>
  <si>
    <t>ABC Industries</t>
  </si>
  <si>
    <t>Alfreton</t>
  </si>
  <si>
    <t>Sapa Profiles Ltd</t>
  </si>
  <si>
    <t>Ardwick</t>
  </si>
  <si>
    <t>W. Howard Metals (One51)</t>
  </si>
  <si>
    <t>Alcoa Europe European Mill Products</t>
  </si>
  <si>
    <t>Bremco Aluminium</t>
  </si>
  <si>
    <t>Bridgnorth</t>
  </si>
  <si>
    <t>Bridgnorth Aluminium Ltd. (Viohalco)</t>
  </si>
  <si>
    <t>Brookside</t>
  </si>
  <si>
    <t>Brookside Metal</t>
  </si>
  <si>
    <t>Cannock</t>
  </si>
  <si>
    <t>Norton Aluminium</t>
  </si>
  <si>
    <t>The Brock Metal Co</t>
  </si>
  <si>
    <t>Ryobi Aluminium Casting</t>
  </si>
  <si>
    <t>Coleshill</t>
  </si>
  <si>
    <t>Coleshill Aluminium</t>
  </si>
  <si>
    <t>Congleton</t>
  </si>
  <si>
    <t>Tandom Metallurgical Group</t>
  </si>
  <si>
    <t>Coventry</t>
  </si>
  <si>
    <t>Jaguar</t>
  </si>
  <si>
    <t>Liberty Pressing Solutions</t>
  </si>
  <si>
    <t>Mil-Ver Metal</t>
  </si>
  <si>
    <t>Sarginsons Industries</t>
  </si>
  <si>
    <t>Crick</t>
  </si>
  <si>
    <t>Devizes</t>
  </si>
  <si>
    <t>Dronfield</t>
  </si>
  <si>
    <t>Dunstan &amp; Wragg (FE Mottram)</t>
  </si>
  <si>
    <t>Gloucester</t>
  </si>
  <si>
    <t>Avon Metals Ltd</t>
  </si>
  <si>
    <t>Hampshire</t>
  </si>
  <si>
    <t>MRT Castings</t>
  </si>
  <si>
    <t>Latchford</t>
  </si>
  <si>
    <t>Leeds</t>
  </si>
  <si>
    <t>Thomas Brothers</t>
  </si>
  <si>
    <t>Lochaber</t>
  </si>
  <si>
    <t>Pressbar Diecastings</t>
  </si>
  <si>
    <t>Whitehead Alloys</t>
  </si>
  <si>
    <t>Norton Canes</t>
  </si>
  <si>
    <t>Norton Aluminium Products</t>
  </si>
  <si>
    <t>Powys</t>
  </si>
  <si>
    <t>Kaye Presteigne</t>
  </si>
  <si>
    <t>Rotherham</t>
  </si>
  <si>
    <t>London &amp; Scandinavian Metall.</t>
  </si>
  <si>
    <t>Stafford</t>
  </si>
  <si>
    <t>JBM International</t>
  </si>
  <si>
    <t>Swansea</t>
  </si>
  <si>
    <t>Tamworth</t>
  </si>
  <si>
    <t>JVM Castings</t>
  </si>
  <si>
    <t>Telford</t>
  </si>
  <si>
    <t>Magna International</t>
  </si>
  <si>
    <t>Tibshelf</t>
  </si>
  <si>
    <t>Warndon</t>
  </si>
  <si>
    <t>Cosworth Technology</t>
  </si>
  <si>
    <t>Wednesbury</t>
  </si>
  <si>
    <t>Caparo Bridge Aluminium</t>
  </si>
  <si>
    <t>CastAlum</t>
  </si>
  <si>
    <t>Whitchurch</t>
  </si>
  <si>
    <t>Triton Partners</t>
  </si>
  <si>
    <t>Castle Alloys</t>
  </si>
  <si>
    <t>Whitham</t>
  </si>
  <si>
    <t>Liberty Aluminium Technologies</t>
  </si>
  <si>
    <t>Willinghall</t>
  </si>
  <si>
    <t>Midland Pressure Diecasting Ltd.</t>
  </si>
  <si>
    <t>Wolverhampton</t>
  </si>
  <si>
    <t>WH Marren</t>
  </si>
  <si>
    <t>Wrexham</t>
  </si>
  <si>
    <t>Hydro Aluminium Deeside Ltd</t>
  </si>
  <si>
    <t>Uruguay</t>
  </si>
  <si>
    <t>Montevideo</t>
  </si>
  <si>
    <t>Rio Tinto Alcan Alluminio del Uruguay</t>
  </si>
  <si>
    <t>Alluminio del Uruguay</t>
  </si>
  <si>
    <t>Gabonir SA</t>
  </si>
  <si>
    <t>Glery S.A.</t>
  </si>
  <si>
    <t>MGT Montevideo</t>
  </si>
  <si>
    <t>Siner S.A.</t>
  </si>
  <si>
    <t>Usbekistan</t>
  </si>
  <si>
    <t>Taskent</t>
  </si>
  <si>
    <t>Usbekistan Nonferrous Metals</t>
  </si>
  <si>
    <t>Venezuela</t>
  </si>
  <si>
    <t>Barquisimento</t>
  </si>
  <si>
    <t>Metal Industria Tecnica</t>
  </si>
  <si>
    <t>Barquisimento City</t>
  </si>
  <si>
    <t>Scrap World Trading Co. Ltd. (SWT)</t>
  </si>
  <si>
    <t>Carabobo</t>
  </si>
  <si>
    <t>Rialca</t>
  </si>
  <si>
    <t>Caracas</t>
  </si>
  <si>
    <t>Aluminios de Barquisimeto</t>
  </si>
  <si>
    <t>Aluminios de Occidente</t>
  </si>
  <si>
    <t>Chuao</t>
  </si>
  <si>
    <t>Aluminios del Turbio</t>
  </si>
  <si>
    <t>Ciudad Guayana</t>
  </si>
  <si>
    <t>CVG Aluminio del Caroni</t>
  </si>
  <si>
    <t>Cua</t>
  </si>
  <si>
    <t>Tecnica Alubel CA</t>
  </si>
  <si>
    <t>El Bosque</t>
  </si>
  <si>
    <t>Alluminio del Centro</t>
  </si>
  <si>
    <t>Guacara</t>
  </si>
  <si>
    <t>Bera de Venezuela SA</t>
  </si>
  <si>
    <t>La Victoria</t>
  </si>
  <si>
    <t>Alluminio de Venezuela</t>
  </si>
  <si>
    <t>Las Mercedes</t>
  </si>
  <si>
    <t>Maracaibo</t>
  </si>
  <si>
    <t>Monroe Extruders</t>
  </si>
  <si>
    <t>Maracay</t>
  </si>
  <si>
    <t>Aluminio Reynolds</t>
  </si>
  <si>
    <t>Puerto Cabello</t>
  </si>
  <si>
    <t>Almora</t>
  </si>
  <si>
    <t>Puerto Ordaz</t>
  </si>
  <si>
    <t>Pianmeca</t>
  </si>
  <si>
    <t>Sural CA</t>
  </si>
  <si>
    <t>Ureña</t>
  </si>
  <si>
    <t>Aluminio Continental</t>
  </si>
  <si>
    <t>Vietnam</t>
  </si>
  <si>
    <t>Binh Duong</t>
  </si>
  <si>
    <t>Tiger Almin Co. Ltd.</t>
  </si>
  <si>
    <t>Hanoi</t>
  </si>
  <si>
    <t>Gaet Co.</t>
  </si>
  <si>
    <t>HeungIn (Vietnam) Extrusions Co.</t>
  </si>
  <si>
    <t>My Phuoc Industrial City</t>
  </si>
  <si>
    <t>VinaWashin Aluminium Co</t>
  </si>
  <si>
    <t>Tung Shin Aluminium Machinery (TSA)</t>
  </si>
  <si>
    <t>Zambia</t>
  </si>
  <si>
    <t>Luanshya</t>
  </si>
  <si>
    <t>Zameta</t>
  </si>
  <si>
    <t>Ndola</t>
  </si>
  <si>
    <t>Non-Ferrous Metal Works</t>
  </si>
  <si>
    <t>Zimbabwe</t>
  </si>
  <si>
    <t>Harare</t>
  </si>
  <si>
    <t>Almin Metal Industries Ltd</t>
  </si>
  <si>
    <t>Non Ferrous Metalsworks</t>
  </si>
  <si>
    <t>Excess heat [TJ]</t>
  </si>
  <si>
    <t>Excess heat [TWh]</t>
  </si>
  <si>
    <t>steel</t>
  </si>
  <si>
    <t>Source:</t>
  </si>
  <si>
    <t>[1]</t>
  </si>
  <si>
    <t>https://www.eurofer.eu/assets/Uploads/Map-20191113_Eurofer_SteelIndustry_Rev3-has-stainless.pdf</t>
  </si>
  <si>
    <t>installed capacity blast furnace/basic oxygen furnace</t>
  </si>
  <si>
    <t>Distribution of energy demand based on installed capacities per NUTS2 region.</t>
  </si>
  <si>
    <t>Assumptions for all sheets:</t>
  </si>
  <si>
    <t>A1</t>
  </si>
  <si>
    <t>if no installed production capacities are available for a country, the demand is equaly divided per all NUTS2 regions.</t>
  </si>
  <si>
    <t>steel_stainless</t>
  </si>
  <si>
    <t>alu_prim</t>
  </si>
  <si>
    <t>https://www.lightmetalage.com/resources-section/primary-producers/</t>
  </si>
  <si>
    <t>[2]</t>
  </si>
  <si>
    <t>Light Metal Age</t>
  </si>
  <si>
    <t>European commission based on Light Metal Age, S&amp;P Global Market Intelligence 2019a, companies' websites</t>
  </si>
  <si>
    <t>https://single-market-economy.ec.europa.eu/sectors/raw-materials/areas-specific-interest/critical-raw-materials_en</t>
  </si>
  <si>
    <t>CRM_2020_Critical_Factsheets</t>
  </si>
  <si>
    <t>Critical raw materials factsheets</t>
  </si>
  <si>
    <t>Further Info:</t>
  </si>
  <si>
    <t>F1</t>
  </si>
  <si>
    <t>F2</t>
  </si>
  <si>
    <t>F3</t>
  </si>
  <si>
    <t>https://face-aluminium.com/wp-content/uploads/2019/06/2019-LUISS-Study.pdf</t>
  </si>
  <si>
    <t>Locations of alu plants in Europe</t>
  </si>
  <si>
    <t>https://european-aluminium.eu/about-aluminium/aluminium-industry/</t>
  </si>
  <si>
    <t>https://www.lightmetalage.com/resources-section/secondary-producers/</t>
  </si>
  <si>
    <t>alu_sec</t>
  </si>
  <si>
    <t>see Info_alu_sec</t>
  </si>
  <si>
    <t>not jet filled</t>
  </si>
  <si>
    <t>A1 for all data</t>
  </si>
  <si>
    <t>paper</t>
  </si>
  <si>
    <t>Based on exces heat</t>
  </si>
  <si>
    <t>see Excess_heat_geographical_distribution.xlsx</t>
  </si>
  <si>
    <t>D5_1 Industry_Dataset</t>
  </si>
  <si>
    <t>https://s-eenergies-open-data-euf.hub.arcgis.com/datasets/a6a1e8e95514413a90bbb2e40515fdb2_0/explore?location=42.427085%2C6.679068%2C3.64&amp;showTable=true</t>
  </si>
  <si>
    <t>cement</t>
  </si>
  <si>
    <t>Based on fuel demand</t>
  </si>
  <si>
    <t>D5_1 Industry_Dataset_With_Demand_Data</t>
  </si>
  <si>
    <t>https://s-eenergies-open-data-euf.hub.arcgis.com/datasets/5e36c0af918040ed936b4e4c101f611d_0/explore?location=43.560559%2C6.679068%2C3.82&amp;showTable=true</t>
  </si>
  <si>
    <t>glass</t>
  </si>
  <si>
    <t>Based on employees</t>
  </si>
  <si>
    <t>https://ec.europa.eu/eurostat/statistics-explained/index.php?title=File:Wood_and_wood_products;_pulp</t>
  </si>
  <si>
    <t>_paper_and_paper_products_(NACE_Subsection_DD_and_Division_21)_Persons_employed_in_the_manufacture_of_wood_and_paper_(NACE_Subsection_DD_and_Division_21)_MAP.PNG</t>
  </si>
  <si>
    <t>Map</t>
  </si>
  <si>
    <t>https://publications.lib.chalmers.se/records/fulltext/185715/local_185715.pdf</t>
  </si>
  <si>
    <t>Based on CO2 emissions</t>
  </si>
  <si>
    <t>https://plants.glassglobal.com/login/</t>
  </si>
  <si>
    <t>not free of charge</t>
  </si>
  <si>
    <t>https://www.google.com/maps/d/u/2/embed?mid=z1zz1byO2tRw.kqh2OYwbS6J0</t>
  </si>
  <si>
    <t>only locations and type of glass</t>
  </si>
  <si>
    <t>chlorine</t>
  </si>
  <si>
    <t>https://www.chlorineindustryreview.com/competitiveness/</t>
  </si>
  <si>
    <t>euro chlor for European sites</t>
  </si>
  <si>
    <r>
      <t xml:space="preserve">currently state from 2012-23 </t>
    </r>
    <r>
      <rPr>
        <sz val="12"/>
        <color rgb="FFFF0000"/>
        <rFont val="Calibri"/>
        <family val="2"/>
        <scheme val="minor"/>
      </rPr>
      <t>(to be changed)
Chlorine Industry Review 2012-13</t>
    </r>
  </si>
  <si>
    <t>world-wide</t>
  </si>
  <si>
    <t>https://healthybuilding.net/uploads/files/Chlorine%20&amp;%20Building%20Materials%20Phase%202%20Asia.pdf</t>
  </si>
  <si>
    <t>Appendix A: Global inventory of chlor-alkali plants</t>
  </si>
  <si>
    <t>ammonia</t>
  </si>
  <si>
    <t>https://www.iva.de/sites/default/files/benutzer/%25uid/publikationen/wiza_2015_2016_0.pdf</t>
  </si>
  <si>
    <t>Gernman producers</t>
  </si>
  <si>
    <t>Litvinov 1150 https://eippcb.jrc.ec.europa.eu/sites/default/files/2019-11/lvic_aaf.pdf S 64</t>
  </si>
  <si>
    <t>Nera Montoro</t>
  </si>
  <si>
    <t>https://www.icis.com/explore/resources/news/2008/10/27/9166031/chemical-profile-ammonia/</t>
  </si>
  <si>
    <t>West European ammonia capacity</t>
  </si>
  <si>
    <t>https://eippcb.jrc.ec.europa.eu/sites/default/files/2019-11/lvic_aaf.pdf</t>
  </si>
  <si>
    <t>p. 64</t>
  </si>
  <si>
    <t>Capacities of European producers, report from 2007</t>
  </si>
  <si>
    <t>methanol</t>
  </si>
  <si>
    <t>https://www.icis.com/explore/resources/news/2012/06/25/9571858/europe-chemical-profile-methanol/</t>
  </si>
  <si>
    <t>ICIS, report 2012</t>
  </si>
  <si>
    <t>ICIS, report 2019</t>
  </si>
  <si>
    <t>https://www.icis.com/explore/resources/news/2019/01/31/10313703/chemical-profile-europe-methanol</t>
  </si>
  <si>
    <t>Assumption</t>
  </si>
  <si>
    <t xml:space="preserve">Although there are newer reports, the difference is in the idled power plants, after which most of the countries do not have any methanol production sites any more. </t>
  </si>
  <si>
    <t>Therefore, if in the future there are any capacities, they are more likely to be opened on the sites which have previously existed</t>
  </si>
  <si>
    <t>ethylene, propylene</t>
  </si>
  <si>
    <t xml:space="preserve">Source: </t>
  </si>
  <si>
    <t>JRC: Best Available Techniques (BAT) Reference Document for the Production of Large Volume Organic Chemicals</t>
  </si>
  <si>
    <t>ethylene and propylene production 50% + 50%</t>
  </si>
  <si>
    <t>aromatics</t>
  </si>
  <si>
    <t>benzen</t>
  </si>
  <si>
    <t>toluen</t>
  </si>
  <si>
    <t>paraxylene</t>
  </si>
  <si>
    <t>orthoxylene</t>
  </si>
  <si>
    <t>[3]</t>
  </si>
  <si>
    <t>[4]</t>
  </si>
  <si>
    <t>https://www.icis.com/explore/resources/news/2015/04/06/9873229/chemical-profile-europe-toluene/</t>
  </si>
  <si>
    <t>https://www.icis.com/explore/resources/news/2012/10/15/9603331/europe-chemical-profile-benzene/</t>
  </si>
  <si>
    <t>https://www.icis.com/explore/resources/news/2012/05/07/9556557/europe-chemical-profile-orthoxylene/</t>
  </si>
  <si>
    <t>https://www.icis.com/explore/resources/news/2011/07/04/9474487/european-chemical-profile-paraxylene/</t>
  </si>
  <si>
    <t>http://www.shts.org.rs/srpska/organic.html</t>
  </si>
  <si>
    <t>Pancevo</t>
  </si>
  <si>
    <t>Europe general</t>
  </si>
  <si>
    <t>https://www.hip-petrohemija.com/tehnologija/proizvodna-linija/etilen.22.html</t>
  </si>
  <si>
    <t>[5]</t>
  </si>
  <si>
    <t>BA00</t>
  </si>
  <si>
    <t>chlorine %</t>
  </si>
  <si>
    <t>installed capacity copper_prim</t>
  </si>
  <si>
    <t>copper_prim %</t>
  </si>
  <si>
    <t>installed capacity copper_sec</t>
  </si>
  <si>
    <t>copper_sec %</t>
  </si>
  <si>
    <t>copper_prim, copper_sec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</si>
</sst>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%"/>
    <numFmt numFmtId="166" formatCode="0.0000"/>
    <numFmt numFmtId="167" formatCode="0.00000"/>
  </numFmts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Helvetica"/>
      <family val="2"/>
    </font>
    <font>
      <sz val="12"/>
      <color theme="1"/>
      <name val="Courier New"/>
      <family val="1"/>
    </font>
    <font>
      <sz val="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Helvetica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9" fontId="2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110">
    <xf numFmtId="0" fontId="0" fillId="0" borderId="0" xfId="0"/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2" fillId="0" borderId="0" xfId="0" applyFont="1"/>
    <xf numFmtId="49" fontId="10" fillId="0" borderId="0" xfId="1" applyNumberFormat="1" applyFont="1"/>
    <xf numFmtId="49" fontId="13" fillId="0" borderId="0" xfId="1" applyNumberFormat="1" applyFont="1"/>
    <xf numFmtId="49" fontId="13" fillId="0" borderId="0" xfId="1" applyNumberFormat="1" applyFont="1" applyAlignment="1">
      <alignment wrapText="1"/>
    </xf>
    <xf numFmtId="0" fontId="13" fillId="0" borderId="0" xfId="1" applyFont="1" applyAlignment="1">
      <alignment wrapText="1"/>
    </xf>
    <xf numFmtId="10" fontId="12" fillId="0" borderId="0" xfId="0" applyNumberFormat="1" applyFont="1"/>
    <xf numFmtId="49" fontId="10" fillId="0" borderId="0" xfId="1" applyNumberFormat="1" applyFont="1" applyAlignment="1">
      <alignment wrapText="1"/>
    </xf>
    <xf numFmtId="0" fontId="13" fillId="0" borderId="0" xfId="1" applyFont="1" applyAlignment="1">
      <alignment horizontal="left" vertical="center" wrapText="1"/>
    </xf>
    <xf numFmtId="0" fontId="13" fillId="0" borderId="0" xfId="1" applyFont="1"/>
    <xf numFmtId="0" fontId="13" fillId="0" borderId="0" xfId="0" applyFont="1"/>
    <xf numFmtId="0" fontId="13" fillId="0" borderId="0" xfId="0" applyFont="1" applyAlignment="1">
      <alignment wrapText="1"/>
    </xf>
    <xf numFmtId="49" fontId="14" fillId="0" borderId="0" xfId="1" applyNumberFormat="1" applyFont="1"/>
    <xf numFmtId="49" fontId="15" fillId="0" borderId="0" xfId="1" applyNumberFormat="1" applyFont="1" applyAlignment="1">
      <alignment wrapText="1"/>
    </xf>
    <xf numFmtId="0" fontId="15" fillId="0" borderId="0" xfId="1" applyFont="1" applyAlignment="1">
      <alignment wrapText="1"/>
    </xf>
    <xf numFmtId="49" fontId="14" fillId="0" borderId="0" xfId="1" applyNumberFormat="1" applyFont="1" applyAlignment="1">
      <alignment wrapText="1"/>
    </xf>
    <xf numFmtId="0" fontId="16" fillId="0" borderId="0" xfId="0" applyFont="1"/>
    <xf numFmtId="0" fontId="15" fillId="0" borderId="0" xfId="1" applyFont="1"/>
    <xf numFmtId="0" fontId="15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3" fillId="0" borderId="0" xfId="1" applyFont="1" applyAlignment="1">
      <alignment horizontal="justify" wrapText="1"/>
    </xf>
    <xf numFmtId="0" fontId="13" fillId="0" borderId="0" xfId="1" applyFont="1" applyAlignment="1">
      <alignment horizontal="justify"/>
    </xf>
    <xf numFmtId="49" fontId="15" fillId="0" borderId="0" xfId="1" applyNumberFormat="1" applyFont="1"/>
    <xf numFmtId="0" fontId="15" fillId="0" borderId="0" xfId="1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17" fillId="0" borderId="0" xfId="0" applyFont="1"/>
    <xf numFmtId="0" fontId="15" fillId="0" borderId="0" xfId="1" applyFont="1" applyAlignment="1">
      <alignment horizontal="justify"/>
    </xf>
    <xf numFmtId="0" fontId="15" fillId="0" borderId="0" xfId="1" applyFont="1" applyAlignment="1">
      <alignment horizontal="justify" wrapText="1"/>
    </xf>
    <xf numFmtId="0" fontId="11" fillId="0" borderId="0" xfId="0" applyFont="1"/>
    <xf numFmtId="10" fontId="11" fillId="0" borderId="0" xfId="0" applyNumberFormat="1" applyFont="1"/>
    <xf numFmtId="49" fontId="15" fillId="0" borderId="0" xfId="0" applyNumberFormat="1" applyFont="1" applyAlignment="1">
      <alignment wrapText="1"/>
    </xf>
    <xf numFmtId="0" fontId="18" fillId="0" borderId="0" xfId="0" applyFont="1" applyAlignment="1">
      <alignment horizontal="left" vertical="center" indent="8"/>
    </xf>
    <xf numFmtId="0" fontId="0" fillId="0" borderId="0" xfId="0" applyAlignment="1">
      <alignment horizontal="left" vertical="center" indent="8"/>
    </xf>
    <xf numFmtId="49" fontId="13" fillId="0" borderId="0" xfId="0" applyNumberFormat="1" applyFont="1" applyAlignment="1">
      <alignment wrapText="1"/>
    </xf>
    <xf numFmtId="0" fontId="19" fillId="0" borderId="0" xfId="0" applyFont="1"/>
    <xf numFmtId="10" fontId="13" fillId="0" borderId="0" xfId="1" applyNumberFormat="1" applyFont="1" applyAlignment="1">
      <alignment wrapText="1"/>
    </xf>
    <xf numFmtId="3" fontId="0" fillId="0" borderId="0" xfId="0" applyNumberFormat="1"/>
    <xf numFmtId="1" fontId="12" fillId="0" borderId="0" xfId="0" applyNumberFormat="1" applyFont="1"/>
    <xf numFmtId="1" fontId="0" fillId="0" borderId="0" xfId="0" applyNumberFormat="1"/>
    <xf numFmtId="0" fontId="20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49" fontId="15" fillId="0" borderId="0" xfId="0" applyNumberFormat="1" applyFont="1"/>
    <xf numFmtId="49" fontId="14" fillId="0" borderId="0" xfId="0" applyNumberFormat="1" applyFont="1"/>
    <xf numFmtId="49" fontId="14" fillId="0" borderId="0" xfId="0" applyNumberFormat="1" applyFont="1" applyAlignment="1">
      <alignment wrapText="1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wrapText="1"/>
    </xf>
    <xf numFmtId="0" fontId="15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justify"/>
    </xf>
    <xf numFmtId="0" fontId="15" fillId="0" borderId="0" xfId="0" applyFont="1" applyAlignment="1">
      <alignment horizontal="justify" wrapText="1"/>
    </xf>
    <xf numFmtId="164" fontId="12" fillId="0" borderId="0" xfId="0" applyNumberFormat="1" applyFont="1"/>
    <xf numFmtId="0" fontId="0" fillId="0" borderId="0" xfId="0" applyAlignment="1">
      <alignment vertical="top"/>
    </xf>
    <xf numFmtId="10" fontId="9" fillId="0" borderId="0" xfId="0" applyNumberFormat="1" applyFont="1" applyAlignment="1">
      <alignment horizontal="center" vertical="top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4" fillId="0" borderId="0" xfId="0" applyFont="1" applyAlignment="1">
      <alignment vertical="top"/>
    </xf>
    <xf numFmtId="10" fontId="0" fillId="0" borderId="0" xfId="0" applyNumberFormat="1"/>
    <xf numFmtId="0" fontId="21" fillId="0" borderId="0" xfId="0" applyFont="1" applyAlignment="1">
      <alignment vertical="center"/>
    </xf>
    <xf numFmtId="10" fontId="20" fillId="0" borderId="0" xfId="0" applyNumberFormat="1" applyFont="1" applyAlignment="1">
      <alignment horizontal="center"/>
    </xf>
    <xf numFmtId="10" fontId="21" fillId="0" borderId="0" xfId="0" applyNumberFormat="1" applyFont="1"/>
    <xf numFmtId="0" fontId="2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10" fontId="7" fillId="0" borderId="0" xfId="0" applyNumberFormat="1" applyFont="1"/>
    <xf numFmtId="0" fontId="11" fillId="0" borderId="0" xfId="3" applyFont="1" applyAlignment="1">
      <alignment horizontal="center" vertical="center" wrapText="1"/>
    </xf>
    <xf numFmtId="9" fontId="11" fillId="0" borderId="0" xfId="4" applyFont="1" applyAlignment="1">
      <alignment horizontal="center" vertical="center" wrapText="1"/>
    </xf>
    <xf numFmtId="0" fontId="6" fillId="0" borderId="0" xfId="3"/>
    <xf numFmtId="0" fontId="6" fillId="0" borderId="0" xfId="3" applyAlignment="1">
      <alignment vertical="center" wrapText="1"/>
    </xf>
    <xf numFmtId="3" fontId="6" fillId="0" borderId="0" xfId="3" applyNumberFormat="1" applyAlignment="1">
      <alignment vertical="center" wrapText="1"/>
    </xf>
    <xf numFmtId="9" fontId="0" fillId="0" borderId="0" xfId="4" applyFont="1"/>
    <xf numFmtId="9" fontId="11" fillId="0" borderId="0" xfId="2" applyFont="1" applyBorder="1" applyAlignment="1">
      <alignment horizontal="center"/>
    </xf>
    <xf numFmtId="9" fontId="12" fillId="0" borderId="0" xfId="2" applyFont="1" applyFill="1" applyBorder="1"/>
    <xf numFmtId="9" fontId="14" fillId="0" borderId="0" xfId="2" applyFont="1" applyFill="1" applyBorder="1" applyAlignment="1">
      <alignment wrapText="1"/>
    </xf>
    <xf numFmtId="9" fontId="12" fillId="0" borderId="0" xfId="2" applyFont="1" applyBorder="1"/>
    <xf numFmtId="9" fontId="7" fillId="0" borderId="0" xfId="2" applyFont="1" applyBorder="1"/>
    <xf numFmtId="165" fontId="0" fillId="0" borderId="0" xfId="4" applyNumberFormat="1" applyFont="1"/>
    <xf numFmtId="0" fontId="5" fillId="0" borderId="0" xfId="3" applyFont="1" applyAlignment="1">
      <alignment vertical="center" wrapText="1"/>
    </xf>
    <xf numFmtId="0" fontId="5" fillId="0" borderId="0" xfId="3" applyFont="1"/>
    <xf numFmtId="0" fontId="4" fillId="0" borderId="0" xfId="0" applyFont="1"/>
    <xf numFmtId="10" fontId="12" fillId="0" borderId="0" xfId="2" applyNumberFormat="1" applyFont="1" applyBorder="1"/>
    <xf numFmtId="0" fontId="3" fillId="0" borderId="0" xfId="0" applyFont="1"/>
    <xf numFmtId="9" fontId="0" fillId="0" borderId="0" xfId="2" applyFont="1"/>
    <xf numFmtId="0" fontId="11" fillId="0" borderId="1" xfId="0" applyFont="1" applyBorder="1" applyAlignment="1">
      <alignment horizontal="center" vertical="top"/>
    </xf>
    <xf numFmtId="9" fontId="11" fillId="0" borderId="1" xfId="2" applyFont="1" applyBorder="1" applyAlignment="1">
      <alignment horizontal="center" vertical="top"/>
    </xf>
    <xf numFmtId="2" fontId="1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6" fontId="12" fillId="0" borderId="0" xfId="0" applyNumberFormat="1" applyFont="1"/>
    <xf numFmtId="167" fontId="12" fillId="0" borderId="0" xfId="0" applyNumberFormat="1" applyFont="1"/>
    <xf numFmtId="9" fontId="13" fillId="0" borderId="0" xfId="2" applyFont="1" applyBorder="1" applyAlignment="1">
      <alignment wrapText="1"/>
    </xf>
    <xf numFmtId="0" fontId="0" fillId="2" borderId="0" xfId="0" applyFill="1"/>
    <xf numFmtId="0" fontId="29" fillId="0" borderId="0" xfId="5"/>
    <xf numFmtId="0" fontId="0" fillId="3" borderId="0" xfId="0" applyFill="1"/>
    <xf numFmtId="0" fontId="1" fillId="0" borderId="0" xfId="3" applyFont="1" applyAlignment="1">
      <alignment vertical="center" wrapText="1"/>
    </xf>
    <xf numFmtId="0" fontId="21" fillId="3" borderId="0" xfId="0" applyFont="1" applyFill="1"/>
    <xf numFmtId="0" fontId="26" fillId="0" borderId="0" xfId="0" applyFont="1"/>
    <xf numFmtId="0" fontId="29" fillId="0" borderId="0" xfId="5" applyAlignment="1">
      <alignment vertical="center"/>
    </xf>
    <xf numFmtId="0" fontId="1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6">
    <cellStyle name="Link" xfId="5" builtinId="8"/>
    <cellStyle name="Normal 2" xfId="1" xr:uid="{00000000-0005-0000-0000-000001000000}"/>
    <cellStyle name="Prozent" xfId="2" builtinId="5"/>
    <cellStyle name="Prozent 2" xfId="4" xr:uid="{00000000-0005-0000-0000-000003000000}"/>
    <cellStyle name="Standard" xfId="0" builtinId="0"/>
    <cellStyle name="Standard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2656</xdr:row>
      <xdr:rowOff>0</xdr:rowOff>
    </xdr:from>
    <xdr:to>
      <xdr:col>0</xdr:col>
      <xdr:colOff>304800</xdr:colOff>
      <xdr:row>2657</xdr:row>
      <xdr:rowOff>103093</xdr:rowOff>
    </xdr:to>
    <xdr:sp macro="" textlink="">
      <xdr:nvSpPr>
        <xdr:cNvPr id="2" name="AutoShape 1" descr="https://www.lightmetalage.com/wp-content/uploads/2015/07/lma-logo-350x90.pn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s-eenergies-open-data-euf.hub.arcgis.com/datasets/5e36c0af918040ed936b4e4c101f611d_0/explore?location=43.560559%2C6.679068%2C3.82&amp;showTable=true" TargetMode="External"/><Relationship Id="rId13" Type="http://schemas.openxmlformats.org/officeDocument/2006/relationships/hyperlink" Target="https://www.google.com/maps/d/u/2/embed?mid=z1zz1byO2tRw.kqh2OYwbS6J0" TargetMode="External"/><Relationship Id="rId18" Type="http://schemas.openxmlformats.org/officeDocument/2006/relationships/hyperlink" Target="https://www.icis.com/explore/resources/news/2019/01/31/10313703/chemical-profile-europe-methanol" TargetMode="External"/><Relationship Id="rId26" Type="http://schemas.openxmlformats.org/officeDocument/2006/relationships/hyperlink" Target="https://www.chlorineindustryreview.com/competitiveness/" TargetMode="External"/><Relationship Id="rId3" Type="http://schemas.openxmlformats.org/officeDocument/2006/relationships/hyperlink" Target="https://face-aluminium.com/wp-content/uploads/2019/06/2019-LUISS-Study.pdf" TargetMode="External"/><Relationship Id="rId21" Type="http://schemas.openxmlformats.org/officeDocument/2006/relationships/hyperlink" Target="https://www.icis.com/explore/resources/news/2012/05/07/9556557/europe-chemical-profile-orthoxylene/" TargetMode="External"/><Relationship Id="rId7" Type="http://schemas.openxmlformats.org/officeDocument/2006/relationships/hyperlink" Target="https://s-eenergies-open-data-euf.hub.arcgis.com/datasets/a6a1e8e95514413a90bbb2e40515fdb2_0/explore?location=42.427085%2C6.679068%2C3.64&amp;showTable=true" TargetMode="External"/><Relationship Id="rId12" Type="http://schemas.openxmlformats.org/officeDocument/2006/relationships/hyperlink" Target="https://plants.glassglobal.com/login/" TargetMode="External"/><Relationship Id="rId17" Type="http://schemas.openxmlformats.org/officeDocument/2006/relationships/hyperlink" Target="https://www.icis.com/explore/resources/news/2012/06/25/9571858/europe-chemical-profile-methanol/" TargetMode="External"/><Relationship Id="rId25" Type="http://schemas.openxmlformats.org/officeDocument/2006/relationships/hyperlink" Target="https://www.iva.de/sites/default/files/benutzer/%25uid/publikationen/wiza_2015_2016_0.pdf" TargetMode="External"/><Relationship Id="rId2" Type="http://schemas.openxmlformats.org/officeDocument/2006/relationships/hyperlink" Target="https://single-market-economy.ec.europa.eu/sectors/raw-materials/areas-specific-interest/critical-raw-materials_en" TargetMode="External"/><Relationship Id="rId16" Type="http://schemas.openxmlformats.org/officeDocument/2006/relationships/hyperlink" Target="https://eippcb.jrc.ec.europa.eu/sites/default/files/2019-11/lvic_aaf.pdf" TargetMode="External"/><Relationship Id="rId20" Type="http://schemas.openxmlformats.org/officeDocument/2006/relationships/hyperlink" Target="https://www.icis.com/explore/resources/news/2012/10/15/9603331/europe-chemical-profile-benzene/" TargetMode="External"/><Relationship Id="rId29" Type="http://schemas.openxmlformats.org/officeDocument/2006/relationships/hyperlink" Target="http://www.shts.org.rs/srpska/organic.html" TargetMode="External"/><Relationship Id="rId1" Type="http://schemas.openxmlformats.org/officeDocument/2006/relationships/hyperlink" Target="https://www.lightmetalage.com/resources-section/primary-producers/" TargetMode="External"/><Relationship Id="rId6" Type="http://schemas.openxmlformats.org/officeDocument/2006/relationships/hyperlink" Target="https://s-eenergies-open-data-euf.hub.arcgis.com/datasets/a6a1e8e95514413a90bbb2e40515fdb2_0/explore?location=42.427085%2C6.679068%2C3.64&amp;showTable=true" TargetMode="External"/><Relationship Id="rId11" Type="http://schemas.openxmlformats.org/officeDocument/2006/relationships/hyperlink" Target="https://s-eenergies-open-data-euf.hub.arcgis.com/datasets/5e36c0af918040ed936b4e4c101f611d_0/explore?location=43.560559%2C6.679068%2C3.82&amp;showTable=true" TargetMode="External"/><Relationship Id="rId24" Type="http://schemas.openxmlformats.org/officeDocument/2006/relationships/hyperlink" Target="http://www.shts.org.rs/srpska/organic.html" TargetMode="External"/><Relationship Id="rId5" Type="http://schemas.openxmlformats.org/officeDocument/2006/relationships/hyperlink" Target="https://www.lightmetalage.com/resources-section/secondary-producers/" TargetMode="External"/><Relationship Id="rId15" Type="http://schemas.openxmlformats.org/officeDocument/2006/relationships/hyperlink" Target="https://www.icis.com/explore/resources/news/2008/10/27/9166031/chemical-profile-ammonia/" TargetMode="External"/><Relationship Id="rId23" Type="http://schemas.openxmlformats.org/officeDocument/2006/relationships/hyperlink" Target="https://www.hip-petrohemija.com/tehnologija/proizvodna-linija/etilen.22.html" TargetMode="External"/><Relationship Id="rId28" Type="http://schemas.openxmlformats.org/officeDocument/2006/relationships/hyperlink" Target="https://www.eurofer.eu/assets/Uploads/Map-20191113_Eurofer_SteelIndustry_Rev3-has-stainless.pdf" TargetMode="External"/><Relationship Id="rId10" Type="http://schemas.openxmlformats.org/officeDocument/2006/relationships/hyperlink" Target="https://s-eenergies-open-data-euf.hub.arcgis.com/datasets/a6a1e8e95514413a90bbb2e40515fdb2_0/explore?location=42.427085%2C6.679068%2C3.64&amp;showTable=true" TargetMode="External"/><Relationship Id="rId19" Type="http://schemas.openxmlformats.org/officeDocument/2006/relationships/hyperlink" Target="https://www.icis.com/explore/resources/news/2015/04/06/9873229/chemical-profile-europe-toluene/" TargetMode="External"/><Relationship Id="rId4" Type="http://schemas.openxmlformats.org/officeDocument/2006/relationships/hyperlink" Target="https://european-aluminium.eu/about-aluminium/aluminium-industry/" TargetMode="External"/><Relationship Id="rId9" Type="http://schemas.openxmlformats.org/officeDocument/2006/relationships/hyperlink" Target="https://publications.lib.chalmers.se/records/fulltext/185715/local_185715.pdf" TargetMode="External"/><Relationship Id="rId14" Type="http://schemas.openxmlformats.org/officeDocument/2006/relationships/hyperlink" Target="https://healthybuilding.net/uploads/files/Chlorine%20&amp;%20Building%20Materials%20Phase%202%20Asia.pdf" TargetMode="External"/><Relationship Id="rId22" Type="http://schemas.openxmlformats.org/officeDocument/2006/relationships/hyperlink" Target="https://www.icis.com/explore/resources/news/2011/07/04/9474487/european-chemical-profile-paraxylene/" TargetMode="External"/><Relationship Id="rId27" Type="http://schemas.openxmlformats.org/officeDocument/2006/relationships/hyperlink" Target="https://www.eurofer.eu/assets/Uploads/Map-20191113_Eurofer_SteelIndustry_Rev3-has-stainless.pdf" TargetMode="External"/><Relationship Id="rId30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5"/>
  <sheetViews>
    <sheetView topLeftCell="A281" zoomScale="70" zoomScaleNormal="70" workbookViewId="0">
      <selection activeCell="B313" sqref="B313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20.125" style="3" customWidth="1"/>
    <col min="5" max="5" width="29.875" style="3" bestFit="1" customWidth="1"/>
    <col min="6" max="7" width="29.875" style="3" customWidth="1"/>
    <col min="8" max="8" width="18.875" style="3" bestFit="1" customWidth="1"/>
    <col min="9" max="9" width="11.625" style="8" bestFit="1" customWidth="1"/>
    <col min="10" max="10" width="24" style="3" bestFit="1" customWidth="1"/>
    <col min="11" max="11" width="16.875" style="3" bestFit="1" customWidth="1"/>
    <col min="12" max="12" width="20.625" style="3" bestFit="1" customWidth="1"/>
    <col min="13" max="16384" width="10.875" style="3"/>
  </cols>
  <sheetData>
    <row r="1" spans="1:13">
      <c r="A1" s="22" t="s">
        <v>0</v>
      </c>
      <c r="B1" s="22" t="s">
        <v>657</v>
      </c>
      <c r="C1" s="22" t="s">
        <v>1</v>
      </c>
      <c r="D1" s="22" t="s">
        <v>2</v>
      </c>
      <c r="E1" s="22" t="s">
        <v>658</v>
      </c>
      <c r="F1" s="22" t="s">
        <v>4927</v>
      </c>
      <c r="G1" s="22" t="s">
        <v>828</v>
      </c>
      <c r="H1" s="22" t="s">
        <v>694</v>
      </c>
      <c r="I1" s="23" t="s">
        <v>693</v>
      </c>
      <c r="J1" s="2"/>
      <c r="K1" s="2"/>
      <c r="L1" s="2"/>
    </row>
    <row r="2" spans="1:13" ht="30">
      <c r="A2" s="108" t="s">
        <v>3</v>
      </c>
      <c r="B2" s="3" t="s">
        <v>37</v>
      </c>
      <c r="C2" s="5" t="s">
        <v>36</v>
      </c>
      <c r="D2" s="6"/>
      <c r="E2" s="7" t="s">
        <v>621</v>
      </c>
      <c r="F2" s="7"/>
      <c r="G2" s="7"/>
      <c r="M2" s="4"/>
    </row>
    <row r="3" spans="1:13">
      <c r="A3" s="108"/>
      <c r="B3" s="3" t="s">
        <v>38</v>
      </c>
      <c r="C3" s="5" t="s">
        <v>46</v>
      </c>
      <c r="D3" s="6"/>
      <c r="E3" s="7" t="s">
        <v>316</v>
      </c>
      <c r="F3" s="7"/>
      <c r="G3" s="7"/>
      <c r="J3" s="4"/>
      <c r="K3" s="9"/>
      <c r="M3" s="4"/>
    </row>
    <row r="4" spans="1:13">
      <c r="A4" s="108"/>
      <c r="B4" s="3" t="s">
        <v>39</v>
      </c>
      <c r="C4" s="5" t="s">
        <v>40</v>
      </c>
      <c r="D4" s="6" t="s">
        <v>806</v>
      </c>
      <c r="E4" s="7" t="s">
        <v>317</v>
      </c>
      <c r="F4" s="7"/>
      <c r="G4" s="7">
        <v>1200</v>
      </c>
      <c r="H4" s="3">
        <f>SUM($F4:$G4)</f>
        <v>1200</v>
      </c>
      <c r="I4" s="8">
        <f>H4/SUM($H$4:$H$9)</f>
        <v>0.14285714285714285</v>
      </c>
      <c r="M4" s="4"/>
    </row>
    <row r="5" spans="1:13">
      <c r="A5" s="108"/>
      <c r="B5" s="3" t="s">
        <v>40</v>
      </c>
      <c r="C5" s="5" t="s">
        <v>44</v>
      </c>
      <c r="D5" s="6" t="s">
        <v>830</v>
      </c>
      <c r="E5" s="7" t="s">
        <v>318</v>
      </c>
      <c r="F5" s="7">
        <v>5000</v>
      </c>
      <c r="G5" s="7"/>
      <c r="H5" s="3">
        <f t="shared" ref="H5:H64" si="0">SUM($F5:$G5)</f>
        <v>5000</v>
      </c>
      <c r="I5" s="8">
        <f t="shared" ref="I5:I9" si="1">H5/SUM($H$4:$H$9)</f>
        <v>0.59523809523809523</v>
      </c>
      <c r="M5" s="4"/>
    </row>
    <row r="6" spans="1:13">
      <c r="A6" s="108"/>
      <c r="B6" s="3" t="s">
        <v>41</v>
      </c>
      <c r="C6" s="5" t="s">
        <v>45</v>
      </c>
      <c r="D6" s="6"/>
      <c r="E6" s="7" t="s">
        <v>319</v>
      </c>
      <c r="F6" s="7"/>
      <c r="G6" s="7"/>
      <c r="M6" s="4"/>
    </row>
    <row r="7" spans="1:13">
      <c r="A7" s="108"/>
      <c r="B7" s="3" t="s">
        <v>42</v>
      </c>
      <c r="C7" s="5" t="s">
        <v>37</v>
      </c>
      <c r="D7" s="6"/>
      <c r="E7" s="7" t="s">
        <v>320</v>
      </c>
      <c r="F7" s="7"/>
      <c r="G7" s="7"/>
      <c r="M7" s="4"/>
    </row>
    <row r="8" spans="1:13">
      <c r="A8" s="108"/>
      <c r="B8" s="3" t="s">
        <v>43</v>
      </c>
      <c r="C8" s="5" t="s">
        <v>43</v>
      </c>
      <c r="D8" s="6"/>
      <c r="E8" s="7" t="s">
        <v>321</v>
      </c>
      <c r="F8" s="7"/>
      <c r="G8" s="7"/>
      <c r="M8" s="4"/>
    </row>
    <row r="9" spans="1:13" ht="30">
      <c r="A9" s="108"/>
      <c r="B9" s="3" t="s">
        <v>44</v>
      </c>
      <c r="C9" s="5" t="s">
        <v>42</v>
      </c>
      <c r="D9" s="6" t="s">
        <v>805</v>
      </c>
      <c r="E9" s="7" t="s">
        <v>322</v>
      </c>
      <c r="F9" s="7"/>
      <c r="G9" s="7">
        <f>850+350+1000</f>
        <v>2200</v>
      </c>
      <c r="H9" s="3">
        <f t="shared" si="0"/>
        <v>2200</v>
      </c>
      <c r="I9" s="8">
        <f t="shared" si="1"/>
        <v>0.26190476190476192</v>
      </c>
      <c r="M9" s="4"/>
    </row>
    <row r="10" spans="1:13">
      <c r="A10" s="108"/>
      <c r="B10" s="3" t="s">
        <v>45</v>
      </c>
      <c r="C10" s="5" t="s">
        <v>41</v>
      </c>
      <c r="D10" s="6"/>
      <c r="E10" s="7" t="s">
        <v>323</v>
      </c>
      <c r="F10" s="7"/>
      <c r="G10" s="7"/>
      <c r="M10" s="4"/>
    </row>
    <row r="11" spans="1:13">
      <c r="A11" s="108"/>
      <c r="B11" s="3" t="s">
        <v>36</v>
      </c>
      <c r="C11" s="5" t="s">
        <v>39</v>
      </c>
      <c r="D11" s="6"/>
      <c r="E11" s="7" t="s">
        <v>324</v>
      </c>
      <c r="F11" s="7"/>
      <c r="G11" s="7"/>
      <c r="M11" s="4"/>
    </row>
    <row r="12" spans="1:13">
      <c r="A12" s="108"/>
      <c r="B12" s="3" t="s">
        <v>46</v>
      </c>
      <c r="C12" s="5" t="s">
        <v>38</v>
      </c>
      <c r="D12" s="6"/>
      <c r="E12" s="7" t="s">
        <v>325</v>
      </c>
      <c r="F12" s="7"/>
      <c r="G12" s="7"/>
      <c r="M12" s="4"/>
    </row>
    <row r="13" spans="1:13">
      <c r="A13" s="108" t="s">
        <v>4</v>
      </c>
      <c r="B13" s="3" t="s">
        <v>47</v>
      </c>
      <c r="C13" s="5" t="s">
        <v>47</v>
      </c>
      <c r="D13" s="6"/>
      <c r="E13" s="7" t="s">
        <v>326</v>
      </c>
      <c r="F13" s="7"/>
      <c r="G13" s="7"/>
      <c r="M13" s="4"/>
    </row>
    <row r="14" spans="1:13">
      <c r="A14" s="108"/>
      <c r="B14" s="3" t="s">
        <v>48</v>
      </c>
      <c r="C14" s="5" t="s">
        <v>49</v>
      </c>
      <c r="D14" s="6"/>
      <c r="E14" s="7" t="s">
        <v>327</v>
      </c>
      <c r="F14" s="7"/>
      <c r="G14" s="7"/>
      <c r="M14" s="4"/>
    </row>
    <row r="15" spans="1:13">
      <c r="A15" s="108"/>
      <c r="B15" s="3" t="s">
        <v>49</v>
      </c>
      <c r="C15" s="5" t="s">
        <v>50</v>
      </c>
      <c r="D15" s="6"/>
      <c r="E15" s="7" t="s">
        <v>328</v>
      </c>
      <c r="F15" s="7"/>
      <c r="G15" s="7"/>
      <c r="M15" s="4"/>
    </row>
    <row r="16" spans="1:13">
      <c r="A16" s="108"/>
      <c r="B16" s="3" t="s">
        <v>50</v>
      </c>
      <c r="C16" s="5" t="s">
        <v>51</v>
      </c>
      <c r="D16" s="6"/>
      <c r="E16" s="7" t="s">
        <v>329</v>
      </c>
      <c r="F16" s="7"/>
      <c r="G16" s="7"/>
      <c r="M16" s="4"/>
    </row>
    <row r="17" spans="1:13">
      <c r="A17" s="108"/>
      <c r="B17" s="3" t="s">
        <v>51</v>
      </c>
      <c r="C17" s="5" t="s">
        <v>52</v>
      </c>
      <c r="D17" s="6" t="s">
        <v>845</v>
      </c>
      <c r="E17" s="7" t="s">
        <v>330</v>
      </c>
      <c r="F17" s="7"/>
      <c r="G17" s="7">
        <v>1000</v>
      </c>
      <c r="H17" s="3">
        <f t="shared" si="0"/>
        <v>1000</v>
      </c>
      <c r="I17" s="8">
        <v>1</v>
      </c>
      <c r="M17" s="4"/>
    </row>
    <row r="18" spans="1:13">
      <c r="A18" s="108"/>
      <c r="B18" s="3" t="s">
        <v>52</v>
      </c>
      <c r="C18" s="5" t="s">
        <v>48</v>
      </c>
      <c r="D18" s="6"/>
      <c r="E18" s="7" t="s">
        <v>331</v>
      </c>
      <c r="F18" s="7"/>
      <c r="G18" s="7"/>
      <c r="M18" s="4"/>
    </row>
    <row r="19" spans="1:13">
      <c r="A19" s="108" t="s">
        <v>5</v>
      </c>
      <c r="B19" s="3" t="s">
        <v>53</v>
      </c>
      <c r="C19" s="5" t="s">
        <v>54</v>
      </c>
      <c r="D19" s="6"/>
      <c r="E19" s="7" t="s">
        <v>332</v>
      </c>
      <c r="F19" s="7"/>
      <c r="G19" s="7"/>
      <c r="M19" s="4"/>
    </row>
    <row r="20" spans="1:13">
      <c r="A20" s="108"/>
      <c r="B20" s="3" t="s">
        <v>54</v>
      </c>
      <c r="C20" s="5" t="s">
        <v>53</v>
      </c>
      <c r="D20" s="6"/>
      <c r="E20" s="7" t="s">
        <v>333</v>
      </c>
      <c r="F20" s="7"/>
      <c r="G20" s="7"/>
      <c r="M20" s="4"/>
    </row>
    <row r="21" spans="1:13">
      <c r="A21" s="108"/>
      <c r="B21" s="3" t="s">
        <v>55</v>
      </c>
      <c r="C21" s="5" t="s">
        <v>60</v>
      </c>
      <c r="D21" s="6" t="s">
        <v>849</v>
      </c>
      <c r="E21" s="7" t="s">
        <v>334</v>
      </c>
      <c r="F21" s="7"/>
      <c r="G21" s="7">
        <v>150</v>
      </c>
      <c r="H21" s="3">
        <f t="shared" si="0"/>
        <v>150</v>
      </c>
      <c r="I21" s="8">
        <f>H21/SUM($H$21:$H$26)</f>
        <v>5.6179775280898875E-2</v>
      </c>
      <c r="M21" s="4"/>
    </row>
    <row r="22" spans="1:13">
      <c r="A22" s="108"/>
      <c r="B22" s="3" t="s">
        <v>56</v>
      </c>
      <c r="C22" s="5" t="s">
        <v>58</v>
      </c>
      <c r="E22" s="7" t="s">
        <v>335</v>
      </c>
      <c r="F22" s="7"/>
      <c r="G22" s="7"/>
      <c r="M22" s="4"/>
    </row>
    <row r="23" spans="1:13">
      <c r="A23" s="108"/>
      <c r="B23" s="3" t="s">
        <v>57</v>
      </c>
      <c r="C23" s="5" t="s">
        <v>57</v>
      </c>
      <c r="D23" s="6"/>
      <c r="E23" s="7" t="s">
        <v>336</v>
      </c>
      <c r="F23" s="7"/>
      <c r="G23" s="7"/>
      <c r="M23" s="4"/>
    </row>
    <row r="24" spans="1:13">
      <c r="A24" s="108"/>
      <c r="B24" s="3" t="s">
        <v>58</v>
      </c>
      <c r="C24" s="5" t="s">
        <v>59</v>
      </c>
      <c r="D24" s="6"/>
      <c r="E24" s="7" t="s">
        <v>337</v>
      </c>
      <c r="F24" s="7"/>
      <c r="G24" s="7"/>
      <c r="M24" s="4"/>
    </row>
    <row r="25" spans="1:13">
      <c r="A25" s="108"/>
      <c r="B25" s="3" t="s">
        <v>59</v>
      </c>
      <c r="C25" s="5" t="s">
        <v>55</v>
      </c>
      <c r="D25" s="6"/>
      <c r="E25" s="7" t="s">
        <v>338</v>
      </c>
      <c r="F25" s="7"/>
      <c r="G25" s="7"/>
      <c r="M25" s="4"/>
    </row>
    <row r="26" spans="1:13" ht="30">
      <c r="A26" s="108"/>
      <c r="B26" s="3" t="s">
        <v>60</v>
      </c>
      <c r="C26" s="5" t="s">
        <v>56</v>
      </c>
      <c r="D26" s="6" t="s">
        <v>848</v>
      </c>
      <c r="E26" s="7" t="s">
        <v>339</v>
      </c>
      <c r="F26" s="7">
        <v>2400</v>
      </c>
      <c r="G26" s="7">
        <v>120</v>
      </c>
      <c r="H26" s="3">
        <f t="shared" si="0"/>
        <v>2520</v>
      </c>
      <c r="I26" s="8">
        <f t="shared" ref="I26" si="2">H26/SUM($H$21:$H$26)</f>
        <v>0.9438202247191011</v>
      </c>
      <c r="M26" s="4"/>
    </row>
    <row r="27" spans="1:13">
      <c r="A27" s="108" t="s">
        <v>6</v>
      </c>
      <c r="B27" s="3" t="s">
        <v>61</v>
      </c>
      <c r="C27" s="5" t="s">
        <v>64</v>
      </c>
      <c r="D27" s="6"/>
      <c r="E27" s="7" t="s">
        <v>340</v>
      </c>
      <c r="F27" s="7"/>
      <c r="G27" s="7"/>
      <c r="I27" s="8">
        <f>1/ROWS(C27:C31)</f>
        <v>0.2</v>
      </c>
      <c r="J27" s="91" t="s">
        <v>950</v>
      </c>
      <c r="M27" s="4"/>
    </row>
    <row r="28" spans="1:13">
      <c r="A28" s="108"/>
      <c r="B28" s="3" t="s">
        <v>62</v>
      </c>
      <c r="C28" s="5" t="s">
        <v>61</v>
      </c>
      <c r="D28" s="6"/>
      <c r="E28" s="7" t="s">
        <v>341</v>
      </c>
      <c r="F28" s="7"/>
      <c r="G28" s="7"/>
      <c r="I28" s="8">
        <f t="shared" ref="I28:I31" si="3">1/ROWS(C28:C32)</f>
        <v>0.2</v>
      </c>
      <c r="J28" s="91" t="s">
        <v>950</v>
      </c>
      <c r="M28" s="4"/>
    </row>
    <row r="29" spans="1:13">
      <c r="A29" s="108"/>
      <c r="B29" s="3" t="s">
        <v>63</v>
      </c>
      <c r="C29" s="5" t="s">
        <v>63</v>
      </c>
      <c r="D29" s="6"/>
      <c r="E29" s="7" t="s">
        <v>342</v>
      </c>
      <c r="F29" s="7"/>
      <c r="G29" s="7"/>
      <c r="I29" s="8">
        <f t="shared" si="3"/>
        <v>0.2</v>
      </c>
      <c r="J29" s="91" t="s">
        <v>950</v>
      </c>
      <c r="M29" s="4"/>
    </row>
    <row r="30" spans="1:13">
      <c r="A30" s="108"/>
      <c r="B30" s="3" t="s">
        <v>64</v>
      </c>
      <c r="C30" s="5" t="s">
        <v>65</v>
      </c>
      <c r="D30" s="6"/>
      <c r="E30" s="7" t="s">
        <v>343</v>
      </c>
      <c r="F30" s="7"/>
      <c r="G30" s="7"/>
      <c r="I30" s="8">
        <f t="shared" si="3"/>
        <v>0.2</v>
      </c>
      <c r="J30" s="91" t="s">
        <v>950</v>
      </c>
      <c r="M30" s="4"/>
    </row>
    <row r="31" spans="1:13">
      <c r="A31" s="108"/>
      <c r="B31" s="3" t="s">
        <v>65</v>
      </c>
      <c r="C31" s="5" t="s">
        <v>62</v>
      </c>
      <c r="D31" s="6"/>
      <c r="E31" s="7" t="s">
        <v>344</v>
      </c>
      <c r="F31" s="7"/>
      <c r="G31" s="7"/>
      <c r="I31" s="8">
        <f t="shared" si="3"/>
        <v>0.2</v>
      </c>
      <c r="J31" s="91" t="s">
        <v>950</v>
      </c>
      <c r="M31" s="4"/>
    </row>
    <row r="32" spans="1:13">
      <c r="A32" s="108" t="s">
        <v>7</v>
      </c>
      <c r="B32" s="3" t="s">
        <v>66</v>
      </c>
      <c r="C32" s="5" t="s">
        <v>101</v>
      </c>
      <c r="D32" s="6"/>
      <c r="E32" s="7" t="s">
        <v>345</v>
      </c>
      <c r="F32" s="7"/>
      <c r="G32" s="7"/>
      <c r="M32" s="4"/>
    </row>
    <row r="33" spans="1:13">
      <c r="A33" s="108"/>
      <c r="B33" s="3" t="s">
        <v>67</v>
      </c>
      <c r="C33" s="5" t="s">
        <v>102</v>
      </c>
      <c r="D33" s="6"/>
      <c r="E33" s="7" t="s">
        <v>346</v>
      </c>
      <c r="F33" s="7"/>
      <c r="G33" s="7"/>
      <c r="M33" s="4"/>
    </row>
    <row r="34" spans="1:13">
      <c r="A34" s="108"/>
      <c r="B34" s="3" t="s">
        <v>68</v>
      </c>
      <c r="C34" s="5" t="s">
        <v>103</v>
      </c>
      <c r="D34" s="6" t="s">
        <v>860</v>
      </c>
      <c r="E34" s="7" t="s">
        <v>347</v>
      </c>
      <c r="F34" s="7"/>
      <c r="G34" s="7">
        <v>2500</v>
      </c>
      <c r="H34" s="3">
        <f t="shared" si="0"/>
        <v>2500</v>
      </c>
      <c r="I34" s="8">
        <f>H34/SUM($H$34:$H$69)</f>
        <v>5.7168991538989251E-2</v>
      </c>
      <c r="M34" s="4"/>
    </row>
    <row r="35" spans="1:13">
      <c r="A35" s="108"/>
      <c r="B35" s="3" t="s">
        <v>69</v>
      </c>
      <c r="C35" s="5" t="s">
        <v>100</v>
      </c>
      <c r="D35" s="6"/>
      <c r="E35" s="7" t="s">
        <v>348</v>
      </c>
      <c r="F35" s="7"/>
      <c r="G35" s="7"/>
      <c r="M35" s="4"/>
    </row>
    <row r="36" spans="1:13">
      <c r="A36" s="108"/>
      <c r="B36" s="3" t="s">
        <v>70</v>
      </c>
      <c r="C36" s="5" t="s">
        <v>97</v>
      </c>
      <c r="D36" s="25"/>
      <c r="E36" s="7" t="s">
        <v>349</v>
      </c>
      <c r="F36" s="7"/>
      <c r="G36" s="25"/>
      <c r="M36" s="4"/>
    </row>
    <row r="37" spans="1:13">
      <c r="A37" s="108"/>
      <c r="B37" s="3" t="s">
        <v>71</v>
      </c>
      <c r="C37" s="5" t="s">
        <v>98</v>
      </c>
      <c r="D37" s="6"/>
      <c r="E37" s="7" t="s">
        <v>350</v>
      </c>
      <c r="F37" s="7"/>
      <c r="G37" s="7"/>
      <c r="M37" s="4"/>
    </row>
    <row r="38" spans="1:13">
      <c r="A38" s="108"/>
      <c r="B38" s="3" t="s">
        <v>72</v>
      </c>
      <c r="C38" s="5" t="s">
        <v>95</v>
      </c>
      <c r="D38" s="6"/>
      <c r="E38" s="7" t="s">
        <v>351</v>
      </c>
      <c r="F38" s="7"/>
      <c r="G38" s="7"/>
      <c r="M38" s="4"/>
    </row>
    <row r="39" spans="1:13">
      <c r="A39" s="108"/>
      <c r="B39" s="3" t="s">
        <v>73</v>
      </c>
      <c r="C39" s="5" t="s">
        <v>96</v>
      </c>
      <c r="D39" s="6"/>
      <c r="E39" s="7" t="s">
        <v>352</v>
      </c>
      <c r="F39" s="7"/>
      <c r="G39" s="7"/>
      <c r="M39" s="4"/>
    </row>
    <row r="40" spans="1:13">
      <c r="A40" s="108"/>
      <c r="B40" s="3" t="s">
        <v>74</v>
      </c>
      <c r="C40" s="5" t="s">
        <v>99</v>
      </c>
      <c r="D40" s="6"/>
      <c r="E40" s="7" t="s">
        <v>353</v>
      </c>
      <c r="F40" s="7"/>
      <c r="G40" s="7"/>
      <c r="M40" s="4"/>
    </row>
    <row r="41" spans="1:13">
      <c r="A41" s="108"/>
      <c r="B41" s="3" t="s">
        <v>75</v>
      </c>
      <c r="C41" s="5" t="s">
        <v>93</v>
      </c>
      <c r="D41" s="6"/>
      <c r="E41" s="7" t="s">
        <v>354</v>
      </c>
      <c r="F41" s="7"/>
      <c r="G41" s="7"/>
      <c r="M41" s="4"/>
    </row>
    <row r="42" spans="1:13">
      <c r="A42" s="108"/>
      <c r="B42" s="3" t="s">
        <v>76</v>
      </c>
      <c r="C42" s="5" t="s">
        <v>94</v>
      </c>
      <c r="D42" s="6" t="s">
        <v>859</v>
      </c>
      <c r="E42" s="7" t="s">
        <v>355</v>
      </c>
      <c r="F42" s="7"/>
      <c r="G42" s="7">
        <v>1180</v>
      </c>
      <c r="H42" s="3">
        <f t="shared" si="0"/>
        <v>1180</v>
      </c>
      <c r="I42" s="8">
        <f t="shared" ref="I42:I69" si="4">H42/SUM($H$34:$H$69)</f>
        <v>2.6983764006402927E-2</v>
      </c>
      <c r="M42" s="4"/>
    </row>
    <row r="43" spans="1:13">
      <c r="A43" s="108"/>
      <c r="B43" s="3" t="s">
        <v>77</v>
      </c>
      <c r="C43" s="5" t="s">
        <v>92</v>
      </c>
      <c r="D43" s="6"/>
      <c r="E43" s="7" t="s">
        <v>356</v>
      </c>
      <c r="F43" s="7"/>
      <c r="G43" s="7"/>
      <c r="M43" s="4"/>
    </row>
    <row r="44" spans="1:13" ht="45">
      <c r="A44" s="108"/>
      <c r="B44" s="3" t="s">
        <v>78</v>
      </c>
      <c r="C44" s="5" t="s">
        <v>91</v>
      </c>
      <c r="D44" s="6" t="s">
        <v>858</v>
      </c>
      <c r="E44" s="7" t="s">
        <v>357</v>
      </c>
      <c r="F44" s="7">
        <v>2400</v>
      </c>
      <c r="G44" s="7">
        <f>1800+1000</f>
        <v>2800</v>
      </c>
      <c r="H44" s="3">
        <f t="shared" si="0"/>
        <v>5200</v>
      </c>
      <c r="I44" s="8">
        <f t="shared" si="4"/>
        <v>0.11891150240109764</v>
      </c>
      <c r="M44" s="4"/>
    </row>
    <row r="45" spans="1:13">
      <c r="A45" s="108"/>
      <c r="B45" s="3" t="s">
        <v>79</v>
      </c>
      <c r="C45" s="5" t="s">
        <v>90</v>
      </c>
      <c r="D45" s="6" t="s">
        <v>358</v>
      </c>
      <c r="E45" s="7" t="s">
        <v>358</v>
      </c>
      <c r="F45" s="7">
        <v>3800</v>
      </c>
      <c r="G45" s="7"/>
      <c r="H45" s="3">
        <f t="shared" si="0"/>
        <v>3800</v>
      </c>
      <c r="I45" s="8">
        <f t="shared" si="4"/>
        <v>8.6896867139263659E-2</v>
      </c>
      <c r="M45" s="4"/>
    </row>
    <row r="46" spans="1:13">
      <c r="A46" s="108"/>
      <c r="B46" s="3" t="s">
        <v>80</v>
      </c>
      <c r="C46" s="5" t="s">
        <v>89</v>
      </c>
      <c r="D46" s="6" t="s">
        <v>359</v>
      </c>
      <c r="E46" s="7" t="s">
        <v>359</v>
      </c>
      <c r="F46" s="7"/>
      <c r="G46" s="7">
        <v>1100</v>
      </c>
      <c r="H46" s="3">
        <f t="shared" si="0"/>
        <v>1100</v>
      </c>
      <c r="I46" s="8">
        <f t="shared" si="4"/>
        <v>2.515435627715527E-2</v>
      </c>
      <c r="M46" s="4"/>
    </row>
    <row r="47" spans="1:13">
      <c r="A47" s="108"/>
      <c r="B47" s="3" t="s">
        <v>81</v>
      </c>
      <c r="C47" s="5" t="s">
        <v>88</v>
      </c>
      <c r="D47" s="6"/>
      <c r="E47" s="7" t="s">
        <v>360</v>
      </c>
      <c r="F47" s="7"/>
      <c r="G47" s="7"/>
      <c r="M47" s="4"/>
    </row>
    <row r="48" spans="1:13">
      <c r="A48" s="108"/>
      <c r="B48" s="3" t="s">
        <v>82</v>
      </c>
      <c r="C48" s="5" t="s">
        <v>87</v>
      </c>
      <c r="D48" s="6" t="s">
        <v>813</v>
      </c>
      <c r="E48" s="7" t="s">
        <v>361</v>
      </c>
      <c r="F48" s="7"/>
      <c r="G48" s="7">
        <v>400</v>
      </c>
      <c r="H48" s="3">
        <f t="shared" si="0"/>
        <v>400</v>
      </c>
      <c r="I48" s="8">
        <f t="shared" si="4"/>
        <v>9.1470386462382796E-3</v>
      </c>
      <c r="M48" s="4"/>
    </row>
    <row r="49" spans="1:13">
      <c r="A49" s="108"/>
      <c r="B49" s="3" t="s">
        <v>83</v>
      </c>
      <c r="C49" s="5" t="s">
        <v>86</v>
      </c>
      <c r="D49" s="6"/>
      <c r="E49" s="7" t="s">
        <v>362</v>
      </c>
      <c r="F49" s="7"/>
      <c r="G49" s="7"/>
      <c r="M49" s="4"/>
    </row>
    <row r="50" spans="1:13">
      <c r="A50" s="108"/>
      <c r="B50" s="3" t="s">
        <v>84</v>
      </c>
      <c r="C50" s="5" t="s">
        <v>85</v>
      </c>
      <c r="D50" s="6"/>
      <c r="E50" s="7" t="s">
        <v>363</v>
      </c>
      <c r="F50" s="7"/>
      <c r="G50" s="7"/>
      <c r="M50" s="4"/>
    </row>
    <row r="51" spans="1:13" ht="30">
      <c r="A51" s="108"/>
      <c r="B51" s="3" t="s">
        <v>85</v>
      </c>
      <c r="C51" s="5" t="s">
        <v>84</v>
      </c>
      <c r="D51" s="6" t="s">
        <v>862</v>
      </c>
      <c r="E51" s="7" t="s">
        <v>364</v>
      </c>
      <c r="F51" s="7">
        <v>5200</v>
      </c>
      <c r="G51" s="7">
        <v>1000</v>
      </c>
      <c r="H51" s="3">
        <f t="shared" si="0"/>
        <v>6200</v>
      </c>
      <c r="I51" s="8">
        <f t="shared" si="4"/>
        <v>0.14177909901669333</v>
      </c>
      <c r="M51" s="4"/>
    </row>
    <row r="52" spans="1:13">
      <c r="A52" s="108"/>
      <c r="B52" s="3" t="s">
        <v>86</v>
      </c>
      <c r="C52" s="5" t="s">
        <v>83</v>
      </c>
      <c r="D52" s="6"/>
      <c r="E52" s="7" t="s">
        <v>365</v>
      </c>
      <c r="F52" s="7"/>
      <c r="G52" s="7"/>
      <c r="M52" s="4"/>
    </row>
    <row r="53" spans="1:13">
      <c r="A53" s="108"/>
      <c r="B53" s="3" t="s">
        <v>87</v>
      </c>
      <c r="C53" s="5" t="s">
        <v>82</v>
      </c>
      <c r="D53" s="6"/>
      <c r="E53" s="7" t="s">
        <v>366</v>
      </c>
      <c r="F53" s="7"/>
      <c r="G53" s="7"/>
      <c r="M53" s="4"/>
    </row>
    <row r="54" spans="1:13" ht="30">
      <c r="A54" s="108"/>
      <c r="B54" s="3" t="s">
        <v>88</v>
      </c>
      <c r="C54" s="5" t="s">
        <v>81</v>
      </c>
      <c r="D54" s="6" t="s">
        <v>861</v>
      </c>
      <c r="E54" s="7" t="s">
        <v>367</v>
      </c>
      <c r="F54" s="7"/>
      <c r="G54" s="7">
        <f>1100+620</f>
        <v>1720</v>
      </c>
      <c r="H54" s="3">
        <f t="shared" si="0"/>
        <v>1720</v>
      </c>
      <c r="I54" s="8">
        <f t="shared" si="4"/>
        <v>3.9332266178824606E-2</v>
      </c>
      <c r="M54" s="4"/>
    </row>
    <row r="55" spans="1:13">
      <c r="A55" s="108"/>
      <c r="B55" s="3" t="s">
        <v>89</v>
      </c>
      <c r="C55" s="5" t="s">
        <v>78</v>
      </c>
      <c r="D55" s="3" t="s">
        <v>832</v>
      </c>
      <c r="E55" s="7" t="s">
        <v>368</v>
      </c>
      <c r="F55" s="7">
        <v>11560</v>
      </c>
      <c r="H55" s="3">
        <f t="shared" si="0"/>
        <v>11560</v>
      </c>
      <c r="I55" s="8">
        <f t="shared" si="4"/>
        <v>0.26434941687628633</v>
      </c>
      <c r="M55" s="4"/>
    </row>
    <row r="56" spans="1:13">
      <c r="A56" s="108"/>
      <c r="B56" s="3" t="s">
        <v>90</v>
      </c>
      <c r="C56" s="5" t="s">
        <v>77</v>
      </c>
      <c r="D56" s="25"/>
      <c r="E56" s="7" t="s">
        <v>369</v>
      </c>
      <c r="F56" s="7"/>
      <c r="G56" s="25"/>
      <c r="M56" s="4"/>
    </row>
    <row r="57" spans="1:13">
      <c r="A57" s="108"/>
      <c r="B57" s="3" t="s">
        <v>91</v>
      </c>
      <c r="C57" s="5" t="s">
        <v>76</v>
      </c>
      <c r="D57" s="6"/>
      <c r="E57" s="7" t="s">
        <v>370</v>
      </c>
      <c r="F57" s="7"/>
      <c r="G57" s="7"/>
      <c r="M57" s="4"/>
    </row>
    <row r="58" spans="1:13">
      <c r="A58" s="108"/>
      <c r="B58" s="3" t="s">
        <v>92</v>
      </c>
      <c r="C58" s="5" t="s">
        <v>79</v>
      </c>
      <c r="D58" s="6"/>
      <c r="E58" s="7" t="s">
        <v>371</v>
      </c>
      <c r="F58" s="7"/>
      <c r="G58" s="7"/>
      <c r="M58" s="4"/>
    </row>
    <row r="59" spans="1:13" ht="30">
      <c r="A59" s="108"/>
      <c r="B59" s="3" t="s">
        <v>93</v>
      </c>
      <c r="C59" s="5" t="s">
        <v>80</v>
      </c>
      <c r="D59" s="6" t="s">
        <v>814</v>
      </c>
      <c r="E59" s="7" t="s">
        <v>372</v>
      </c>
      <c r="F59" s="7"/>
      <c r="G59" s="7">
        <f>600+150+480</f>
        <v>1230</v>
      </c>
      <c r="H59" s="3">
        <f t="shared" si="0"/>
        <v>1230</v>
      </c>
      <c r="I59" s="8">
        <f t="shared" si="4"/>
        <v>2.8127143837182712E-2</v>
      </c>
      <c r="M59" s="4"/>
    </row>
    <row r="60" spans="1:13">
      <c r="A60" s="108"/>
      <c r="B60" s="3" t="s">
        <v>94</v>
      </c>
      <c r="C60" s="5" t="s">
        <v>75</v>
      </c>
      <c r="D60" s="6"/>
      <c r="E60" s="7" t="s">
        <v>373</v>
      </c>
      <c r="F60" s="7"/>
      <c r="G60" s="7"/>
      <c r="M60" s="4"/>
    </row>
    <row r="61" spans="1:13">
      <c r="A61" s="108"/>
      <c r="B61" s="3" t="s">
        <v>95</v>
      </c>
      <c r="C61" s="5" t="s">
        <v>73</v>
      </c>
      <c r="D61" s="6"/>
      <c r="E61" s="7" t="s">
        <v>374</v>
      </c>
      <c r="F61" s="7"/>
      <c r="G61" s="7"/>
      <c r="M61" s="4"/>
    </row>
    <row r="62" spans="1:13">
      <c r="A62" s="108"/>
      <c r="B62" s="3" t="s">
        <v>96</v>
      </c>
      <c r="C62" s="5" t="s">
        <v>74</v>
      </c>
      <c r="E62" s="7" t="s">
        <v>375</v>
      </c>
      <c r="F62" s="7"/>
      <c r="M62" s="4"/>
    </row>
    <row r="63" spans="1:13" ht="45">
      <c r="A63" s="108"/>
      <c r="B63" s="3" t="s">
        <v>97</v>
      </c>
      <c r="C63" s="5" t="s">
        <v>72</v>
      </c>
      <c r="D63" s="6" t="s">
        <v>857</v>
      </c>
      <c r="E63" s="7" t="s">
        <v>376</v>
      </c>
      <c r="F63" s="7">
        <f>2760+3240</f>
        <v>6000</v>
      </c>
      <c r="G63" s="7">
        <f>350+300</f>
        <v>650</v>
      </c>
      <c r="H63" s="3">
        <f t="shared" si="0"/>
        <v>6650</v>
      </c>
      <c r="I63" s="8">
        <f t="shared" si="4"/>
        <v>0.15206951749371142</v>
      </c>
      <c r="M63" s="4"/>
    </row>
    <row r="64" spans="1:13" ht="45">
      <c r="A64" s="108"/>
      <c r="B64" s="3" t="s">
        <v>98</v>
      </c>
      <c r="C64" s="5" t="s">
        <v>69</v>
      </c>
      <c r="D64" s="6" t="s">
        <v>863</v>
      </c>
      <c r="E64" s="7" t="s">
        <v>377</v>
      </c>
      <c r="F64" s="7"/>
      <c r="G64" s="3">
        <f>90+100+900</f>
        <v>1090</v>
      </c>
      <c r="H64" s="3">
        <f t="shared" si="0"/>
        <v>1090</v>
      </c>
      <c r="I64" s="8">
        <f t="shared" si="4"/>
        <v>2.4925680310999315E-2</v>
      </c>
      <c r="M64" s="4"/>
    </row>
    <row r="65" spans="1:13">
      <c r="A65" s="108"/>
      <c r="B65" s="3" t="s">
        <v>99</v>
      </c>
      <c r="C65" s="5" t="s">
        <v>70</v>
      </c>
      <c r="D65" s="6"/>
      <c r="E65" s="7" t="s">
        <v>378</v>
      </c>
      <c r="F65" s="7"/>
      <c r="G65" s="7"/>
      <c r="M65" s="4"/>
    </row>
    <row r="66" spans="1:13">
      <c r="A66" s="108"/>
      <c r="B66" s="3" t="s">
        <v>100</v>
      </c>
      <c r="C66" s="5" t="s">
        <v>68</v>
      </c>
      <c r="E66" s="7" t="s">
        <v>379</v>
      </c>
      <c r="F66" s="7"/>
      <c r="M66" s="4"/>
    </row>
    <row r="67" spans="1:13">
      <c r="A67" s="108"/>
      <c r="B67" s="3" t="s">
        <v>101</v>
      </c>
      <c r="C67" s="5" t="s">
        <v>71</v>
      </c>
      <c r="D67" s="6"/>
      <c r="E67" s="7" t="s">
        <v>380</v>
      </c>
      <c r="F67" s="7"/>
      <c r="G67" s="7"/>
      <c r="M67" s="4"/>
    </row>
    <row r="68" spans="1:13">
      <c r="A68" s="108"/>
      <c r="B68" s="3" t="s">
        <v>102</v>
      </c>
      <c r="C68" s="5" t="s">
        <v>67</v>
      </c>
      <c r="E68" s="7" t="s">
        <v>381</v>
      </c>
      <c r="F68" s="7"/>
      <c r="M68" s="4"/>
    </row>
    <row r="69" spans="1:13">
      <c r="A69" s="108"/>
      <c r="B69" s="3" t="s">
        <v>103</v>
      </c>
      <c r="C69" s="5" t="s">
        <v>66</v>
      </c>
      <c r="D69" s="6" t="s">
        <v>864</v>
      </c>
      <c r="E69" s="7" t="s">
        <v>382</v>
      </c>
      <c r="F69" s="7"/>
      <c r="G69" s="7">
        <v>1100</v>
      </c>
      <c r="H69" s="3">
        <f t="shared" ref="H69:H126" si="5">SUM($F69:$G69)</f>
        <v>1100</v>
      </c>
      <c r="I69" s="8">
        <f t="shared" si="4"/>
        <v>2.515435627715527E-2</v>
      </c>
      <c r="M69" s="4"/>
    </row>
    <row r="70" spans="1:13">
      <c r="A70" s="24" t="s">
        <v>622</v>
      </c>
      <c r="B70" s="3" t="s">
        <v>383</v>
      </c>
      <c r="C70" s="5" t="s">
        <v>383</v>
      </c>
      <c r="D70" s="6"/>
      <c r="E70" s="7" t="s">
        <v>384</v>
      </c>
      <c r="F70" s="7"/>
      <c r="G70" s="7"/>
      <c r="I70" s="8">
        <v>1</v>
      </c>
      <c r="J70" s="91" t="s">
        <v>950</v>
      </c>
      <c r="M70" s="4"/>
    </row>
    <row r="71" spans="1:13">
      <c r="A71" s="108" t="s">
        <v>8</v>
      </c>
      <c r="B71" s="3" t="s">
        <v>104</v>
      </c>
      <c r="C71" s="5" t="s">
        <v>106</v>
      </c>
      <c r="D71" s="6"/>
      <c r="E71" s="7" t="s">
        <v>385</v>
      </c>
      <c r="F71" s="7"/>
      <c r="G71" s="7"/>
      <c r="I71" s="8">
        <f>1/ROWS(C71:C73)</f>
        <v>0.33333333333333331</v>
      </c>
      <c r="J71" s="91" t="s">
        <v>950</v>
      </c>
      <c r="M71" s="4"/>
    </row>
    <row r="72" spans="1:13">
      <c r="A72" s="108"/>
      <c r="B72" s="3" t="s">
        <v>105</v>
      </c>
      <c r="C72" s="5" t="s">
        <v>105</v>
      </c>
      <c r="D72" s="6"/>
      <c r="E72" s="7" t="s">
        <v>386</v>
      </c>
      <c r="F72" s="7"/>
      <c r="G72" s="7"/>
      <c r="I72" s="8">
        <f t="shared" ref="I72:I73" si="6">1/ROWS(C72:C74)</f>
        <v>0.33333333333333331</v>
      </c>
      <c r="J72" s="91" t="s">
        <v>950</v>
      </c>
      <c r="M72" s="4"/>
    </row>
    <row r="73" spans="1:13">
      <c r="A73" s="108"/>
      <c r="B73" s="3" t="s">
        <v>106</v>
      </c>
      <c r="C73" s="5" t="s">
        <v>104</v>
      </c>
      <c r="D73" s="6"/>
      <c r="E73" s="7" t="s">
        <v>387</v>
      </c>
      <c r="F73" s="7"/>
      <c r="G73" s="7"/>
      <c r="I73" s="8">
        <f t="shared" si="6"/>
        <v>0.33333333333333331</v>
      </c>
      <c r="J73" s="91" t="s">
        <v>950</v>
      </c>
      <c r="M73" s="4"/>
    </row>
    <row r="74" spans="1:13" ht="30">
      <c r="A74" s="108" t="s">
        <v>9</v>
      </c>
      <c r="B74" s="3" t="s">
        <v>107</v>
      </c>
      <c r="C74" s="5" t="s">
        <v>114</v>
      </c>
      <c r="D74" s="6" t="s">
        <v>867</v>
      </c>
      <c r="E74" s="7" t="s">
        <v>388</v>
      </c>
      <c r="F74" s="7"/>
      <c r="G74" s="7">
        <f>400+800</f>
        <v>1200</v>
      </c>
      <c r="H74" s="3">
        <f t="shared" si="5"/>
        <v>1200</v>
      </c>
      <c r="I74" s="8">
        <f>H74/SUM($H$74:$H$82)</f>
        <v>0.34782608695652173</v>
      </c>
      <c r="M74" s="4"/>
    </row>
    <row r="75" spans="1:13">
      <c r="A75" s="108"/>
      <c r="B75" s="3" t="s">
        <v>108</v>
      </c>
      <c r="C75" s="5" t="s">
        <v>389</v>
      </c>
      <c r="D75" s="6"/>
      <c r="E75" s="7" t="s">
        <v>390</v>
      </c>
      <c r="F75" s="7"/>
      <c r="G75" s="7"/>
      <c r="M75" s="4"/>
    </row>
    <row r="76" spans="1:13">
      <c r="A76" s="108"/>
      <c r="B76" s="3" t="s">
        <v>109</v>
      </c>
      <c r="C76" s="5" t="s">
        <v>391</v>
      </c>
      <c r="D76" s="6"/>
      <c r="E76" s="7" t="s">
        <v>392</v>
      </c>
      <c r="F76" s="7"/>
      <c r="G76" s="7"/>
    </row>
    <row r="77" spans="1:13">
      <c r="A77" s="108"/>
      <c r="B77" s="3" t="s">
        <v>110</v>
      </c>
      <c r="C77" s="5" t="s">
        <v>393</v>
      </c>
      <c r="D77" s="6"/>
      <c r="E77" s="7" t="s">
        <v>394</v>
      </c>
      <c r="F77" s="7"/>
      <c r="G77" s="7"/>
    </row>
    <row r="78" spans="1:13">
      <c r="A78" s="108"/>
      <c r="B78" s="3" t="s">
        <v>111</v>
      </c>
      <c r="C78" s="5" t="s">
        <v>115</v>
      </c>
      <c r="D78" s="6"/>
      <c r="E78" s="7" t="s">
        <v>395</v>
      </c>
      <c r="F78" s="7"/>
      <c r="G78" s="7"/>
    </row>
    <row r="79" spans="1:13">
      <c r="A79" s="108"/>
      <c r="B79" s="3" t="s">
        <v>112</v>
      </c>
      <c r="C79" s="5" t="s">
        <v>110</v>
      </c>
      <c r="D79" s="6" t="s">
        <v>777</v>
      </c>
      <c r="E79" s="7" t="s">
        <v>396</v>
      </c>
      <c r="F79" s="7"/>
      <c r="G79" s="7">
        <v>600</v>
      </c>
      <c r="H79" s="3">
        <f t="shared" si="5"/>
        <v>600</v>
      </c>
      <c r="I79" s="8">
        <f t="shared" ref="I79:I82" si="7">H79/SUM($H$74:$H$82)</f>
        <v>0.17391304347826086</v>
      </c>
    </row>
    <row r="80" spans="1:13">
      <c r="A80" s="108"/>
      <c r="B80" s="3" t="s">
        <v>113</v>
      </c>
      <c r="C80" s="5" t="s">
        <v>112</v>
      </c>
      <c r="D80" s="6"/>
      <c r="E80" s="7" t="s">
        <v>397</v>
      </c>
      <c r="F80" s="7"/>
      <c r="G80" s="7"/>
    </row>
    <row r="81" spans="1:9">
      <c r="A81" s="108"/>
      <c r="B81" s="3" t="s">
        <v>114</v>
      </c>
      <c r="C81" s="5" t="s">
        <v>111</v>
      </c>
      <c r="D81" s="6"/>
      <c r="E81" s="7" t="s">
        <v>398</v>
      </c>
      <c r="F81" s="7"/>
      <c r="G81" s="7"/>
    </row>
    <row r="82" spans="1:9" ht="30">
      <c r="A82" s="108"/>
      <c r="B82" s="3" t="s">
        <v>115</v>
      </c>
      <c r="C82" s="5" t="s">
        <v>107</v>
      </c>
      <c r="D82" s="6" t="s">
        <v>868</v>
      </c>
      <c r="E82" s="7" t="s">
        <v>399</v>
      </c>
      <c r="F82" s="7"/>
      <c r="G82" s="7">
        <f>1200+450</f>
        <v>1650</v>
      </c>
      <c r="H82" s="3">
        <f t="shared" si="5"/>
        <v>1650</v>
      </c>
      <c r="I82" s="8">
        <f t="shared" si="7"/>
        <v>0.47826086956521741</v>
      </c>
    </row>
    <row r="83" spans="1:9">
      <c r="A83" s="108"/>
      <c r="C83" s="5" t="s">
        <v>400</v>
      </c>
      <c r="D83" s="6"/>
      <c r="E83" s="7" t="s">
        <v>401</v>
      </c>
      <c r="F83" s="7"/>
      <c r="G83" s="7"/>
    </row>
    <row r="84" spans="1:9">
      <c r="A84" s="108"/>
      <c r="C84" s="5" t="s">
        <v>113</v>
      </c>
      <c r="D84" s="6"/>
      <c r="E84" s="7" t="s">
        <v>402</v>
      </c>
      <c r="F84" s="7"/>
      <c r="G84" s="7"/>
    </row>
    <row r="85" spans="1:9">
      <c r="A85" s="108"/>
      <c r="C85" s="5" t="s">
        <v>108</v>
      </c>
      <c r="D85" s="6"/>
      <c r="E85" s="7" t="s">
        <v>403</v>
      </c>
      <c r="F85" s="7"/>
      <c r="G85" s="7"/>
    </row>
    <row r="86" spans="1:9">
      <c r="A86" s="108"/>
      <c r="C86" s="5" t="s">
        <v>109</v>
      </c>
      <c r="D86" s="6"/>
      <c r="E86" s="7" t="s">
        <v>404</v>
      </c>
      <c r="F86" s="7"/>
      <c r="G86" s="7"/>
    </row>
    <row r="87" spans="1:9">
      <c r="A87" s="108" t="s">
        <v>10</v>
      </c>
      <c r="B87" s="3" t="s">
        <v>116</v>
      </c>
      <c r="C87" s="5" t="s">
        <v>120</v>
      </c>
      <c r="D87" s="6" t="s">
        <v>887</v>
      </c>
      <c r="E87" s="7" t="s">
        <v>405</v>
      </c>
      <c r="F87" s="7"/>
      <c r="G87" s="7">
        <v>700</v>
      </c>
      <c r="H87" s="3">
        <f t="shared" si="5"/>
        <v>700</v>
      </c>
      <c r="I87" s="8">
        <f>H87/SUM($H$87:$H$105)</f>
        <v>3.108348134991119E-2</v>
      </c>
    </row>
    <row r="88" spans="1:9" ht="30">
      <c r="A88" s="108"/>
      <c r="B88" s="3" t="s">
        <v>117</v>
      </c>
      <c r="C88" s="5" t="s">
        <v>117</v>
      </c>
      <c r="D88" s="6" t="s">
        <v>839</v>
      </c>
      <c r="E88" s="7" t="s">
        <v>406</v>
      </c>
      <c r="F88" s="7">
        <f>4200+1200</f>
        <v>5400</v>
      </c>
      <c r="G88" s="7"/>
      <c r="H88" s="3">
        <f t="shared" si="5"/>
        <v>5400</v>
      </c>
      <c r="I88" s="8">
        <f t="shared" ref="I88:I101" si="8">H88/SUM($H$87:$H$105)</f>
        <v>0.23978685612788633</v>
      </c>
    </row>
    <row r="89" spans="1:9" ht="30">
      <c r="A89" s="108"/>
      <c r="B89" s="3" t="s">
        <v>118</v>
      </c>
      <c r="C89" s="5" t="s">
        <v>128</v>
      </c>
      <c r="D89" s="6" t="s">
        <v>888</v>
      </c>
      <c r="E89" s="7" t="s">
        <v>407</v>
      </c>
      <c r="F89" s="7"/>
      <c r="G89" s="7">
        <f>240+750</f>
        <v>990</v>
      </c>
      <c r="H89" s="3">
        <f t="shared" si="5"/>
        <v>990</v>
      </c>
      <c r="I89" s="8">
        <f t="shared" si="8"/>
        <v>4.3960923623445829E-2</v>
      </c>
    </row>
    <row r="90" spans="1:9" ht="120">
      <c r="A90" s="108"/>
      <c r="B90" s="3" t="s">
        <v>119</v>
      </c>
      <c r="C90" s="5" t="s">
        <v>118</v>
      </c>
      <c r="D90" s="6" t="s">
        <v>889</v>
      </c>
      <c r="E90" s="7" t="s">
        <v>408</v>
      </c>
      <c r="F90" s="7"/>
      <c r="G90" s="7">
        <f>150+360+800+740+1100+400+130+2450+2000</f>
        <v>8130</v>
      </c>
      <c r="H90" s="3">
        <f t="shared" si="5"/>
        <v>8130</v>
      </c>
      <c r="I90" s="8">
        <f t="shared" si="8"/>
        <v>0.36101243339253997</v>
      </c>
    </row>
    <row r="91" spans="1:9">
      <c r="A91" s="108"/>
      <c r="B91" s="3" t="s">
        <v>120</v>
      </c>
      <c r="C91" s="5" t="s">
        <v>123</v>
      </c>
      <c r="D91" s="6"/>
      <c r="E91" s="7" t="s">
        <v>409</v>
      </c>
      <c r="F91" s="7"/>
      <c r="G91" s="7"/>
    </row>
    <row r="92" spans="1:9">
      <c r="A92" s="108"/>
      <c r="B92" s="3" t="s">
        <v>121</v>
      </c>
      <c r="C92" s="5" t="s">
        <v>119</v>
      </c>
      <c r="D92" s="6"/>
      <c r="E92" s="7" t="s">
        <v>410</v>
      </c>
      <c r="F92" s="7"/>
      <c r="G92" s="7"/>
    </row>
    <row r="93" spans="1:9">
      <c r="A93" s="108"/>
      <c r="B93" s="3" t="s">
        <v>122</v>
      </c>
      <c r="C93" s="5" t="s">
        <v>129</v>
      </c>
      <c r="D93" s="6" t="s">
        <v>891</v>
      </c>
      <c r="E93" s="7" t="s">
        <v>411</v>
      </c>
      <c r="F93" s="7"/>
      <c r="G93" s="7">
        <v>500</v>
      </c>
      <c r="H93" s="3">
        <f t="shared" si="5"/>
        <v>500</v>
      </c>
      <c r="I93" s="8">
        <f t="shared" si="8"/>
        <v>2.2202486678507993E-2</v>
      </c>
    </row>
    <row r="94" spans="1:9">
      <c r="A94" s="108"/>
      <c r="B94" s="3" t="s">
        <v>123</v>
      </c>
      <c r="C94" s="5" t="s">
        <v>124</v>
      </c>
      <c r="D94" s="6" t="s">
        <v>886</v>
      </c>
      <c r="E94" s="7" t="s">
        <v>412</v>
      </c>
      <c r="F94" s="7"/>
      <c r="G94" s="7">
        <v>600</v>
      </c>
      <c r="H94" s="3">
        <f t="shared" si="5"/>
        <v>600</v>
      </c>
      <c r="I94" s="8">
        <f t="shared" si="8"/>
        <v>2.664298401420959E-2</v>
      </c>
    </row>
    <row r="95" spans="1:9">
      <c r="A95" s="108"/>
      <c r="B95" s="3" t="s">
        <v>124</v>
      </c>
      <c r="C95" s="5" t="s">
        <v>126</v>
      </c>
      <c r="D95" s="6"/>
      <c r="E95" s="7" t="s">
        <v>413</v>
      </c>
      <c r="F95" s="7"/>
      <c r="G95" s="7"/>
    </row>
    <row r="96" spans="1:9">
      <c r="A96" s="108"/>
      <c r="B96" s="3" t="s">
        <v>125</v>
      </c>
      <c r="C96" s="5" t="s">
        <v>127</v>
      </c>
      <c r="D96" s="6"/>
      <c r="E96" s="7" t="s">
        <v>414</v>
      </c>
      <c r="F96" s="7"/>
      <c r="G96" s="7"/>
    </row>
    <row r="97" spans="1:9">
      <c r="A97" s="108"/>
      <c r="B97" s="3" t="s">
        <v>126</v>
      </c>
      <c r="C97" s="5" t="s">
        <v>121</v>
      </c>
      <c r="D97" s="6"/>
      <c r="E97" s="7" t="s">
        <v>415</v>
      </c>
      <c r="F97" s="7"/>
      <c r="G97" s="7"/>
    </row>
    <row r="98" spans="1:9">
      <c r="A98" s="108"/>
      <c r="B98" s="3" t="s">
        <v>127</v>
      </c>
      <c r="C98" s="5" t="s">
        <v>125</v>
      </c>
      <c r="D98" s="6" t="s">
        <v>885</v>
      </c>
      <c r="E98" s="7" t="s">
        <v>416</v>
      </c>
      <c r="F98" s="7"/>
      <c r="G98" s="7">
        <v>2400</v>
      </c>
      <c r="H98" s="3">
        <f t="shared" si="5"/>
        <v>2400</v>
      </c>
      <c r="I98" s="8">
        <f t="shared" si="8"/>
        <v>0.10657193605683836</v>
      </c>
    </row>
    <row r="99" spans="1:9">
      <c r="A99" s="108"/>
      <c r="B99" s="3" t="s">
        <v>128</v>
      </c>
      <c r="C99" s="5" t="s">
        <v>122</v>
      </c>
      <c r="D99" s="6"/>
      <c r="E99" s="7" t="s">
        <v>417</v>
      </c>
      <c r="F99" s="7"/>
      <c r="G99" s="7"/>
    </row>
    <row r="100" spans="1:9">
      <c r="A100" s="108"/>
      <c r="B100" s="3" t="s">
        <v>129</v>
      </c>
      <c r="C100" s="5" t="s">
        <v>418</v>
      </c>
      <c r="D100" s="6"/>
      <c r="E100" s="7" t="s">
        <v>419</v>
      </c>
      <c r="F100" s="7"/>
      <c r="G100" s="7"/>
    </row>
    <row r="101" spans="1:9" ht="45">
      <c r="A101" s="108"/>
      <c r="B101" s="3" t="s">
        <v>130</v>
      </c>
      <c r="C101" s="5" t="s">
        <v>130</v>
      </c>
      <c r="D101" s="6" t="s">
        <v>890</v>
      </c>
      <c r="E101" s="7" t="s">
        <v>420</v>
      </c>
      <c r="F101" s="7"/>
      <c r="G101" s="7">
        <f>1300+1200+1300</f>
        <v>3800</v>
      </c>
      <c r="H101" s="3">
        <f t="shared" si="5"/>
        <v>3800</v>
      </c>
      <c r="I101" s="8">
        <f t="shared" si="8"/>
        <v>0.16873889875666073</v>
      </c>
    </row>
    <row r="102" spans="1:9">
      <c r="A102" s="108"/>
      <c r="C102" s="5" t="s">
        <v>116</v>
      </c>
      <c r="D102" s="6"/>
      <c r="E102" s="7" t="s">
        <v>421</v>
      </c>
      <c r="F102" s="7"/>
      <c r="G102" s="7"/>
    </row>
    <row r="103" spans="1:9">
      <c r="A103" s="108"/>
      <c r="C103" s="5" t="s">
        <v>422</v>
      </c>
      <c r="D103" s="6"/>
      <c r="E103" s="7" t="s">
        <v>423</v>
      </c>
      <c r="F103" s="7"/>
      <c r="G103" s="7"/>
    </row>
    <row r="104" spans="1:9">
      <c r="A104" s="108"/>
      <c r="C104" s="5" t="s">
        <v>424</v>
      </c>
      <c r="D104" s="6"/>
      <c r="E104" s="7" t="s">
        <v>425</v>
      </c>
      <c r="F104" s="7"/>
      <c r="G104" s="7"/>
    </row>
    <row r="105" spans="1:9">
      <c r="A105" s="108"/>
      <c r="C105" s="5" t="s">
        <v>426</v>
      </c>
      <c r="D105" s="6"/>
      <c r="E105" s="7" t="s">
        <v>427</v>
      </c>
      <c r="F105" s="7"/>
      <c r="G105" s="7"/>
    </row>
    <row r="106" spans="1:9" ht="45">
      <c r="A106" s="108" t="s">
        <v>11</v>
      </c>
      <c r="B106" s="3" t="s">
        <v>131</v>
      </c>
      <c r="C106" s="5" t="s">
        <v>132</v>
      </c>
      <c r="D106" s="6" t="s">
        <v>853</v>
      </c>
      <c r="E106" s="7" t="s">
        <v>428</v>
      </c>
      <c r="F106" s="7"/>
      <c r="G106" s="7">
        <f>550+700+720</f>
        <v>1970</v>
      </c>
      <c r="H106" s="3">
        <f t="shared" si="5"/>
        <v>1970</v>
      </c>
      <c r="I106" s="8">
        <f>H106/SUM($H$106:$H$132)</f>
        <v>0.10434322033898305</v>
      </c>
    </row>
    <row r="107" spans="1:9">
      <c r="A107" s="108"/>
      <c r="B107" s="3" t="s">
        <v>132</v>
      </c>
      <c r="C107" s="5" t="s">
        <v>143</v>
      </c>
      <c r="D107" s="6"/>
      <c r="E107" s="7" t="s">
        <v>429</v>
      </c>
      <c r="F107" s="7"/>
      <c r="G107" s="7"/>
    </row>
    <row r="108" spans="1:9" ht="30">
      <c r="A108" s="108"/>
      <c r="B108" s="3" t="s">
        <v>133</v>
      </c>
      <c r="C108" s="5" t="s">
        <v>141</v>
      </c>
      <c r="D108" s="6" t="s">
        <v>809</v>
      </c>
      <c r="E108" s="7" t="s">
        <v>430</v>
      </c>
      <c r="F108" s="7"/>
      <c r="G108" s="7">
        <f>90+150</f>
        <v>240</v>
      </c>
      <c r="H108" s="3">
        <f t="shared" si="5"/>
        <v>240</v>
      </c>
      <c r="I108" s="8">
        <f t="shared" ref="I108:I126" si="9">H108/SUM($H$106:$H$132)</f>
        <v>1.2711864406779662E-2</v>
      </c>
    </row>
    <row r="109" spans="1:9">
      <c r="A109" s="108"/>
      <c r="B109" s="3" t="s">
        <v>134</v>
      </c>
      <c r="C109" s="5" t="s">
        <v>138</v>
      </c>
      <c r="E109" s="7" t="s">
        <v>431</v>
      </c>
      <c r="F109" s="7"/>
      <c r="G109" s="7"/>
    </row>
    <row r="110" spans="1:9">
      <c r="A110" s="108"/>
      <c r="B110" s="3" t="s">
        <v>135</v>
      </c>
      <c r="C110" s="10" t="s">
        <v>145</v>
      </c>
      <c r="D110" s="7"/>
      <c r="E110" s="11" t="s">
        <v>432</v>
      </c>
      <c r="F110" s="11"/>
      <c r="G110" s="11"/>
    </row>
    <row r="111" spans="1:9">
      <c r="A111" s="108"/>
      <c r="B111" s="3" t="s">
        <v>136</v>
      </c>
      <c r="C111" s="10" t="s">
        <v>137</v>
      </c>
      <c r="D111" s="25"/>
      <c r="E111" s="11" t="s">
        <v>433</v>
      </c>
      <c r="F111" s="11"/>
      <c r="G111" s="11"/>
    </row>
    <row r="112" spans="1:9" ht="45">
      <c r="A112" s="108"/>
      <c r="B112" s="3" t="s">
        <v>137</v>
      </c>
      <c r="C112" s="5" t="s">
        <v>134</v>
      </c>
      <c r="D112" s="25" t="s">
        <v>855</v>
      </c>
      <c r="E112" s="7" t="s">
        <v>434</v>
      </c>
      <c r="F112" s="7">
        <v>6750</v>
      </c>
      <c r="G112" s="7">
        <f>730+800</f>
        <v>1530</v>
      </c>
      <c r="H112" s="3">
        <f t="shared" si="5"/>
        <v>8280</v>
      </c>
      <c r="I112" s="8">
        <f t="shared" si="9"/>
        <v>0.4385593220338983</v>
      </c>
    </row>
    <row r="113" spans="1:9">
      <c r="A113" s="108"/>
      <c r="B113" s="3" t="s">
        <v>138</v>
      </c>
      <c r="C113" s="5" t="s">
        <v>151</v>
      </c>
      <c r="D113" s="41"/>
      <c r="E113" s="7" t="s">
        <v>435</v>
      </c>
      <c r="F113" s="7"/>
      <c r="G113" s="7"/>
    </row>
    <row r="114" spans="1:9">
      <c r="A114" s="108"/>
      <c r="B114" s="3" t="s">
        <v>139</v>
      </c>
      <c r="C114" s="5" t="s">
        <v>133</v>
      </c>
      <c r="D114" s="6"/>
      <c r="E114" s="7" t="s">
        <v>436</v>
      </c>
      <c r="F114" s="7"/>
      <c r="G114" s="7"/>
    </row>
    <row r="115" spans="1:9">
      <c r="A115" s="108"/>
      <c r="B115" s="3" t="s">
        <v>140</v>
      </c>
      <c r="C115" s="5" t="s">
        <v>148</v>
      </c>
      <c r="D115" s="6"/>
      <c r="E115" s="7" t="s">
        <v>437</v>
      </c>
      <c r="F115" s="7"/>
      <c r="G115" s="7"/>
    </row>
    <row r="116" spans="1:9" ht="30">
      <c r="A116" s="108"/>
      <c r="B116" s="3" t="s">
        <v>141</v>
      </c>
      <c r="C116" s="5" t="s">
        <v>135</v>
      </c>
      <c r="D116" s="6" t="s">
        <v>854</v>
      </c>
      <c r="E116" s="7" t="s">
        <v>438</v>
      </c>
      <c r="F116" s="7"/>
      <c r="G116" s="7">
        <f>460+800</f>
        <v>1260</v>
      </c>
      <c r="H116" s="3">
        <f t="shared" si="5"/>
        <v>1260</v>
      </c>
      <c r="I116" s="8">
        <f t="shared" si="9"/>
        <v>6.6737288135593223E-2</v>
      </c>
    </row>
    <row r="117" spans="1:9">
      <c r="A117" s="108"/>
      <c r="B117" s="3" t="s">
        <v>142</v>
      </c>
      <c r="C117" s="5" t="s">
        <v>136</v>
      </c>
      <c r="D117" s="6"/>
      <c r="E117" s="7" t="s">
        <v>439</v>
      </c>
      <c r="F117" s="7"/>
      <c r="G117" s="7"/>
    </row>
    <row r="118" spans="1:9">
      <c r="A118" s="108"/>
      <c r="B118" s="3" t="s">
        <v>143</v>
      </c>
      <c r="C118" s="5" t="s">
        <v>140</v>
      </c>
      <c r="D118" s="6"/>
      <c r="E118" s="7" t="s">
        <v>440</v>
      </c>
      <c r="F118" s="7"/>
      <c r="G118" s="7"/>
    </row>
    <row r="119" spans="1:9">
      <c r="A119" s="108"/>
      <c r="B119" s="3" t="s">
        <v>144</v>
      </c>
      <c r="C119" s="5" t="s">
        <v>139</v>
      </c>
      <c r="D119" s="6" t="s">
        <v>852</v>
      </c>
      <c r="E119" s="7" t="s">
        <v>441</v>
      </c>
      <c r="F119" s="7"/>
      <c r="G119" s="7">
        <v>1200</v>
      </c>
      <c r="H119" s="3">
        <f t="shared" si="5"/>
        <v>1200</v>
      </c>
      <c r="I119" s="8">
        <f t="shared" si="9"/>
        <v>6.3559322033898302E-2</v>
      </c>
    </row>
    <row r="120" spans="1:9">
      <c r="A120" s="108"/>
      <c r="B120" s="3" t="s">
        <v>145</v>
      </c>
      <c r="C120" s="5" t="s">
        <v>142</v>
      </c>
      <c r="D120" s="6"/>
      <c r="E120" s="7" t="s">
        <v>442</v>
      </c>
      <c r="F120" s="7"/>
      <c r="G120" s="7"/>
    </row>
    <row r="121" spans="1:9">
      <c r="A121" s="108"/>
      <c r="B121" s="3" t="s">
        <v>146</v>
      </c>
      <c r="C121" s="5" t="s">
        <v>144</v>
      </c>
      <c r="D121" s="6"/>
      <c r="E121" s="7" t="s">
        <v>443</v>
      </c>
      <c r="F121" s="7"/>
      <c r="G121" s="7"/>
    </row>
    <row r="122" spans="1:9">
      <c r="A122" s="108"/>
      <c r="B122" s="3" t="s">
        <v>147</v>
      </c>
      <c r="C122" s="5" t="s">
        <v>146</v>
      </c>
      <c r="D122" s="6"/>
      <c r="E122" s="7" t="s">
        <v>444</v>
      </c>
      <c r="F122" s="7"/>
      <c r="G122" s="7"/>
    </row>
    <row r="123" spans="1:9">
      <c r="A123" s="108"/>
      <c r="B123" s="3" t="s">
        <v>148</v>
      </c>
      <c r="C123" s="5" t="s">
        <v>147</v>
      </c>
      <c r="D123" s="6"/>
      <c r="E123" s="7" t="s">
        <v>445</v>
      </c>
      <c r="F123" s="7"/>
      <c r="G123" s="7"/>
    </row>
    <row r="124" spans="1:9">
      <c r="A124" s="108"/>
      <c r="B124" s="3" t="s">
        <v>149</v>
      </c>
      <c r="C124" s="5" t="s">
        <v>150</v>
      </c>
      <c r="D124" s="6"/>
      <c r="E124" s="7" t="s">
        <v>446</v>
      </c>
      <c r="F124" s="7"/>
      <c r="G124" s="7"/>
    </row>
    <row r="125" spans="1:9" ht="45">
      <c r="A125" s="108"/>
      <c r="B125" s="3" t="s">
        <v>150</v>
      </c>
      <c r="C125" s="5" t="s">
        <v>152</v>
      </c>
      <c r="D125" s="6" t="s">
        <v>856</v>
      </c>
      <c r="E125" s="7" t="s">
        <v>447</v>
      </c>
      <c r="F125" s="7"/>
      <c r="G125" s="7">
        <f>100+250</f>
        <v>350</v>
      </c>
      <c r="H125" s="3">
        <f t="shared" si="5"/>
        <v>350</v>
      </c>
      <c r="I125" s="8">
        <f t="shared" si="9"/>
        <v>1.8538135593220338E-2</v>
      </c>
    </row>
    <row r="126" spans="1:9">
      <c r="A126" s="108"/>
      <c r="B126" s="3" t="s">
        <v>151</v>
      </c>
      <c r="C126" s="5" t="s">
        <v>149</v>
      </c>
      <c r="D126" s="6" t="s">
        <v>831</v>
      </c>
      <c r="E126" s="7" t="s">
        <v>448</v>
      </c>
      <c r="F126" s="7">
        <v>5100</v>
      </c>
      <c r="G126" s="7">
        <v>480</v>
      </c>
      <c r="H126" s="3">
        <f t="shared" si="5"/>
        <v>5580</v>
      </c>
      <c r="I126" s="8">
        <f t="shared" si="9"/>
        <v>0.29555084745762711</v>
      </c>
    </row>
    <row r="127" spans="1:9">
      <c r="A127" s="108"/>
      <c r="B127" s="3" t="s">
        <v>152</v>
      </c>
      <c r="C127" s="5" t="s">
        <v>131</v>
      </c>
      <c r="D127" s="6"/>
      <c r="E127" s="7" t="s">
        <v>449</v>
      </c>
      <c r="F127" s="7"/>
      <c r="G127" s="7"/>
    </row>
    <row r="128" spans="1:9">
      <c r="A128" s="108"/>
      <c r="C128" s="5" t="s">
        <v>450</v>
      </c>
      <c r="D128" s="6"/>
      <c r="E128" s="7" t="s">
        <v>451</v>
      </c>
      <c r="F128" s="7"/>
      <c r="G128" s="7"/>
    </row>
    <row r="129" spans="1:9">
      <c r="A129" s="108"/>
      <c r="C129" s="5" t="s">
        <v>452</v>
      </c>
      <c r="D129" s="6"/>
      <c r="E129" s="7" t="s">
        <v>453</v>
      </c>
      <c r="F129" s="7"/>
      <c r="G129" s="7"/>
    </row>
    <row r="130" spans="1:9">
      <c r="A130" s="108"/>
      <c r="C130" s="5" t="s">
        <v>454</v>
      </c>
      <c r="D130" s="6"/>
      <c r="E130" s="7" t="s">
        <v>455</v>
      </c>
      <c r="F130" s="7"/>
      <c r="G130" s="7"/>
    </row>
    <row r="131" spans="1:9">
      <c r="A131" s="108"/>
      <c r="C131" s="5" t="s">
        <v>456</v>
      </c>
      <c r="D131" s="6"/>
      <c r="E131" s="7" t="s">
        <v>457</v>
      </c>
      <c r="F131" s="7"/>
      <c r="G131" s="7"/>
    </row>
    <row r="132" spans="1:9">
      <c r="A132" s="108"/>
      <c r="C132" s="5" t="s">
        <v>458</v>
      </c>
      <c r="D132" s="6"/>
      <c r="E132" s="7" t="s">
        <v>459</v>
      </c>
      <c r="F132" s="7"/>
      <c r="G132" s="7"/>
    </row>
    <row r="133" spans="1:9">
      <c r="A133" s="108" t="s">
        <v>12</v>
      </c>
      <c r="B133" s="3" t="s">
        <v>153</v>
      </c>
      <c r="C133" s="11" t="s">
        <v>460</v>
      </c>
      <c r="D133" s="7" t="s">
        <v>846</v>
      </c>
      <c r="E133" s="11" t="s">
        <v>461</v>
      </c>
      <c r="F133" s="11"/>
      <c r="G133" s="11">
        <v>350</v>
      </c>
      <c r="H133" s="3">
        <f t="shared" ref="H133:H195" si="10">SUM($F133:$G133)</f>
        <v>350</v>
      </c>
      <c r="I133" s="8">
        <f>H133/SUM($H$133:$H$134)</f>
        <v>0.65420560747663548</v>
      </c>
    </row>
    <row r="134" spans="1:9">
      <c r="A134" s="108"/>
      <c r="B134" s="3" t="s">
        <v>154</v>
      </c>
      <c r="C134" s="5" t="s">
        <v>154</v>
      </c>
      <c r="D134" s="6" t="s">
        <v>847</v>
      </c>
      <c r="E134" s="7" t="s">
        <v>462</v>
      </c>
      <c r="F134" s="7"/>
      <c r="G134" s="7">
        <v>185</v>
      </c>
      <c r="H134" s="3">
        <f t="shared" si="10"/>
        <v>185</v>
      </c>
      <c r="I134" s="8">
        <f>H134/SUM($H$133:$H$134)</f>
        <v>0.34579439252336447</v>
      </c>
    </row>
    <row r="135" spans="1:9">
      <c r="A135" s="108"/>
      <c r="C135" s="5" t="s">
        <v>153</v>
      </c>
      <c r="D135" s="6"/>
      <c r="E135" s="7"/>
      <c r="F135" s="7"/>
      <c r="G135" s="7">
        <f>G133+G136+G137</f>
        <v>350</v>
      </c>
      <c r="H135" s="7">
        <f t="shared" ref="H135:I135" si="11">H133+H136+H137</f>
        <v>350</v>
      </c>
      <c r="I135" s="100">
        <f t="shared" si="11"/>
        <v>0.65420560747663548</v>
      </c>
    </row>
    <row r="136" spans="1:9">
      <c r="A136" s="108"/>
      <c r="C136" s="5" t="s">
        <v>463</v>
      </c>
      <c r="D136" s="6"/>
      <c r="E136" s="7" t="s">
        <v>464</v>
      </c>
      <c r="F136" s="7"/>
      <c r="G136" s="7"/>
    </row>
    <row r="137" spans="1:9">
      <c r="A137" s="108"/>
      <c r="C137" s="5" t="s">
        <v>465</v>
      </c>
      <c r="D137" s="6"/>
      <c r="E137" s="7" t="s">
        <v>466</v>
      </c>
      <c r="F137" s="7"/>
      <c r="G137" s="7"/>
    </row>
    <row r="138" spans="1:9">
      <c r="A138" s="108" t="s">
        <v>13</v>
      </c>
      <c r="B138" s="3" t="s">
        <v>155</v>
      </c>
      <c r="C138" s="5" t="s">
        <v>163</v>
      </c>
      <c r="D138" s="6" t="s">
        <v>871</v>
      </c>
      <c r="E138" s="7" t="s">
        <v>467</v>
      </c>
      <c r="F138" s="7"/>
      <c r="G138" s="7">
        <v>600</v>
      </c>
      <c r="H138" s="3">
        <f t="shared" si="10"/>
        <v>600</v>
      </c>
      <c r="I138" s="8">
        <f>H138/SUM($H$138:$H$156)</f>
        <v>1.7636684303350969E-2</v>
      </c>
    </row>
    <row r="139" spans="1:9">
      <c r="A139" s="108"/>
      <c r="B139" s="3" t="s">
        <v>156</v>
      </c>
      <c r="C139" s="5" t="s">
        <v>156</v>
      </c>
      <c r="D139" s="6" t="s">
        <v>815</v>
      </c>
      <c r="E139" s="7" t="s">
        <v>468</v>
      </c>
      <c r="F139" s="7"/>
      <c r="G139" s="7">
        <v>260</v>
      </c>
      <c r="H139" s="3">
        <f t="shared" si="10"/>
        <v>260</v>
      </c>
      <c r="I139" s="8">
        <f t="shared" ref="I139:I156" si="12">H139/SUM($H$138:$H$156)</f>
        <v>7.6425631981187538E-3</v>
      </c>
    </row>
    <row r="140" spans="1:9">
      <c r="A140" s="108"/>
      <c r="B140" s="3" t="s">
        <v>157</v>
      </c>
      <c r="C140" s="5" t="s">
        <v>167</v>
      </c>
      <c r="D140" s="6"/>
      <c r="E140" s="7" t="s">
        <v>469</v>
      </c>
      <c r="F140" s="7"/>
      <c r="G140" s="7"/>
    </row>
    <row r="141" spans="1:9" ht="180">
      <c r="A141" s="108"/>
      <c r="B141" s="3" t="s">
        <v>158</v>
      </c>
      <c r="C141" s="5" t="s">
        <v>166</v>
      </c>
      <c r="D141" s="6" t="s">
        <v>872</v>
      </c>
      <c r="E141" s="7" t="s">
        <v>470</v>
      </c>
      <c r="F141" s="7"/>
      <c r="G141" s="7">
        <f>100+1200+650+780+250+3850+700+1100+600+150+900+150+800+540</f>
        <v>11770</v>
      </c>
      <c r="H141" s="3">
        <f t="shared" si="10"/>
        <v>11770</v>
      </c>
      <c r="I141" s="8">
        <f t="shared" si="12"/>
        <v>0.34597295708406822</v>
      </c>
    </row>
    <row r="142" spans="1:9">
      <c r="A142" s="108"/>
      <c r="B142" s="3" t="s">
        <v>159</v>
      </c>
      <c r="C142" s="5" t="s">
        <v>175</v>
      </c>
      <c r="D142" s="6"/>
      <c r="E142" s="7" t="s">
        <v>471</v>
      </c>
      <c r="F142" s="7"/>
      <c r="G142" s="7"/>
    </row>
    <row r="143" spans="1:9">
      <c r="A143" s="108"/>
      <c r="B143" s="3" t="s">
        <v>160</v>
      </c>
      <c r="C143" s="5" t="s">
        <v>164</v>
      </c>
      <c r="D143" s="6"/>
      <c r="E143" s="7" t="s">
        <v>472</v>
      </c>
      <c r="F143" s="7"/>
      <c r="G143" s="7"/>
    </row>
    <row r="144" spans="1:9">
      <c r="A144" s="108"/>
      <c r="B144" s="3" t="s">
        <v>161</v>
      </c>
      <c r="C144" s="5" t="s">
        <v>171</v>
      </c>
      <c r="D144" s="6"/>
      <c r="E144" s="7" t="s">
        <v>473</v>
      </c>
      <c r="F144" s="7"/>
      <c r="G144" s="7"/>
    </row>
    <row r="145" spans="1:10">
      <c r="A145" s="108"/>
      <c r="B145" s="3" t="s">
        <v>162</v>
      </c>
      <c r="C145" s="5" t="s">
        <v>174</v>
      </c>
      <c r="D145" s="3" t="s">
        <v>834</v>
      </c>
      <c r="E145" s="7" t="s">
        <v>474</v>
      </c>
      <c r="F145" s="7">
        <v>11500</v>
      </c>
      <c r="G145" s="7"/>
      <c r="H145" s="3">
        <f t="shared" si="10"/>
        <v>11500</v>
      </c>
      <c r="I145" s="8">
        <f t="shared" si="12"/>
        <v>0.33803644914756026</v>
      </c>
    </row>
    <row r="146" spans="1:10">
      <c r="A146" s="108"/>
      <c r="B146" s="3" t="s">
        <v>163</v>
      </c>
      <c r="C146" s="5" t="s">
        <v>173</v>
      </c>
      <c r="D146" s="6"/>
      <c r="E146" s="7" t="s">
        <v>475</v>
      </c>
      <c r="F146" s="7"/>
      <c r="G146" s="7"/>
    </row>
    <row r="147" spans="1:10">
      <c r="A147" s="108"/>
      <c r="B147" s="3" t="s">
        <v>164</v>
      </c>
      <c r="C147" s="5" t="s">
        <v>172</v>
      </c>
      <c r="D147" s="6"/>
      <c r="E147" s="7" t="s">
        <v>476</v>
      </c>
      <c r="F147" s="7"/>
      <c r="G147" s="7"/>
    </row>
    <row r="148" spans="1:10">
      <c r="A148" s="108"/>
      <c r="B148" s="3" t="s">
        <v>165</v>
      </c>
      <c r="C148" s="5" t="s">
        <v>161</v>
      </c>
      <c r="D148" s="3" t="s">
        <v>870</v>
      </c>
      <c r="E148" s="7" t="s">
        <v>477</v>
      </c>
      <c r="F148" s="7"/>
      <c r="G148" s="7">
        <v>500</v>
      </c>
      <c r="H148" s="3">
        <f t="shared" si="10"/>
        <v>500</v>
      </c>
      <c r="I148" s="8">
        <f t="shared" si="12"/>
        <v>1.4697236919459141E-2</v>
      </c>
    </row>
    <row r="149" spans="1:10">
      <c r="A149" s="108"/>
      <c r="B149" s="3" t="s">
        <v>166</v>
      </c>
      <c r="C149" s="5" t="s">
        <v>162</v>
      </c>
      <c r="D149" s="6"/>
      <c r="E149" s="7" t="s">
        <v>478</v>
      </c>
      <c r="F149" s="7"/>
      <c r="G149" s="7"/>
      <c r="I149" s="8">
        <f t="shared" si="12"/>
        <v>0</v>
      </c>
    </row>
    <row r="150" spans="1:10" ht="30">
      <c r="A150" s="108"/>
      <c r="B150" s="3" t="s">
        <v>167</v>
      </c>
      <c r="C150" s="5" t="s">
        <v>158</v>
      </c>
      <c r="D150" s="6" t="s">
        <v>816</v>
      </c>
      <c r="E150" s="7" t="s">
        <v>479</v>
      </c>
      <c r="F150" s="7"/>
      <c r="G150" s="7">
        <v>200</v>
      </c>
      <c r="H150" s="3">
        <f t="shared" si="10"/>
        <v>200</v>
      </c>
      <c r="I150" s="8">
        <f t="shared" si="12"/>
        <v>5.8788947677836569E-3</v>
      </c>
    </row>
    <row r="151" spans="1:10">
      <c r="A151" s="108"/>
      <c r="B151" s="3" t="s">
        <v>168</v>
      </c>
      <c r="C151" s="5" t="s">
        <v>159</v>
      </c>
      <c r="D151" s="6" t="s">
        <v>869</v>
      </c>
      <c r="E151" s="7" t="s">
        <v>480</v>
      </c>
      <c r="F151" s="7"/>
      <c r="G151" s="7">
        <v>600</v>
      </c>
      <c r="H151" s="3">
        <f t="shared" si="10"/>
        <v>600</v>
      </c>
      <c r="I151" s="8">
        <f t="shared" si="12"/>
        <v>1.7636684303350969E-2</v>
      </c>
    </row>
    <row r="152" spans="1:10" ht="75">
      <c r="A152" s="108"/>
      <c r="B152" s="3" t="s">
        <v>169</v>
      </c>
      <c r="C152" s="5" t="s">
        <v>155</v>
      </c>
      <c r="D152" s="25" t="s">
        <v>873</v>
      </c>
      <c r="E152" s="7" t="s">
        <v>481</v>
      </c>
      <c r="F152" s="7"/>
      <c r="G152" s="7">
        <f>600+2200+450+1250+170+1200</f>
        <v>5870</v>
      </c>
      <c r="H152" s="3">
        <f t="shared" si="10"/>
        <v>5870</v>
      </c>
      <c r="I152" s="8">
        <f t="shared" si="12"/>
        <v>0.17254556143445032</v>
      </c>
    </row>
    <row r="153" spans="1:10">
      <c r="A153" s="108"/>
      <c r="B153" s="3" t="s">
        <v>170</v>
      </c>
      <c r="C153" s="5" t="s">
        <v>169</v>
      </c>
      <c r="D153" s="6" t="s">
        <v>819</v>
      </c>
      <c r="E153" s="7" t="s">
        <v>482</v>
      </c>
      <c r="F153" s="7"/>
      <c r="G153" s="7">
        <f>500+770</f>
        <v>1270</v>
      </c>
      <c r="H153" s="3">
        <f t="shared" si="10"/>
        <v>1270</v>
      </c>
      <c r="I153" s="8">
        <f t="shared" si="12"/>
        <v>3.7330981775426222E-2</v>
      </c>
    </row>
    <row r="154" spans="1:10">
      <c r="A154" s="108"/>
      <c r="B154" s="3" t="s">
        <v>171</v>
      </c>
      <c r="C154" s="5" t="s">
        <v>170</v>
      </c>
      <c r="D154" s="6"/>
      <c r="E154" s="7" t="s">
        <v>483</v>
      </c>
      <c r="F154" s="7"/>
      <c r="G154" s="7"/>
    </row>
    <row r="155" spans="1:10">
      <c r="A155" s="108"/>
      <c r="B155" s="3" t="s">
        <v>172</v>
      </c>
      <c r="C155" s="5" t="s">
        <v>160</v>
      </c>
      <c r="D155" s="6"/>
      <c r="E155" s="7" t="s">
        <v>484</v>
      </c>
      <c r="F155" s="7"/>
      <c r="G155" s="7"/>
    </row>
    <row r="156" spans="1:10">
      <c r="A156" s="108"/>
      <c r="B156" s="3" t="s">
        <v>173</v>
      </c>
      <c r="C156" s="5" t="s">
        <v>157</v>
      </c>
      <c r="D156" s="6" t="s">
        <v>818</v>
      </c>
      <c r="E156" s="7" t="s">
        <v>485</v>
      </c>
      <c r="F156" s="7"/>
      <c r="G156" s="7">
        <v>1450</v>
      </c>
      <c r="H156" s="3">
        <f t="shared" si="10"/>
        <v>1450</v>
      </c>
      <c r="I156" s="8">
        <f t="shared" si="12"/>
        <v>4.2621987066431513E-2</v>
      </c>
    </row>
    <row r="157" spans="1:10">
      <c r="A157" s="108"/>
      <c r="B157" s="3" t="s">
        <v>174</v>
      </c>
      <c r="C157" s="5" t="s">
        <v>165</v>
      </c>
      <c r="D157" s="6"/>
      <c r="E157" s="7" t="s">
        <v>486</v>
      </c>
      <c r="F157" s="7"/>
      <c r="G157" s="7"/>
    </row>
    <row r="158" spans="1:10">
      <c r="A158" s="108"/>
      <c r="B158" s="3" t="s">
        <v>175</v>
      </c>
      <c r="C158" s="5" t="s">
        <v>168</v>
      </c>
      <c r="D158" s="6"/>
      <c r="E158" s="7" t="s">
        <v>487</v>
      </c>
      <c r="F158" s="7"/>
      <c r="G158" s="7"/>
    </row>
    <row r="159" spans="1:10">
      <c r="A159" s="26" t="s">
        <v>624</v>
      </c>
      <c r="C159" s="5" t="s">
        <v>488</v>
      </c>
      <c r="D159" s="6"/>
      <c r="E159" s="7" t="s">
        <v>489</v>
      </c>
      <c r="F159" s="7"/>
      <c r="G159" s="7"/>
      <c r="I159" s="8">
        <v>1</v>
      </c>
      <c r="J159" s="91" t="s">
        <v>950</v>
      </c>
    </row>
    <row r="160" spans="1:10">
      <c r="A160" s="26" t="s">
        <v>14</v>
      </c>
      <c r="B160" s="3" t="s">
        <v>176</v>
      </c>
      <c r="C160" s="5" t="s">
        <v>176</v>
      </c>
      <c r="D160" s="6"/>
      <c r="E160" s="7" t="s">
        <v>490</v>
      </c>
      <c r="F160" s="7"/>
      <c r="G160" s="7"/>
      <c r="I160" s="8">
        <v>1</v>
      </c>
      <c r="J160" s="91" t="s">
        <v>950</v>
      </c>
    </row>
    <row r="161" spans="1:10">
      <c r="A161" s="108" t="s">
        <v>623</v>
      </c>
      <c r="B161" s="3" t="s">
        <v>491</v>
      </c>
      <c r="C161" s="5" t="s">
        <v>491</v>
      </c>
      <c r="D161" s="6"/>
      <c r="E161" s="7" t="s">
        <v>492</v>
      </c>
      <c r="F161" s="7"/>
      <c r="G161" s="7"/>
      <c r="I161" s="8">
        <v>0.5</v>
      </c>
      <c r="J161" s="91" t="s">
        <v>950</v>
      </c>
    </row>
    <row r="162" spans="1:10">
      <c r="A162" s="108"/>
      <c r="B162" s="3" t="s">
        <v>493</v>
      </c>
      <c r="C162" s="5" t="s">
        <v>493</v>
      </c>
      <c r="D162" s="6"/>
      <c r="E162" s="7" t="s">
        <v>494</v>
      </c>
      <c r="F162" s="7"/>
      <c r="G162" s="7"/>
      <c r="I162" s="8">
        <v>0.5</v>
      </c>
      <c r="J162" s="91" t="s">
        <v>950</v>
      </c>
    </row>
    <row r="163" spans="1:10">
      <c r="A163" s="26" t="s">
        <v>15</v>
      </c>
      <c r="B163" s="3" t="s">
        <v>177</v>
      </c>
      <c r="C163" s="5" t="s">
        <v>177</v>
      </c>
      <c r="D163" s="6" t="s">
        <v>865</v>
      </c>
      <c r="E163" s="7" t="s">
        <v>15</v>
      </c>
      <c r="F163" s="7"/>
      <c r="G163" s="7">
        <v>2250</v>
      </c>
      <c r="H163" s="3">
        <f t="shared" si="10"/>
        <v>2250</v>
      </c>
      <c r="I163" s="8">
        <v>1</v>
      </c>
    </row>
    <row r="164" spans="1:10">
      <c r="A164" s="108" t="s">
        <v>16</v>
      </c>
      <c r="B164" s="3" t="s">
        <v>178</v>
      </c>
      <c r="C164" s="5" t="s">
        <v>182</v>
      </c>
      <c r="D164" s="6"/>
      <c r="E164" s="7" t="s">
        <v>495</v>
      </c>
      <c r="F164" s="7"/>
      <c r="G164" s="7"/>
    </row>
    <row r="165" spans="1:10">
      <c r="A165" s="108"/>
      <c r="B165" s="3" t="s">
        <v>179</v>
      </c>
      <c r="C165" s="5" t="s">
        <v>181</v>
      </c>
      <c r="D165" s="6"/>
      <c r="E165" s="7" t="s">
        <v>496</v>
      </c>
      <c r="F165" s="7"/>
      <c r="G165" s="7"/>
    </row>
    <row r="166" spans="1:10">
      <c r="A166" s="108"/>
      <c r="B166" s="3" t="s">
        <v>180</v>
      </c>
      <c r="C166" s="5" t="s">
        <v>180</v>
      </c>
      <c r="D166" s="6" t="s">
        <v>833</v>
      </c>
      <c r="E166" s="7" t="s">
        <v>497</v>
      </c>
      <c r="F166" s="7">
        <v>1650</v>
      </c>
      <c r="G166" s="7"/>
      <c r="H166" s="3">
        <f t="shared" si="10"/>
        <v>1650</v>
      </c>
      <c r="I166" s="8">
        <f>H166/SUM($H$166:$H$169)</f>
        <v>0.80487804878048785</v>
      </c>
    </row>
    <row r="167" spans="1:10">
      <c r="A167" s="108"/>
      <c r="B167" s="3" t="s">
        <v>181</v>
      </c>
      <c r="C167" s="5" t="s">
        <v>179</v>
      </c>
      <c r="D167" s="6"/>
      <c r="E167" s="7" t="s">
        <v>498</v>
      </c>
      <c r="F167" s="7"/>
      <c r="G167" s="7"/>
    </row>
    <row r="168" spans="1:10">
      <c r="A168" s="108"/>
      <c r="B168" s="3" t="s">
        <v>182</v>
      </c>
      <c r="C168" s="5" t="s">
        <v>184</v>
      </c>
      <c r="D168" s="6"/>
      <c r="E168" s="7" t="s">
        <v>499</v>
      </c>
      <c r="F168" s="7"/>
      <c r="G168" s="7"/>
    </row>
    <row r="169" spans="1:10">
      <c r="A169" s="108"/>
      <c r="B169" s="3" t="s">
        <v>183</v>
      </c>
      <c r="C169" s="5" t="s">
        <v>183</v>
      </c>
      <c r="D169" s="3" t="s">
        <v>866</v>
      </c>
      <c r="E169" s="7" t="s">
        <v>500</v>
      </c>
      <c r="F169" s="7"/>
      <c r="G169" s="7">
        <v>400</v>
      </c>
      <c r="H169" s="3">
        <f t="shared" si="10"/>
        <v>400</v>
      </c>
      <c r="I169" s="8">
        <f t="shared" ref="I169" si="13">H169/SUM($H$166:$H$169)</f>
        <v>0.1951219512195122</v>
      </c>
    </row>
    <row r="170" spans="1:10">
      <c r="A170" s="108"/>
      <c r="B170" s="3" t="s">
        <v>184</v>
      </c>
      <c r="C170" s="5" t="s">
        <v>178</v>
      </c>
      <c r="D170" s="6"/>
      <c r="E170" s="7" t="s">
        <v>501</v>
      </c>
      <c r="F170" s="7"/>
      <c r="G170" s="7"/>
    </row>
    <row r="171" spans="1:10">
      <c r="A171" s="108"/>
      <c r="B171" s="3" t="s">
        <v>185</v>
      </c>
      <c r="C171" s="5" t="s">
        <v>185</v>
      </c>
      <c r="D171" s="6"/>
      <c r="E171" s="7" t="s">
        <v>502</v>
      </c>
      <c r="F171" s="7"/>
      <c r="G171" s="7"/>
    </row>
    <row r="172" spans="1:10">
      <c r="A172" s="26" t="s">
        <v>504</v>
      </c>
      <c r="C172" s="5" t="s">
        <v>503</v>
      </c>
      <c r="D172" s="6"/>
      <c r="E172" s="7" t="s">
        <v>504</v>
      </c>
      <c r="F172" s="7"/>
      <c r="G172" s="7"/>
      <c r="I172" s="8">
        <v>1</v>
      </c>
      <c r="J172" s="91" t="s">
        <v>950</v>
      </c>
    </row>
    <row r="173" spans="1:10">
      <c r="A173" s="108" t="s">
        <v>17</v>
      </c>
      <c r="B173" s="3" t="s">
        <v>186</v>
      </c>
      <c r="C173" s="5" t="s">
        <v>193</v>
      </c>
      <c r="D173" s="6"/>
      <c r="E173" s="7" t="s">
        <v>505</v>
      </c>
      <c r="F173" s="7"/>
      <c r="G173" s="7"/>
    </row>
    <row r="174" spans="1:10">
      <c r="A174" s="108"/>
      <c r="B174" s="3" t="s">
        <v>187</v>
      </c>
      <c r="C174" s="5" t="s">
        <v>195</v>
      </c>
      <c r="D174" s="6"/>
      <c r="E174" s="7" t="s">
        <v>506</v>
      </c>
      <c r="F174" s="7"/>
      <c r="G174" s="7"/>
    </row>
    <row r="175" spans="1:10">
      <c r="A175" s="108"/>
      <c r="B175" s="3" t="s">
        <v>188</v>
      </c>
      <c r="C175" s="5" t="s">
        <v>197</v>
      </c>
      <c r="D175" s="6"/>
      <c r="E175" s="7" t="s">
        <v>507</v>
      </c>
      <c r="F175" s="7"/>
      <c r="G175" s="7"/>
    </row>
    <row r="176" spans="1:10">
      <c r="A176" s="108"/>
      <c r="B176" s="3" t="s">
        <v>189</v>
      </c>
      <c r="C176" s="5" t="s">
        <v>188</v>
      </c>
      <c r="D176" s="6"/>
      <c r="E176" s="7" t="s">
        <v>508</v>
      </c>
      <c r="F176" s="7"/>
      <c r="G176" s="7"/>
    </row>
    <row r="177" spans="1:9">
      <c r="A177" s="108"/>
      <c r="B177" s="3" t="s">
        <v>190</v>
      </c>
      <c r="C177" s="5" t="s">
        <v>194</v>
      </c>
      <c r="D177" s="6"/>
      <c r="E177" s="7" t="s">
        <v>509</v>
      </c>
      <c r="F177" s="7"/>
      <c r="G177" s="7"/>
    </row>
    <row r="178" spans="1:9">
      <c r="A178" s="108"/>
      <c r="B178" s="3" t="s">
        <v>191</v>
      </c>
      <c r="C178" s="5" t="s">
        <v>196</v>
      </c>
      <c r="D178" s="6"/>
      <c r="E178" s="7" t="s">
        <v>510</v>
      </c>
      <c r="F178" s="7"/>
      <c r="G178" s="7"/>
    </row>
    <row r="179" spans="1:9">
      <c r="A179" s="108"/>
      <c r="B179" s="3" t="s">
        <v>192</v>
      </c>
      <c r="C179" s="5" t="s">
        <v>190</v>
      </c>
      <c r="D179" s="6"/>
      <c r="E179" s="7" t="s">
        <v>511</v>
      </c>
      <c r="F179" s="7"/>
      <c r="G179" s="7"/>
    </row>
    <row r="180" spans="1:9">
      <c r="A180" s="108"/>
      <c r="B180" s="3" t="s">
        <v>193</v>
      </c>
      <c r="C180" s="5" t="s">
        <v>189</v>
      </c>
      <c r="D180" s="6" t="s">
        <v>835</v>
      </c>
      <c r="E180" s="7" t="s">
        <v>512</v>
      </c>
      <c r="F180" s="7">
        <v>7500</v>
      </c>
      <c r="G180" s="7"/>
      <c r="H180" s="3">
        <f t="shared" si="10"/>
        <v>7500</v>
      </c>
      <c r="I180" s="8">
        <v>1</v>
      </c>
    </row>
    <row r="181" spans="1:9">
      <c r="A181" s="108"/>
      <c r="B181" s="3" t="s">
        <v>194</v>
      </c>
      <c r="C181" s="5" t="s">
        <v>186</v>
      </c>
      <c r="D181" s="6"/>
      <c r="E181" s="7" t="s">
        <v>513</v>
      </c>
      <c r="F181" s="7"/>
      <c r="G181" s="7"/>
    </row>
    <row r="182" spans="1:9">
      <c r="A182" s="108"/>
      <c r="B182" s="3" t="s">
        <v>195</v>
      </c>
      <c r="C182" s="5" t="s">
        <v>187</v>
      </c>
      <c r="E182" s="7" t="s">
        <v>514</v>
      </c>
      <c r="F182" s="7"/>
      <c r="G182" s="7"/>
    </row>
    <row r="183" spans="1:9">
      <c r="A183" s="108"/>
      <c r="B183" s="3" t="s">
        <v>196</v>
      </c>
      <c r="C183" s="5" t="s">
        <v>191</v>
      </c>
      <c r="E183" s="7" t="s">
        <v>515</v>
      </c>
      <c r="F183" s="7"/>
      <c r="G183" s="7"/>
    </row>
    <row r="184" spans="1:9">
      <c r="A184" s="108"/>
      <c r="B184" s="3" t="s">
        <v>197</v>
      </c>
      <c r="C184" s="5" t="s">
        <v>192</v>
      </c>
      <c r="E184" s="7" t="s">
        <v>516</v>
      </c>
      <c r="F184" s="7"/>
      <c r="G184" s="7"/>
    </row>
    <row r="185" spans="1:9">
      <c r="A185" s="108" t="s">
        <v>18</v>
      </c>
      <c r="B185" s="3" t="s">
        <v>198</v>
      </c>
      <c r="C185" s="5" t="s">
        <v>206</v>
      </c>
      <c r="D185" s="6"/>
      <c r="E185" s="7" t="s">
        <v>517</v>
      </c>
      <c r="F185" s="7"/>
      <c r="G185" s="7"/>
    </row>
    <row r="186" spans="1:9">
      <c r="A186" s="108"/>
      <c r="B186" s="3" t="s">
        <v>199</v>
      </c>
      <c r="C186" s="5" t="s">
        <v>204</v>
      </c>
      <c r="D186" s="6"/>
      <c r="E186" s="7" t="s">
        <v>518</v>
      </c>
      <c r="F186" s="7"/>
      <c r="G186" s="7"/>
    </row>
    <row r="187" spans="1:9">
      <c r="A187" s="108"/>
      <c r="B187" s="3" t="s">
        <v>200</v>
      </c>
      <c r="C187" s="5" t="s">
        <v>203</v>
      </c>
      <c r="D187" s="6"/>
      <c r="E187" s="7" t="s">
        <v>519</v>
      </c>
      <c r="F187" s="7"/>
      <c r="G187" s="7"/>
    </row>
    <row r="188" spans="1:9">
      <c r="A188" s="108"/>
      <c r="B188" s="3" t="s">
        <v>201</v>
      </c>
      <c r="C188" s="5" t="s">
        <v>205</v>
      </c>
      <c r="D188" s="6"/>
      <c r="E188" s="7" t="s">
        <v>520</v>
      </c>
      <c r="F188" s="7"/>
      <c r="G188" s="7"/>
    </row>
    <row r="189" spans="1:9" ht="60">
      <c r="A189" s="108"/>
      <c r="B189" s="3" t="s">
        <v>202</v>
      </c>
      <c r="C189" s="5" t="s">
        <v>200</v>
      </c>
      <c r="D189" s="6" t="s">
        <v>844</v>
      </c>
      <c r="E189" s="7" t="s">
        <v>521</v>
      </c>
      <c r="F189" s="7">
        <v>1570</v>
      </c>
      <c r="G189" s="7">
        <f>365+180+300</f>
        <v>845</v>
      </c>
      <c r="H189" s="3">
        <f t="shared" si="10"/>
        <v>2415</v>
      </c>
      <c r="I189" s="42">
        <f>H189/SUM($H$189:$H$190)</f>
        <v>0.28698752228163993</v>
      </c>
    </row>
    <row r="190" spans="1:9">
      <c r="A190" s="108"/>
      <c r="B190" s="3" t="s">
        <v>203</v>
      </c>
      <c r="C190" s="5" t="s">
        <v>202</v>
      </c>
      <c r="D190" s="6" t="s">
        <v>829</v>
      </c>
      <c r="E190" s="7" t="s">
        <v>522</v>
      </c>
      <c r="F190" s="7">
        <v>6000</v>
      </c>
      <c r="G190" s="7"/>
      <c r="H190" s="3">
        <f t="shared" si="10"/>
        <v>6000</v>
      </c>
      <c r="I190" s="42">
        <f>H190/SUM($H$189:$H$190)</f>
        <v>0.71301247771836007</v>
      </c>
    </row>
    <row r="191" spans="1:9">
      <c r="A191" s="108"/>
      <c r="B191" s="3" t="s">
        <v>204</v>
      </c>
      <c r="C191" s="5" t="s">
        <v>201</v>
      </c>
      <c r="D191" s="6"/>
      <c r="E191" s="7" t="s">
        <v>523</v>
      </c>
      <c r="F191" s="7"/>
      <c r="G191" s="7"/>
    </row>
    <row r="192" spans="1:9">
      <c r="A192" s="108"/>
      <c r="B192" s="3" t="s">
        <v>205</v>
      </c>
      <c r="C192" s="5" t="s">
        <v>199</v>
      </c>
      <c r="D192" s="6"/>
      <c r="E192" s="7" t="s">
        <v>524</v>
      </c>
      <c r="F192" s="7"/>
      <c r="G192" s="7"/>
    </row>
    <row r="193" spans="1:9">
      <c r="A193" s="108"/>
      <c r="B193" s="3" t="s">
        <v>206</v>
      </c>
      <c r="C193" s="5" t="s">
        <v>198</v>
      </c>
      <c r="D193" s="6"/>
      <c r="E193" s="7" t="s">
        <v>525</v>
      </c>
      <c r="F193" s="7"/>
      <c r="G193" s="7"/>
    </row>
    <row r="194" spans="1:9">
      <c r="A194" s="108" t="s">
        <v>19</v>
      </c>
      <c r="B194" s="3" t="s">
        <v>207</v>
      </c>
      <c r="C194" s="5" t="s">
        <v>219</v>
      </c>
      <c r="D194" s="6" t="s">
        <v>836</v>
      </c>
      <c r="E194" s="7" t="s">
        <v>526</v>
      </c>
      <c r="F194" s="7">
        <v>2600</v>
      </c>
      <c r="G194" s="7"/>
      <c r="H194" s="3">
        <f t="shared" si="10"/>
        <v>2600</v>
      </c>
      <c r="I194" s="8">
        <f>H194/SUM($H$194:$H$210)</f>
        <v>0.21505376344086022</v>
      </c>
    </row>
    <row r="195" spans="1:9" ht="90">
      <c r="A195" s="108"/>
      <c r="B195" s="3" t="s">
        <v>208</v>
      </c>
      <c r="C195" s="5" t="s">
        <v>210</v>
      </c>
      <c r="D195" s="6" t="s">
        <v>877</v>
      </c>
      <c r="E195" s="7" t="s">
        <v>527</v>
      </c>
      <c r="F195" s="7">
        <v>5000</v>
      </c>
      <c r="G195" s="7">
        <f>145+800+250+65+1340</f>
        <v>2600</v>
      </c>
      <c r="H195" s="3">
        <f t="shared" si="10"/>
        <v>7600</v>
      </c>
      <c r="I195" s="8">
        <f t="shared" ref="I195:I209" si="14">H195/SUM($H$194:$H$210)</f>
        <v>0.62861869313482222</v>
      </c>
    </row>
    <row r="196" spans="1:9">
      <c r="A196" s="108"/>
      <c r="B196" s="3" t="s">
        <v>209</v>
      </c>
      <c r="C196" s="5" t="s">
        <v>221</v>
      </c>
      <c r="D196" s="6"/>
      <c r="E196" s="7" t="s">
        <v>528</v>
      </c>
      <c r="F196" s="7"/>
      <c r="G196" s="7"/>
    </row>
    <row r="197" spans="1:9">
      <c r="A197" s="108"/>
      <c r="B197" s="3" t="s">
        <v>210</v>
      </c>
      <c r="C197" s="5" t="s">
        <v>207</v>
      </c>
      <c r="D197" s="6"/>
      <c r="E197" s="7" t="s">
        <v>529</v>
      </c>
      <c r="F197" s="7"/>
      <c r="G197" s="7"/>
    </row>
    <row r="198" spans="1:9">
      <c r="A198" s="108"/>
      <c r="B198" s="3" t="s">
        <v>211</v>
      </c>
      <c r="C198" s="5" t="s">
        <v>216</v>
      </c>
      <c r="D198" s="6"/>
      <c r="E198" s="7" t="s">
        <v>530</v>
      </c>
      <c r="F198" s="7"/>
      <c r="G198" s="7"/>
    </row>
    <row r="199" spans="1:9">
      <c r="A199" s="108"/>
      <c r="B199" s="3" t="s">
        <v>212</v>
      </c>
      <c r="C199" s="5" t="s">
        <v>218</v>
      </c>
      <c r="D199" s="6"/>
      <c r="E199" s="7" t="s">
        <v>531</v>
      </c>
      <c r="F199" s="7"/>
      <c r="G199" s="7"/>
    </row>
    <row r="200" spans="1:9">
      <c r="A200" s="108"/>
      <c r="B200" s="3" t="s">
        <v>213</v>
      </c>
      <c r="C200" s="5" t="s">
        <v>213</v>
      </c>
      <c r="D200" s="6"/>
      <c r="E200" s="7" t="s">
        <v>532</v>
      </c>
      <c r="F200" s="7"/>
      <c r="G200" s="7"/>
    </row>
    <row r="201" spans="1:9">
      <c r="A201" s="108"/>
      <c r="B201" s="3" t="s">
        <v>214</v>
      </c>
      <c r="C201" s="5" t="s">
        <v>220</v>
      </c>
      <c r="D201" s="6"/>
      <c r="E201" s="7" t="s">
        <v>533</v>
      </c>
      <c r="F201" s="7"/>
      <c r="G201" s="7"/>
    </row>
    <row r="202" spans="1:9">
      <c r="A202" s="108"/>
      <c r="B202" s="3" t="s">
        <v>215</v>
      </c>
      <c r="C202" s="5" t="s">
        <v>208</v>
      </c>
      <c r="D202" s="6"/>
      <c r="E202" s="7" t="s">
        <v>534</v>
      </c>
      <c r="F202" s="7"/>
      <c r="G202" s="7"/>
    </row>
    <row r="203" spans="1:9">
      <c r="A203" s="108"/>
      <c r="B203" s="3" t="s">
        <v>216</v>
      </c>
      <c r="C203" s="5" t="s">
        <v>211</v>
      </c>
      <c r="D203" s="6"/>
      <c r="E203" s="7" t="s">
        <v>535</v>
      </c>
      <c r="F203" s="7"/>
      <c r="G203" s="7"/>
    </row>
    <row r="204" spans="1:9">
      <c r="A204" s="108"/>
      <c r="B204" s="3" t="s">
        <v>217</v>
      </c>
      <c r="C204" s="5" t="s">
        <v>223</v>
      </c>
      <c r="D204" s="6"/>
      <c r="E204" s="7" t="s">
        <v>536</v>
      </c>
      <c r="F204" s="7"/>
      <c r="G204" s="7"/>
    </row>
    <row r="205" spans="1:9">
      <c r="A205" s="108"/>
      <c r="B205" s="3" t="s">
        <v>218</v>
      </c>
      <c r="C205" s="5" t="s">
        <v>222</v>
      </c>
      <c r="D205" s="6" t="s">
        <v>874</v>
      </c>
      <c r="E205" s="7" t="s">
        <v>537</v>
      </c>
      <c r="F205" s="7"/>
      <c r="G205" s="7">
        <v>900</v>
      </c>
      <c r="H205" s="3">
        <f t="shared" ref="H205:H254" si="15">SUM($F205:$G205)</f>
        <v>900</v>
      </c>
      <c r="I205" s="8">
        <f t="shared" si="14"/>
        <v>7.4441687344913146E-2</v>
      </c>
    </row>
    <row r="206" spans="1:9">
      <c r="A206" s="108"/>
      <c r="B206" s="3" t="s">
        <v>219</v>
      </c>
      <c r="C206" s="5" t="s">
        <v>217</v>
      </c>
      <c r="D206" s="6"/>
      <c r="E206" s="7" t="s">
        <v>538</v>
      </c>
      <c r="F206" s="7"/>
      <c r="G206" s="7"/>
    </row>
    <row r="207" spans="1:9">
      <c r="A207" s="108"/>
      <c r="B207" s="3" t="s">
        <v>220</v>
      </c>
      <c r="C207" s="5" t="s">
        <v>209</v>
      </c>
      <c r="D207" s="6" t="s">
        <v>875</v>
      </c>
      <c r="E207" s="7" t="s">
        <v>539</v>
      </c>
      <c r="F207" s="7"/>
      <c r="G207" s="7">
        <v>240</v>
      </c>
      <c r="H207" s="3">
        <f t="shared" si="15"/>
        <v>240</v>
      </c>
      <c r="I207" s="8">
        <f t="shared" si="14"/>
        <v>1.9851116625310174E-2</v>
      </c>
    </row>
    <row r="208" spans="1:9">
      <c r="A208" s="108"/>
      <c r="B208" s="3" t="s">
        <v>221</v>
      </c>
      <c r="C208" s="5" t="s">
        <v>212</v>
      </c>
      <c r="D208" s="6"/>
      <c r="E208" s="7" t="s">
        <v>540</v>
      </c>
      <c r="F208" s="7"/>
      <c r="G208" s="7"/>
    </row>
    <row r="209" spans="1:9">
      <c r="A209" s="108"/>
      <c r="B209" s="3" t="s">
        <v>222</v>
      </c>
      <c r="C209" s="5" t="s">
        <v>214</v>
      </c>
      <c r="D209" s="6" t="s">
        <v>876</v>
      </c>
      <c r="E209" s="7" t="s">
        <v>541</v>
      </c>
      <c r="F209" s="7"/>
      <c r="G209" s="7">
        <v>750</v>
      </c>
      <c r="H209" s="3">
        <f t="shared" si="15"/>
        <v>750</v>
      </c>
      <c r="I209" s="8">
        <f t="shared" si="14"/>
        <v>6.2034739454094295E-2</v>
      </c>
    </row>
    <row r="210" spans="1:9">
      <c r="A210" s="108"/>
      <c r="B210" s="3" t="s">
        <v>223</v>
      </c>
      <c r="C210" s="5" t="s">
        <v>215</v>
      </c>
      <c r="E210" s="7" t="s">
        <v>542</v>
      </c>
      <c r="F210" s="7"/>
      <c r="G210" s="7"/>
    </row>
    <row r="211" spans="1:9">
      <c r="A211" s="108" t="s">
        <v>20</v>
      </c>
      <c r="B211" s="3" t="s">
        <v>224</v>
      </c>
      <c r="C211" s="5" t="s">
        <v>226</v>
      </c>
      <c r="D211" s="6" t="s">
        <v>878</v>
      </c>
      <c r="E211" s="7" t="s">
        <v>543</v>
      </c>
      <c r="F211" s="7"/>
      <c r="G211" s="7">
        <v>600</v>
      </c>
      <c r="H211" s="3">
        <f t="shared" si="15"/>
        <v>600</v>
      </c>
      <c r="I211" s="8">
        <f>H211/SUM($H$211:$H$214)</f>
        <v>0.35294117647058826</v>
      </c>
    </row>
    <row r="212" spans="1:9">
      <c r="A212" s="108"/>
      <c r="B212" s="3" t="s">
        <v>225</v>
      </c>
      <c r="C212" s="5" t="s">
        <v>225</v>
      </c>
      <c r="D212" s="6"/>
      <c r="E212" s="7" t="s">
        <v>544</v>
      </c>
      <c r="F212" s="7"/>
      <c r="G212" s="7"/>
    </row>
    <row r="213" spans="1:9">
      <c r="A213" s="108"/>
      <c r="B213" s="3" t="s">
        <v>226</v>
      </c>
      <c r="C213" s="5" t="s">
        <v>228</v>
      </c>
      <c r="D213" s="6"/>
      <c r="E213" s="7" t="s">
        <v>545</v>
      </c>
      <c r="F213" s="7"/>
      <c r="G213" s="7"/>
    </row>
    <row r="214" spans="1:9">
      <c r="A214" s="108"/>
      <c r="B214" s="3" t="s">
        <v>227</v>
      </c>
      <c r="C214" s="5" t="s">
        <v>224</v>
      </c>
      <c r="D214" s="6" t="s">
        <v>879</v>
      </c>
      <c r="E214" s="7" t="s">
        <v>546</v>
      </c>
      <c r="F214" s="7"/>
      <c r="G214" s="7">
        <v>1100</v>
      </c>
      <c r="H214" s="3">
        <f t="shared" si="15"/>
        <v>1100</v>
      </c>
      <c r="I214" s="8">
        <f t="shared" ref="I214" si="16">H214/SUM($H$211:$H$214)</f>
        <v>0.6470588235294118</v>
      </c>
    </row>
    <row r="215" spans="1:9">
      <c r="A215" s="108"/>
      <c r="B215" s="3" t="s">
        <v>228</v>
      </c>
      <c r="C215" s="5" t="s">
        <v>227</v>
      </c>
      <c r="E215" s="7" t="s">
        <v>547</v>
      </c>
      <c r="F215" s="7"/>
      <c r="G215" s="7"/>
    </row>
    <row r="216" spans="1:9">
      <c r="A216" s="108"/>
      <c r="C216" s="5" t="s">
        <v>548</v>
      </c>
      <c r="D216" s="6"/>
      <c r="E216" s="7" t="s">
        <v>549</v>
      </c>
      <c r="F216" s="7"/>
      <c r="G216" s="7"/>
    </row>
    <row r="217" spans="1:9">
      <c r="A217" s="108"/>
      <c r="C217" s="5" t="s">
        <v>550</v>
      </c>
      <c r="D217" s="6"/>
      <c r="E217" s="7" t="s">
        <v>551</v>
      </c>
      <c r="F217" s="7"/>
      <c r="G217" s="7"/>
    </row>
    <row r="218" spans="1:9">
      <c r="A218" s="108" t="s">
        <v>21</v>
      </c>
      <c r="B218" s="3" t="s">
        <v>229</v>
      </c>
      <c r="C218" s="5" t="s">
        <v>231</v>
      </c>
      <c r="D218" s="6"/>
      <c r="E218" s="7" t="s">
        <v>552</v>
      </c>
      <c r="F218" s="7"/>
      <c r="G218" s="7"/>
    </row>
    <row r="219" spans="1:9">
      <c r="A219" s="108"/>
      <c r="B219" s="3" t="s">
        <v>230</v>
      </c>
      <c r="C219" s="5" t="s">
        <v>236</v>
      </c>
      <c r="D219" s="6"/>
      <c r="E219" s="7" t="s">
        <v>553</v>
      </c>
      <c r="F219" s="7"/>
      <c r="G219" s="7"/>
    </row>
    <row r="220" spans="1:9">
      <c r="A220" s="108"/>
      <c r="B220" s="3" t="s">
        <v>231</v>
      </c>
      <c r="C220" s="5" t="s">
        <v>232</v>
      </c>
      <c r="D220" s="6"/>
      <c r="E220" s="7" t="s">
        <v>554</v>
      </c>
      <c r="F220" s="7"/>
      <c r="G220" s="7"/>
    </row>
    <row r="221" spans="1:9">
      <c r="A221" s="108"/>
      <c r="B221" s="3" t="s">
        <v>232</v>
      </c>
      <c r="C221" s="5" t="s">
        <v>230</v>
      </c>
      <c r="D221" s="6" t="s">
        <v>837</v>
      </c>
      <c r="E221" s="7" t="s">
        <v>555</v>
      </c>
      <c r="F221" s="7">
        <v>3200</v>
      </c>
      <c r="G221" s="7"/>
      <c r="H221" s="3">
        <f t="shared" si="15"/>
        <v>3200</v>
      </c>
      <c r="I221" s="8">
        <f>H221/SUM($H$221:$H$225)</f>
        <v>0.58181818181818179</v>
      </c>
    </row>
    <row r="222" spans="1:9">
      <c r="A222" s="108"/>
      <c r="B222" s="3" t="s">
        <v>233</v>
      </c>
      <c r="C222" s="5" t="s">
        <v>234</v>
      </c>
      <c r="D222" s="6" t="s">
        <v>880</v>
      </c>
      <c r="E222" s="7" t="s">
        <v>556</v>
      </c>
      <c r="F222" s="7"/>
      <c r="G222" s="7">
        <v>470</v>
      </c>
      <c r="H222" s="3">
        <f t="shared" si="15"/>
        <v>470</v>
      </c>
      <c r="I222" s="8">
        <f t="shared" ref="I222:I225" si="17">H222/SUM($H$221:$H$225)</f>
        <v>8.545454545454545E-2</v>
      </c>
    </row>
    <row r="223" spans="1:9">
      <c r="A223" s="108"/>
      <c r="B223" s="3" t="s">
        <v>234</v>
      </c>
      <c r="C223" s="5" t="s">
        <v>233</v>
      </c>
      <c r="D223" s="6"/>
      <c r="E223" s="7" t="s">
        <v>557</v>
      </c>
      <c r="F223" s="7"/>
      <c r="G223" s="7"/>
    </row>
    <row r="224" spans="1:9">
      <c r="A224" s="108"/>
      <c r="B224" s="3" t="s">
        <v>235</v>
      </c>
      <c r="C224" s="5" t="s">
        <v>229</v>
      </c>
      <c r="D224" s="6"/>
      <c r="E224" s="7" t="s">
        <v>558</v>
      </c>
      <c r="F224" s="7"/>
      <c r="G224" s="7"/>
    </row>
    <row r="225" spans="1:9" ht="45">
      <c r="A225" s="108"/>
      <c r="B225" s="3" t="s">
        <v>236</v>
      </c>
      <c r="C225" s="5" t="s">
        <v>235</v>
      </c>
      <c r="D225" s="6" t="s">
        <v>881</v>
      </c>
      <c r="E225" s="7" t="s">
        <v>559</v>
      </c>
      <c r="F225" s="7"/>
      <c r="G225" s="7">
        <f>550+830+450</f>
        <v>1830</v>
      </c>
      <c r="H225" s="3">
        <f t="shared" si="15"/>
        <v>1830</v>
      </c>
      <c r="I225" s="8">
        <f t="shared" si="17"/>
        <v>0.3327272727272727</v>
      </c>
    </row>
    <row r="226" spans="1:9" ht="30">
      <c r="A226" s="108" t="s">
        <v>22</v>
      </c>
      <c r="B226" s="3" t="s">
        <v>237</v>
      </c>
      <c r="C226" s="5" t="s">
        <v>237</v>
      </c>
      <c r="D226" s="6" t="s">
        <v>884</v>
      </c>
      <c r="E226" s="7" t="s">
        <v>560</v>
      </c>
      <c r="F226" s="7"/>
      <c r="G226" s="7">
        <f>150+140</f>
        <v>290</v>
      </c>
      <c r="H226" s="3">
        <f t="shared" si="15"/>
        <v>290</v>
      </c>
      <c r="I226" s="8">
        <f>H226/SUM(H$226:H$227)</f>
        <v>0.36708860759493672</v>
      </c>
    </row>
    <row r="227" spans="1:9">
      <c r="A227" s="108"/>
      <c r="B227" s="3" t="s">
        <v>238</v>
      </c>
      <c r="C227" s="5" t="s">
        <v>238</v>
      </c>
      <c r="D227" s="6" t="s">
        <v>883</v>
      </c>
      <c r="E227" s="7" t="s">
        <v>561</v>
      </c>
      <c r="F227" s="7"/>
      <c r="G227" s="7">
        <v>500</v>
      </c>
      <c r="H227" s="3">
        <f t="shared" si="15"/>
        <v>500</v>
      </c>
      <c r="I227" s="8">
        <f>H227/SUM(H$226:H$227)</f>
        <v>0.63291139240506333</v>
      </c>
    </row>
    <row r="228" spans="1:9">
      <c r="A228" s="108" t="s">
        <v>23</v>
      </c>
      <c r="B228" s="3" t="s">
        <v>239</v>
      </c>
      <c r="C228" s="5" t="s">
        <v>241</v>
      </c>
      <c r="D228" s="6"/>
      <c r="E228" s="7" t="s">
        <v>562</v>
      </c>
      <c r="F228" s="7"/>
      <c r="G228" s="7"/>
    </row>
    <row r="229" spans="1:9">
      <c r="A229" s="108"/>
      <c r="B229" s="3" t="s">
        <v>240</v>
      </c>
      <c r="C229" s="5" t="s">
        <v>239</v>
      </c>
      <c r="D229" s="6"/>
      <c r="E229" s="7" t="s">
        <v>563</v>
      </c>
      <c r="F229" s="7"/>
      <c r="G229" s="7"/>
    </row>
    <row r="230" spans="1:9">
      <c r="A230" s="108"/>
      <c r="B230" s="3" t="s">
        <v>241</v>
      </c>
      <c r="C230" s="5" t="s">
        <v>242</v>
      </c>
      <c r="D230" s="6" t="s">
        <v>882</v>
      </c>
      <c r="E230" s="7" t="s">
        <v>564</v>
      </c>
      <c r="F230" s="7"/>
      <c r="G230" s="7">
        <v>350</v>
      </c>
      <c r="H230" s="3">
        <f t="shared" si="15"/>
        <v>350</v>
      </c>
      <c r="I230" s="8">
        <f>H230/SUM(H$230:H$231)</f>
        <v>7.2164948453608241E-2</v>
      </c>
    </row>
    <row r="231" spans="1:9">
      <c r="A231" s="108"/>
      <c r="B231" s="3" t="s">
        <v>242</v>
      </c>
      <c r="C231" s="5" t="s">
        <v>240</v>
      </c>
      <c r="D231" s="6" t="s">
        <v>838</v>
      </c>
      <c r="E231" s="7" t="s">
        <v>565</v>
      </c>
      <c r="F231" s="7">
        <v>4500</v>
      </c>
      <c r="G231" s="7"/>
      <c r="H231" s="3">
        <f t="shared" si="15"/>
        <v>4500</v>
      </c>
      <c r="I231" s="8">
        <f>H231/SUM(H$230:H$231)</f>
        <v>0.92783505154639179</v>
      </c>
    </row>
    <row r="232" spans="1:9">
      <c r="A232" s="108" t="s">
        <v>24</v>
      </c>
      <c r="B232" s="3" t="s">
        <v>243</v>
      </c>
      <c r="C232" s="5" t="s">
        <v>243</v>
      </c>
      <c r="D232" s="6"/>
      <c r="E232" s="7" t="s">
        <v>566</v>
      </c>
      <c r="F232" s="7"/>
      <c r="G232" s="7"/>
    </row>
    <row r="233" spans="1:9">
      <c r="A233" s="108"/>
      <c r="B233" s="3" t="s">
        <v>244</v>
      </c>
      <c r="C233" s="5" t="s">
        <v>245</v>
      </c>
      <c r="D233" s="6"/>
      <c r="E233" s="7" t="s">
        <v>567</v>
      </c>
      <c r="F233" s="7"/>
      <c r="G233" s="7"/>
    </row>
    <row r="234" spans="1:9">
      <c r="A234" s="108"/>
      <c r="B234" s="3" t="s">
        <v>245</v>
      </c>
      <c r="C234" s="5" t="s">
        <v>244</v>
      </c>
      <c r="D234" s="6" t="s">
        <v>850</v>
      </c>
      <c r="E234" s="7" t="s">
        <v>568</v>
      </c>
      <c r="F234" s="7"/>
      <c r="G234" s="7">
        <v>360</v>
      </c>
      <c r="H234" s="3">
        <f t="shared" si="15"/>
        <v>360</v>
      </c>
      <c r="I234" s="8">
        <f>H234/SUM(H$234:H$235)</f>
        <v>8.4507042253521125E-2</v>
      </c>
    </row>
    <row r="235" spans="1:9" ht="30">
      <c r="A235" s="108"/>
      <c r="B235" s="3" t="s">
        <v>246</v>
      </c>
      <c r="C235" s="5" t="s">
        <v>246</v>
      </c>
      <c r="D235" s="6" t="s">
        <v>851</v>
      </c>
      <c r="E235" s="7" t="s">
        <v>569</v>
      </c>
      <c r="F235" s="7">
        <v>2600</v>
      </c>
      <c r="G235" s="7">
        <v>1300</v>
      </c>
      <c r="H235" s="3">
        <f t="shared" si="15"/>
        <v>3900</v>
      </c>
      <c r="I235" s="8">
        <f>H235/SUM(H$234:H$235)</f>
        <v>0.91549295774647887</v>
      </c>
    </row>
    <row r="236" spans="1:9">
      <c r="A236" s="108"/>
      <c r="C236" s="5" t="s">
        <v>570</v>
      </c>
      <c r="D236" s="6"/>
      <c r="E236" s="7" t="s">
        <v>571</v>
      </c>
      <c r="F236" s="7"/>
      <c r="G236" s="7"/>
    </row>
    <row r="237" spans="1:9">
      <c r="A237" s="108" t="s">
        <v>25</v>
      </c>
      <c r="B237" s="3" t="s">
        <v>247</v>
      </c>
      <c r="C237" s="5" t="s">
        <v>247</v>
      </c>
      <c r="D237" s="6"/>
      <c r="E237" s="7" t="s">
        <v>572</v>
      </c>
      <c r="F237" s="7"/>
      <c r="G237" s="7"/>
    </row>
    <row r="238" spans="1:9">
      <c r="A238" s="108"/>
      <c r="B238" s="3" t="s">
        <v>248</v>
      </c>
      <c r="C238" s="5" t="s">
        <v>248</v>
      </c>
      <c r="D238" s="6" t="s">
        <v>841</v>
      </c>
      <c r="E238" s="7" t="s">
        <v>573</v>
      </c>
      <c r="F238" s="7">
        <v>1700</v>
      </c>
      <c r="G238" s="7"/>
      <c r="H238" s="3">
        <f t="shared" si="15"/>
        <v>1700</v>
      </c>
      <c r="I238" s="8">
        <f>H238/SUM(H$238:H$244)</f>
        <v>0.29335634167385677</v>
      </c>
    </row>
    <row r="239" spans="1:9">
      <c r="A239" s="108"/>
      <c r="B239" s="3" t="s">
        <v>249</v>
      </c>
      <c r="C239" s="5" t="s">
        <v>252</v>
      </c>
      <c r="D239" s="6"/>
      <c r="E239" s="7" t="s">
        <v>574</v>
      </c>
      <c r="F239" s="7"/>
      <c r="G239" s="7"/>
    </row>
    <row r="240" spans="1:9">
      <c r="A240" s="108"/>
      <c r="B240" s="3" t="s">
        <v>250</v>
      </c>
      <c r="C240" s="5" t="s">
        <v>254</v>
      </c>
      <c r="D240" s="6"/>
      <c r="E240" s="7" t="s">
        <v>575</v>
      </c>
      <c r="F240" s="7"/>
      <c r="G240" s="7"/>
    </row>
    <row r="241" spans="1:9">
      <c r="A241" s="108"/>
      <c r="B241" s="3" t="s">
        <v>251</v>
      </c>
      <c r="C241" s="5" t="s">
        <v>251</v>
      </c>
      <c r="E241" s="7" t="s">
        <v>576</v>
      </c>
      <c r="F241" s="7"/>
      <c r="G241" s="7"/>
    </row>
    <row r="242" spans="1:9" ht="90">
      <c r="A242" s="108"/>
      <c r="B242" s="3" t="s">
        <v>252</v>
      </c>
      <c r="C242" s="5" t="s">
        <v>253</v>
      </c>
      <c r="D242" s="6" t="s">
        <v>892</v>
      </c>
      <c r="E242" s="7" t="s">
        <v>577</v>
      </c>
      <c r="F242" s="7"/>
      <c r="G242" s="7">
        <f>500+95+120+500+200+480</f>
        <v>1895</v>
      </c>
      <c r="H242" s="3">
        <f t="shared" si="15"/>
        <v>1895</v>
      </c>
      <c r="I242" s="8">
        <f t="shared" ref="I242:I244" si="18">H242/SUM(H$238:H$244)</f>
        <v>0.32700603968938741</v>
      </c>
    </row>
    <row r="243" spans="1:9">
      <c r="A243" s="108"/>
      <c r="B243" s="3" t="s">
        <v>253</v>
      </c>
      <c r="C243" s="5" t="s">
        <v>250</v>
      </c>
      <c r="D243" s="6"/>
      <c r="E243" s="7" t="s">
        <v>578</v>
      </c>
      <c r="F243" s="7"/>
      <c r="G243" s="7"/>
    </row>
    <row r="244" spans="1:9">
      <c r="A244" s="108"/>
      <c r="B244" s="3" t="s">
        <v>254</v>
      </c>
      <c r="C244" s="5" t="s">
        <v>249</v>
      </c>
      <c r="D244" s="6" t="s">
        <v>840</v>
      </c>
      <c r="E244" s="7" t="s">
        <v>579</v>
      </c>
      <c r="F244" s="7">
        <v>2200</v>
      </c>
      <c r="G244" s="7"/>
      <c r="H244" s="3">
        <f t="shared" si="15"/>
        <v>2200</v>
      </c>
      <c r="I244" s="8">
        <f t="shared" si="18"/>
        <v>0.37963761863675582</v>
      </c>
    </row>
    <row r="245" spans="1:9">
      <c r="A245" s="108" t="s">
        <v>26</v>
      </c>
      <c r="B245" s="3" t="s">
        <v>255</v>
      </c>
      <c r="C245" s="5" t="s">
        <v>294</v>
      </c>
      <c r="E245" s="7" t="s">
        <v>580</v>
      </c>
      <c r="F245" s="7"/>
      <c r="G245" s="7"/>
    </row>
    <row r="246" spans="1:9">
      <c r="A246" s="108"/>
      <c r="B246" s="3" t="s">
        <v>256</v>
      </c>
      <c r="C246" s="5" t="s">
        <v>268</v>
      </c>
      <c r="D246" s="6"/>
      <c r="E246" s="7" t="s">
        <v>581</v>
      </c>
      <c r="F246" s="7"/>
      <c r="G246" s="7"/>
    </row>
    <row r="247" spans="1:9">
      <c r="A247" s="108"/>
      <c r="B247" s="3" t="s">
        <v>257</v>
      </c>
      <c r="C247" s="5" t="s">
        <v>280</v>
      </c>
      <c r="D247" s="6"/>
      <c r="E247" s="7" t="s">
        <v>582</v>
      </c>
      <c r="F247" s="7"/>
      <c r="G247" s="7"/>
    </row>
    <row r="248" spans="1:9">
      <c r="A248" s="108"/>
      <c r="B248" s="3" t="s">
        <v>258</v>
      </c>
      <c r="C248" s="5" t="s">
        <v>270</v>
      </c>
      <c r="D248" s="6"/>
      <c r="E248" s="7" t="s">
        <v>583</v>
      </c>
      <c r="F248" s="7"/>
      <c r="G248" s="7"/>
    </row>
    <row r="249" spans="1:9">
      <c r="A249" s="108"/>
      <c r="B249" s="3" t="s">
        <v>259</v>
      </c>
      <c r="C249" s="5" t="s">
        <v>285</v>
      </c>
      <c r="D249" s="6"/>
      <c r="E249" s="7" t="s">
        <v>584</v>
      </c>
      <c r="F249" s="7"/>
      <c r="G249" s="7"/>
    </row>
    <row r="250" spans="1:9">
      <c r="A250" s="108"/>
      <c r="B250" s="3" t="s">
        <v>260</v>
      </c>
      <c r="C250" s="5" t="s">
        <v>264</v>
      </c>
      <c r="D250" s="6"/>
      <c r="E250" s="7" t="s">
        <v>585</v>
      </c>
      <c r="F250" s="7"/>
      <c r="G250" s="7"/>
    </row>
    <row r="251" spans="1:9">
      <c r="A251" s="108"/>
      <c r="B251" s="3" t="s">
        <v>261</v>
      </c>
      <c r="C251" s="5" t="s">
        <v>269</v>
      </c>
      <c r="D251" s="6"/>
      <c r="E251" s="7" t="s">
        <v>586</v>
      </c>
      <c r="F251" s="7"/>
      <c r="G251" s="7"/>
    </row>
    <row r="252" spans="1:9" ht="30">
      <c r="A252" s="108"/>
      <c r="B252" s="3" t="s">
        <v>262</v>
      </c>
      <c r="C252" s="5" t="s">
        <v>277</v>
      </c>
      <c r="D252" s="6" t="s">
        <v>843</v>
      </c>
      <c r="E252" s="7" t="s">
        <v>587</v>
      </c>
      <c r="F252" s="7">
        <v>3200</v>
      </c>
      <c r="G252" s="7"/>
      <c r="H252" s="3">
        <f t="shared" si="15"/>
        <v>3200</v>
      </c>
      <c r="I252" s="8">
        <f>H252/SUM(H$252:H$279)</f>
        <v>0.28699551569506726</v>
      </c>
    </row>
    <row r="253" spans="1:9">
      <c r="A253" s="108"/>
      <c r="B253" s="3" t="s">
        <v>263</v>
      </c>
      <c r="C253" s="5" t="s">
        <v>295</v>
      </c>
      <c r="D253" s="6"/>
      <c r="E253" s="7" t="s">
        <v>588</v>
      </c>
      <c r="F253" s="7"/>
      <c r="G253" s="7"/>
    </row>
    <row r="254" spans="1:9" ht="45">
      <c r="A254" s="108"/>
      <c r="B254" s="3" t="s">
        <v>264</v>
      </c>
      <c r="C254" s="5" t="s">
        <v>266</v>
      </c>
      <c r="D254" s="6" t="s">
        <v>827</v>
      </c>
      <c r="E254" s="7" t="s">
        <v>589</v>
      </c>
      <c r="F254" s="7"/>
      <c r="G254" s="7">
        <f>1200+150+500</f>
        <v>1850</v>
      </c>
      <c r="H254" s="3">
        <f t="shared" si="15"/>
        <v>1850</v>
      </c>
      <c r="I254" s="8">
        <f t="shared" ref="I254:I279" si="19">H254/SUM(H$252:H$279)</f>
        <v>0.16591928251121077</v>
      </c>
    </row>
    <row r="255" spans="1:9">
      <c r="A255" s="108"/>
      <c r="B255" s="3" t="s">
        <v>265</v>
      </c>
      <c r="C255" s="5" t="s">
        <v>263</v>
      </c>
      <c r="D255" s="6"/>
      <c r="E255" s="7" t="s">
        <v>590</v>
      </c>
      <c r="F255" s="7"/>
      <c r="G255" s="7"/>
    </row>
    <row r="256" spans="1:9">
      <c r="A256" s="108"/>
      <c r="B256" s="3" t="s">
        <v>266</v>
      </c>
      <c r="C256" s="5" t="s">
        <v>279</v>
      </c>
      <c r="D256" s="6"/>
      <c r="E256" s="7" t="s">
        <v>591</v>
      </c>
      <c r="F256" s="7"/>
      <c r="G256" s="7"/>
    </row>
    <row r="257" spans="1:7" ht="30">
      <c r="A257" s="108"/>
      <c r="B257" s="3" t="s">
        <v>267</v>
      </c>
      <c r="C257" s="5" t="s">
        <v>272</v>
      </c>
      <c r="D257" s="6"/>
      <c r="E257" s="7" t="s">
        <v>592</v>
      </c>
      <c r="F257" s="7"/>
      <c r="G257" s="7"/>
    </row>
    <row r="258" spans="1:7">
      <c r="A258" s="108"/>
      <c r="B258" s="3" t="s">
        <v>268</v>
      </c>
      <c r="C258" s="5" t="s">
        <v>271</v>
      </c>
      <c r="D258" s="6"/>
      <c r="E258" s="7" t="s">
        <v>593</v>
      </c>
      <c r="F258" s="7"/>
      <c r="G258" s="7"/>
    </row>
    <row r="259" spans="1:7" ht="30">
      <c r="A259" s="108"/>
      <c r="B259" s="3" t="s">
        <v>269</v>
      </c>
      <c r="C259" s="5" t="s">
        <v>275</v>
      </c>
      <c r="D259" s="6"/>
      <c r="E259" s="7" t="s">
        <v>594</v>
      </c>
      <c r="F259" s="7"/>
      <c r="G259" s="7"/>
    </row>
    <row r="260" spans="1:7">
      <c r="A260" s="108"/>
      <c r="B260" s="3" t="s">
        <v>270</v>
      </c>
      <c r="C260" s="5" t="s">
        <v>267</v>
      </c>
      <c r="D260" s="6"/>
      <c r="E260" s="7" t="s">
        <v>595</v>
      </c>
      <c r="F260" s="7"/>
      <c r="G260" s="7"/>
    </row>
    <row r="261" spans="1:7">
      <c r="A261" s="108"/>
      <c r="B261" s="3" t="s">
        <v>271</v>
      </c>
      <c r="C261" s="5" t="s">
        <v>274</v>
      </c>
      <c r="D261" s="6"/>
      <c r="E261" s="7" t="s">
        <v>596</v>
      </c>
      <c r="F261" s="7"/>
      <c r="G261" s="7"/>
    </row>
    <row r="262" spans="1:7">
      <c r="A262" s="108"/>
      <c r="B262" s="3" t="s">
        <v>272</v>
      </c>
      <c r="C262" s="5" t="s">
        <v>282</v>
      </c>
      <c r="D262" s="6"/>
      <c r="E262" s="7" t="s">
        <v>597</v>
      </c>
      <c r="F262" s="7"/>
      <c r="G262" s="7"/>
    </row>
    <row r="263" spans="1:7">
      <c r="A263" s="108"/>
      <c r="B263" s="3" t="s">
        <v>273</v>
      </c>
      <c r="C263" s="5" t="s">
        <v>287</v>
      </c>
      <c r="D263" s="6"/>
      <c r="E263" s="7" t="s">
        <v>598</v>
      </c>
      <c r="F263" s="7"/>
      <c r="G263" s="7"/>
    </row>
    <row r="264" spans="1:7">
      <c r="A264" s="108"/>
      <c r="B264" s="3" t="s">
        <v>274</v>
      </c>
      <c r="C264" s="5" t="s">
        <v>265</v>
      </c>
      <c r="D264" s="6"/>
      <c r="E264" s="7" t="s">
        <v>599</v>
      </c>
      <c r="F264" s="7"/>
      <c r="G264" s="7"/>
    </row>
    <row r="265" spans="1:7">
      <c r="A265" s="108"/>
      <c r="B265" s="3" t="s">
        <v>275</v>
      </c>
      <c r="C265" s="5" t="s">
        <v>293</v>
      </c>
      <c r="D265" s="6"/>
      <c r="E265" s="7" t="s">
        <v>600</v>
      </c>
      <c r="F265" s="7"/>
      <c r="G265" s="7"/>
    </row>
    <row r="266" spans="1:7">
      <c r="A266" s="108"/>
      <c r="B266" s="3" t="s">
        <v>276</v>
      </c>
      <c r="C266" s="5" t="s">
        <v>292</v>
      </c>
      <c r="D266" s="6"/>
      <c r="E266" s="7" t="s">
        <v>601</v>
      </c>
      <c r="F266" s="7"/>
      <c r="G266" s="7"/>
    </row>
    <row r="267" spans="1:7">
      <c r="A267" s="108"/>
      <c r="B267" s="3" t="s">
        <v>277</v>
      </c>
      <c r="C267" s="5" t="s">
        <v>291</v>
      </c>
      <c r="D267" s="6"/>
      <c r="E267" s="7" t="s">
        <v>602</v>
      </c>
      <c r="F267" s="7"/>
      <c r="G267" s="7"/>
    </row>
    <row r="268" spans="1:7">
      <c r="A268" s="108"/>
      <c r="B268" s="3" t="s">
        <v>278</v>
      </c>
      <c r="C268" s="5" t="s">
        <v>290</v>
      </c>
      <c r="D268" s="6"/>
      <c r="E268" s="7" t="s">
        <v>603</v>
      </c>
      <c r="F268" s="7"/>
      <c r="G268" s="7"/>
    </row>
    <row r="269" spans="1:7" ht="30">
      <c r="A269" s="108"/>
      <c r="B269" s="3" t="s">
        <v>279</v>
      </c>
      <c r="C269" s="5" t="s">
        <v>289</v>
      </c>
      <c r="D269" s="6"/>
      <c r="E269" s="7" t="s">
        <v>604</v>
      </c>
      <c r="F269" s="7"/>
      <c r="G269" s="7"/>
    </row>
    <row r="270" spans="1:7" ht="30">
      <c r="A270" s="108"/>
      <c r="B270" s="3" t="s">
        <v>280</v>
      </c>
      <c r="C270" s="5" t="s">
        <v>286</v>
      </c>
      <c r="D270" s="6"/>
      <c r="E270" s="7" t="s">
        <v>605</v>
      </c>
      <c r="F270" s="7"/>
      <c r="G270" s="7"/>
    </row>
    <row r="271" spans="1:7">
      <c r="A271" s="108"/>
      <c r="B271" s="3" t="s">
        <v>281</v>
      </c>
      <c r="C271" s="5" t="s">
        <v>283</v>
      </c>
      <c r="D271" s="6"/>
      <c r="E271" s="7" t="s">
        <v>606</v>
      </c>
      <c r="F271" s="7"/>
      <c r="G271" s="7"/>
    </row>
    <row r="272" spans="1:7">
      <c r="A272" s="108"/>
      <c r="B272" s="3" t="s">
        <v>282</v>
      </c>
      <c r="C272" s="5" t="s">
        <v>276</v>
      </c>
      <c r="D272" s="6"/>
      <c r="E272" s="7" t="s">
        <v>607</v>
      </c>
      <c r="F272" s="7"/>
      <c r="G272" s="7"/>
    </row>
    <row r="273" spans="1:10">
      <c r="A273" s="108"/>
      <c r="B273" s="3" t="s">
        <v>283</v>
      </c>
      <c r="C273" s="5" t="s">
        <v>273</v>
      </c>
      <c r="D273" s="6"/>
      <c r="E273" s="7" t="s">
        <v>608</v>
      </c>
      <c r="F273" s="7"/>
      <c r="G273" s="7"/>
    </row>
    <row r="274" spans="1:10" ht="30">
      <c r="A274" s="108"/>
      <c r="B274" s="3" t="s">
        <v>284</v>
      </c>
      <c r="C274" s="5" t="s">
        <v>288</v>
      </c>
      <c r="D274" s="6"/>
      <c r="E274" s="7" t="s">
        <v>609</v>
      </c>
      <c r="F274" s="7"/>
      <c r="G274" s="7"/>
    </row>
    <row r="275" spans="1:10">
      <c r="A275" s="108"/>
      <c r="B275" s="3" t="s">
        <v>285</v>
      </c>
      <c r="C275" s="5" t="s">
        <v>284</v>
      </c>
      <c r="D275" s="6"/>
      <c r="E275" s="7" t="s">
        <v>610</v>
      </c>
      <c r="F275" s="7"/>
      <c r="G275" s="7"/>
    </row>
    <row r="276" spans="1:10">
      <c r="A276" s="108"/>
      <c r="B276" s="3" t="s">
        <v>286</v>
      </c>
      <c r="C276" s="5" t="s">
        <v>281</v>
      </c>
      <c r="D276" s="6"/>
      <c r="E276" s="7" t="s">
        <v>611</v>
      </c>
      <c r="F276" s="7"/>
      <c r="G276" s="7"/>
    </row>
    <row r="277" spans="1:10">
      <c r="A277" s="108"/>
      <c r="B277" s="3" t="s">
        <v>287</v>
      </c>
      <c r="C277" s="5" t="s">
        <v>278</v>
      </c>
      <c r="D277" s="6"/>
      <c r="E277" s="7" t="s">
        <v>612</v>
      </c>
      <c r="F277" s="7"/>
      <c r="G277" s="7"/>
    </row>
    <row r="278" spans="1:10">
      <c r="A278" s="108"/>
      <c r="B278" s="3" t="s">
        <v>288</v>
      </c>
      <c r="C278" s="5" t="s">
        <v>255</v>
      </c>
      <c r="D278" s="6" t="s">
        <v>842</v>
      </c>
      <c r="E278" s="7" t="s">
        <v>613</v>
      </c>
      <c r="F278" s="7">
        <v>4900</v>
      </c>
      <c r="G278" s="7"/>
      <c r="H278" s="3">
        <f t="shared" ref="H278:H279" si="20">SUM($F278:$G278)</f>
        <v>4900</v>
      </c>
      <c r="I278" s="8">
        <f t="shared" si="19"/>
        <v>0.43946188340807174</v>
      </c>
    </row>
    <row r="279" spans="1:10">
      <c r="A279" s="108"/>
      <c r="B279" s="3" t="s">
        <v>289</v>
      </c>
      <c r="C279" s="5" t="s">
        <v>256</v>
      </c>
      <c r="D279" s="6" t="s">
        <v>893</v>
      </c>
      <c r="E279" s="7" t="s">
        <v>614</v>
      </c>
      <c r="F279" s="7"/>
      <c r="G279" s="7">
        <v>1200</v>
      </c>
      <c r="H279" s="3">
        <f t="shared" si="20"/>
        <v>1200</v>
      </c>
      <c r="I279" s="8">
        <f t="shared" si="19"/>
        <v>0.10762331838565023</v>
      </c>
    </row>
    <row r="280" spans="1:10">
      <c r="A280" s="108"/>
      <c r="B280" s="3" t="s">
        <v>290</v>
      </c>
      <c r="C280" s="5" t="s">
        <v>261</v>
      </c>
      <c r="D280" s="6"/>
      <c r="E280" s="7" t="s">
        <v>615</v>
      </c>
      <c r="F280" s="7"/>
      <c r="G280" s="7"/>
    </row>
    <row r="281" spans="1:10">
      <c r="A281" s="108"/>
      <c r="B281" s="3" t="s">
        <v>291</v>
      </c>
      <c r="C281" s="5" t="s">
        <v>259</v>
      </c>
      <c r="D281" s="6"/>
      <c r="E281" s="7" t="s">
        <v>616</v>
      </c>
      <c r="F281" s="7"/>
      <c r="G281" s="7"/>
    </row>
    <row r="282" spans="1:10">
      <c r="A282" s="108"/>
      <c r="B282" s="3" t="s">
        <v>292</v>
      </c>
      <c r="C282" s="5" t="s">
        <v>260</v>
      </c>
      <c r="D282" s="25"/>
      <c r="E282" s="7" t="s">
        <v>617</v>
      </c>
      <c r="F282" s="7"/>
      <c r="G282" s="7"/>
    </row>
    <row r="283" spans="1:10">
      <c r="A283" s="108"/>
      <c r="B283" s="3" t="s">
        <v>293</v>
      </c>
      <c r="C283" s="5" t="s">
        <v>258</v>
      </c>
      <c r="D283" s="6"/>
      <c r="E283" s="7" t="s">
        <v>618</v>
      </c>
      <c r="F283" s="7"/>
      <c r="G283" s="7"/>
    </row>
    <row r="284" spans="1:10">
      <c r="A284" s="108"/>
      <c r="B284" s="3" t="s">
        <v>294</v>
      </c>
      <c r="C284" s="5" t="s">
        <v>257</v>
      </c>
      <c r="D284" s="6"/>
      <c r="E284" s="7" t="s">
        <v>619</v>
      </c>
      <c r="F284" s="7"/>
      <c r="G284" s="7"/>
    </row>
    <row r="285" spans="1:10">
      <c r="A285" s="108"/>
      <c r="B285" s="3" t="s">
        <v>295</v>
      </c>
      <c r="C285" s="5" t="s">
        <v>262</v>
      </c>
      <c r="D285" s="6"/>
      <c r="E285" s="7" t="s">
        <v>620</v>
      </c>
      <c r="F285" s="7"/>
      <c r="G285" s="7"/>
    </row>
    <row r="286" spans="1:10">
      <c r="A286" s="108" t="s">
        <v>27</v>
      </c>
      <c r="B286" s="3" t="s">
        <v>296</v>
      </c>
      <c r="C286" s="12" t="s">
        <v>298</v>
      </c>
      <c r="E286" s="11" t="s">
        <v>629</v>
      </c>
      <c r="F286" s="11"/>
      <c r="G286" s="11"/>
      <c r="I286" s="8">
        <f>1/7</f>
        <v>0.14285714285714285</v>
      </c>
      <c r="J286" s="73" t="s">
        <v>950</v>
      </c>
    </row>
    <row r="287" spans="1:10">
      <c r="A287" s="108"/>
      <c r="B287" s="3" t="s">
        <v>297</v>
      </c>
      <c r="C287" s="11" t="s">
        <v>297</v>
      </c>
      <c r="E287" s="11" t="s">
        <v>630</v>
      </c>
      <c r="F287" s="11"/>
      <c r="G287" s="11"/>
      <c r="I287" s="8">
        <f t="shared" ref="I287:I303" si="21">1/7</f>
        <v>0.14285714285714285</v>
      </c>
      <c r="J287" s="73" t="s">
        <v>950</v>
      </c>
    </row>
    <row r="288" spans="1:10">
      <c r="A288" s="108"/>
      <c r="B288" s="3" t="s">
        <v>298</v>
      </c>
      <c r="C288" s="11" t="s">
        <v>299</v>
      </c>
      <c r="E288" s="11" t="s">
        <v>631</v>
      </c>
      <c r="F288" s="11"/>
      <c r="G288" s="11"/>
      <c r="I288" s="8">
        <f t="shared" si="21"/>
        <v>0.14285714285714285</v>
      </c>
      <c r="J288" s="73" t="s">
        <v>950</v>
      </c>
    </row>
    <row r="289" spans="1:10">
      <c r="A289" s="108"/>
      <c r="B289" s="3" t="s">
        <v>299</v>
      </c>
      <c r="C289" s="5" t="s">
        <v>625</v>
      </c>
      <c r="E289" s="11" t="s">
        <v>632</v>
      </c>
      <c r="F289" s="11"/>
      <c r="G289" s="11"/>
      <c r="I289" s="8">
        <f t="shared" si="21"/>
        <v>0.14285714285714285</v>
      </c>
      <c r="J289" s="73" t="s">
        <v>950</v>
      </c>
    </row>
    <row r="290" spans="1:10">
      <c r="A290" s="108"/>
      <c r="B290" s="3" t="s">
        <v>300</v>
      </c>
      <c r="C290" s="12" t="s">
        <v>626</v>
      </c>
      <c r="E290" s="11" t="s">
        <v>633</v>
      </c>
      <c r="F290" s="11"/>
      <c r="G290" s="11"/>
      <c r="I290" s="8">
        <f t="shared" si="21"/>
        <v>0.14285714285714285</v>
      </c>
      <c r="J290" s="73" t="s">
        <v>950</v>
      </c>
    </row>
    <row r="291" spans="1:10">
      <c r="A291" s="108"/>
      <c r="B291" s="3" t="s">
        <v>301</v>
      </c>
      <c r="C291" s="12" t="s">
        <v>627</v>
      </c>
      <c r="E291" s="11" t="s">
        <v>634</v>
      </c>
      <c r="F291" s="11"/>
      <c r="G291" s="11"/>
      <c r="I291" s="8">
        <f t="shared" si="21"/>
        <v>0.14285714285714285</v>
      </c>
      <c r="J291" s="73" t="s">
        <v>950</v>
      </c>
    </row>
    <row r="292" spans="1:10">
      <c r="A292" s="108"/>
      <c r="B292" s="3" t="s">
        <v>302</v>
      </c>
      <c r="C292" s="12" t="s">
        <v>628</v>
      </c>
      <c r="E292" s="11" t="s">
        <v>635</v>
      </c>
      <c r="F292" s="11"/>
      <c r="G292" s="11"/>
      <c r="I292" s="8">
        <f t="shared" si="21"/>
        <v>0.14285714285714285</v>
      </c>
      <c r="J292" s="73" t="s">
        <v>950</v>
      </c>
    </row>
    <row r="293" spans="1:10">
      <c r="A293" s="108"/>
      <c r="C293" s="12" t="s">
        <v>302</v>
      </c>
      <c r="E293" s="11"/>
      <c r="F293" s="11"/>
      <c r="G293" s="11"/>
      <c r="I293" s="8">
        <f>I289*1.3/2.3</f>
        <v>8.0745341614906846E-2</v>
      </c>
      <c r="J293" s="73" t="s">
        <v>950</v>
      </c>
    </row>
    <row r="294" spans="1:10">
      <c r="A294" s="108"/>
      <c r="C294" s="12" t="s">
        <v>301</v>
      </c>
      <c r="E294" s="11"/>
      <c r="F294" s="11"/>
      <c r="G294" s="11"/>
      <c r="I294" s="8">
        <f>I289*1/2.3</f>
        <v>6.2111801242236024E-2</v>
      </c>
      <c r="J294" s="73" t="s">
        <v>950</v>
      </c>
    </row>
    <row r="295" spans="1:10">
      <c r="A295" s="108"/>
      <c r="C295" s="12" t="s">
        <v>300</v>
      </c>
      <c r="E295" s="11"/>
      <c r="F295" s="11"/>
      <c r="G295" s="11"/>
      <c r="I295" s="8">
        <f>I290</f>
        <v>0.14285714285714285</v>
      </c>
      <c r="J295" s="73" t="s">
        <v>950</v>
      </c>
    </row>
    <row r="296" spans="1:10">
      <c r="A296" s="108"/>
      <c r="C296" s="12" t="s">
        <v>296</v>
      </c>
      <c r="E296" s="11"/>
      <c r="F296" s="11"/>
      <c r="G296" s="11"/>
      <c r="I296" s="8">
        <f>I291</f>
        <v>0.14285714285714285</v>
      </c>
      <c r="J296" s="73" t="s">
        <v>950</v>
      </c>
    </row>
    <row r="297" spans="1:10">
      <c r="A297" s="108" t="s">
        <v>636</v>
      </c>
      <c r="B297" s="3" t="s">
        <v>303</v>
      </c>
      <c r="C297" s="12" t="s">
        <v>305</v>
      </c>
      <c r="D297" s="13"/>
      <c r="E297" s="12" t="s">
        <v>637</v>
      </c>
      <c r="F297" s="12"/>
      <c r="G297" s="12"/>
      <c r="I297" s="8">
        <f t="shared" si="21"/>
        <v>0.14285714285714285</v>
      </c>
      <c r="J297" s="73" t="s">
        <v>950</v>
      </c>
    </row>
    <row r="298" spans="1:10">
      <c r="A298" s="108"/>
      <c r="B298" s="3" t="s">
        <v>304</v>
      </c>
      <c r="C298" s="12" t="s">
        <v>307</v>
      </c>
      <c r="D298" s="13"/>
      <c r="E298" s="12" t="s">
        <v>638</v>
      </c>
      <c r="F298" s="12"/>
      <c r="G298" s="12"/>
      <c r="I298" s="8">
        <f t="shared" si="21"/>
        <v>0.14285714285714285</v>
      </c>
      <c r="J298" s="73" t="s">
        <v>950</v>
      </c>
    </row>
    <row r="299" spans="1:10">
      <c r="A299" s="108"/>
      <c r="B299" s="3" t="s">
        <v>305</v>
      </c>
      <c r="C299" s="12" t="s">
        <v>309</v>
      </c>
      <c r="D299" s="13"/>
      <c r="E299" s="12" t="s">
        <v>639</v>
      </c>
      <c r="F299" s="12"/>
      <c r="G299" s="12"/>
      <c r="I299" s="8">
        <f t="shared" si="21"/>
        <v>0.14285714285714285</v>
      </c>
      <c r="J299" s="73" t="s">
        <v>950</v>
      </c>
    </row>
    <row r="300" spans="1:10">
      <c r="A300" s="108"/>
      <c r="B300" s="3" t="s">
        <v>306</v>
      </c>
      <c r="C300" s="12" t="s">
        <v>303</v>
      </c>
      <c r="D300" s="13"/>
      <c r="E300" s="12" t="s">
        <v>640</v>
      </c>
      <c r="F300" s="12"/>
      <c r="G300" s="12"/>
      <c r="I300" s="8">
        <f t="shared" si="21"/>
        <v>0.14285714285714285</v>
      </c>
      <c r="J300" s="73" t="s">
        <v>950</v>
      </c>
    </row>
    <row r="301" spans="1:10">
      <c r="A301" s="108"/>
      <c r="B301" s="3" t="s">
        <v>307</v>
      </c>
      <c r="C301" s="12" t="s">
        <v>308</v>
      </c>
      <c r="D301" s="13"/>
      <c r="E301" s="12" t="s">
        <v>641</v>
      </c>
      <c r="F301" s="12"/>
      <c r="G301" s="12"/>
      <c r="I301" s="8">
        <f t="shared" si="21"/>
        <v>0.14285714285714285</v>
      </c>
      <c r="J301" s="73" t="s">
        <v>950</v>
      </c>
    </row>
    <row r="302" spans="1:10">
      <c r="A302" s="108"/>
      <c r="B302" s="3" t="s">
        <v>308</v>
      </c>
      <c r="C302" s="12" t="s">
        <v>304</v>
      </c>
      <c r="D302" s="13"/>
      <c r="E302" s="12" t="s">
        <v>642</v>
      </c>
      <c r="F302" s="12"/>
      <c r="G302" s="12"/>
      <c r="I302" s="8">
        <f t="shared" si="21"/>
        <v>0.14285714285714285</v>
      </c>
      <c r="J302" s="73" t="s">
        <v>950</v>
      </c>
    </row>
    <row r="303" spans="1:10">
      <c r="A303" s="108"/>
      <c r="B303" s="3" t="s">
        <v>309</v>
      </c>
      <c r="C303" s="12" t="s">
        <v>306</v>
      </c>
      <c r="D303" s="13"/>
      <c r="E303" s="12" t="s">
        <v>643</v>
      </c>
      <c r="F303" s="12"/>
      <c r="G303" s="12"/>
      <c r="I303" s="8">
        <f t="shared" si="21"/>
        <v>0.14285714285714285</v>
      </c>
      <c r="J303" s="73" t="s">
        <v>950</v>
      </c>
    </row>
    <row r="304" spans="1:10">
      <c r="A304" s="26" t="s">
        <v>28</v>
      </c>
      <c r="B304" s="3" t="s">
        <v>310</v>
      </c>
      <c r="C304" s="28" t="s">
        <v>310</v>
      </c>
      <c r="D304" s="27"/>
      <c r="E304" s="28" t="s">
        <v>644</v>
      </c>
      <c r="F304" s="28"/>
      <c r="G304" s="28"/>
      <c r="I304" s="8">
        <f>1</f>
        <v>1</v>
      </c>
      <c r="J304" s="73" t="s">
        <v>950</v>
      </c>
    </row>
    <row r="305" spans="1:10">
      <c r="A305" s="24" t="s">
        <v>29</v>
      </c>
      <c r="B305" s="3" t="s">
        <v>311</v>
      </c>
      <c r="C305" s="11" t="s">
        <v>311</v>
      </c>
      <c r="D305" s="7"/>
      <c r="E305" s="7" t="s">
        <v>645</v>
      </c>
      <c r="F305" s="7"/>
      <c r="G305" s="7"/>
      <c r="I305" s="8">
        <f>1</f>
        <v>1</v>
      </c>
      <c r="J305" s="73" t="s">
        <v>950</v>
      </c>
    </row>
    <row r="306" spans="1:10">
      <c r="A306" s="108" t="s">
        <v>30</v>
      </c>
      <c r="B306" s="3" t="s">
        <v>35</v>
      </c>
      <c r="C306" s="11" t="s">
        <v>33</v>
      </c>
      <c r="D306" s="7"/>
      <c r="E306" s="11" t="s">
        <v>646</v>
      </c>
      <c r="F306" s="11"/>
      <c r="G306" s="11"/>
      <c r="I306" s="8">
        <f>1/3</f>
        <v>0.33333333333333331</v>
      </c>
      <c r="J306" s="73" t="s">
        <v>950</v>
      </c>
    </row>
    <row r="307" spans="1:10">
      <c r="A307" s="108"/>
      <c r="B307" s="3" t="s">
        <v>34</v>
      </c>
      <c r="C307" s="11" t="s">
        <v>34</v>
      </c>
      <c r="D307" s="7"/>
      <c r="E307" s="11" t="s">
        <v>647</v>
      </c>
      <c r="F307" s="11"/>
      <c r="G307" s="11"/>
      <c r="I307" s="8">
        <f t="shared" ref="I307:I308" si="22">1/3</f>
        <v>0.33333333333333331</v>
      </c>
      <c r="J307" s="73" t="s">
        <v>950</v>
      </c>
    </row>
    <row r="308" spans="1:10">
      <c r="A308" s="108"/>
      <c r="B308" s="3" t="s">
        <v>33</v>
      </c>
      <c r="C308" s="11" t="s">
        <v>35</v>
      </c>
      <c r="D308" s="7"/>
      <c r="E308" s="11" t="s">
        <v>648</v>
      </c>
      <c r="F308" s="11"/>
      <c r="G308" s="11"/>
      <c r="I308" s="8">
        <f t="shared" si="22"/>
        <v>0.33333333333333331</v>
      </c>
      <c r="J308" s="73" t="s">
        <v>950</v>
      </c>
    </row>
    <row r="309" spans="1:10">
      <c r="A309" s="108" t="s">
        <v>31</v>
      </c>
      <c r="B309" s="3" t="s">
        <v>312</v>
      </c>
      <c r="C309" s="11" t="s">
        <v>315</v>
      </c>
      <c r="D309" s="7"/>
      <c r="E309" s="11" t="s">
        <v>649</v>
      </c>
      <c r="F309" s="11"/>
      <c r="G309" s="11"/>
      <c r="I309" s="8">
        <f>1/4</f>
        <v>0.25</v>
      </c>
      <c r="J309" s="73" t="s">
        <v>950</v>
      </c>
    </row>
    <row r="310" spans="1:10">
      <c r="A310" s="108"/>
      <c r="B310" s="3" t="s">
        <v>313</v>
      </c>
      <c r="C310" s="11" t="s">
        <v>314</v>
      </c>
      <c r="D310" s="7"/>
      <c r="E310" s="11" t="s">
        <v>650</v>
      </c>
      <c r="F310" s="11"/>
      <c r="G310" s="11"/>
      <c r="I310" s="8">
        <f t="shared" ref="I310:I312" si="23">1/4</f>
        <v>0.25</v>
      </c>
      <c r="J310" s="73" t="s">
        <v>950</v>
      </c>
    </row>
    <row r="311" spans="1:10">
      <c r="A311" s="108"/>
      <c r="B311" s="3" t="s">
        <v>314</v>
      </c>
      <c r="C311" s="11" t="s">
        <v>313</v>
      </c>
      <c r="D311" s="7"/>
      <c r="E311" s="7" t="s">
        <v>651</v>
      </c>
      <c r="F311" s="7"/>
      <c r="G311" s="7"/>
      <c r="I311" s="8">
        <f t="shared" si="23"/>
        <v>0.25</v>
      </c>
      <c r="J311" s="73" t="s">
        <v>950</v>
      </c>
    </row>
    <row r="312" spans="1:10">
      <c r="A312" s="108"/>
      <c r="B312" s="3" t="s">
        <v>315</v>
      </c>
      <c r="C312" s="11" t="s">
        <v>312</v>
      </c>
      <c r="D312" s="7"/>
      <c r="E312" s="7" t="s">
        <v>652</v>
      </c>
      <c r="F312" s="7"/>
      <c r="G312" s="7"/>
      <c r="I312" s="8">
        <f t="shared" si="23"/>
        <v>0.25</v>
      </c>
      <c r="J312" s="73" t="s">
        <v>950</v>
      </c>
    </row>
    <row r="313" spans="1:10">
      <c r="A313" s="26" t="s">
        <v>32</v>
      </c>
      <c r="B313" s="3" t="s">
        <v>5018</v>
      </c>
      <c r="C313" s="11" t="s">
        <v>5018</v>
      </c>
      <c r="I313" s="8">
        <f>1</f>
        <v>1</v>
      </c>
      <c r="J313" s="73" t="s">
        <v>950</v>
      </c>
    </row>
    <row r="314" spans="1:10">
      <c r="A314" s="26" t="s">
        <v>654</v>
      </c>
      <c r="B314" s="3" t="s">
        <v>656</v>
      </c>
      <c r="C314" s="11" t="s">
        <v>656</v>
      </c>
      <c r="E314" s="3" t="s">
        <v>654</v>
      </c>
      <c r="I314" s="8">
        <f>1</f>
        <v>1</v>
      </c>
      <c r="J314" s="73" t="s">
        <v>950</v>
      </c>
    </row>
    <row r="315" spans="1:10">
      <c r="A315" s="97" t="s">
        <v>2150</v>
      </c>
      <c r="C315" s="11" t="s">
        <v>655</v>
      </c>
      <c r="E315" s="3" t="s">
        <v>653</v>
      </c>
      <c r="I315" s="8">
        <f>1</f>
        <v>1</v>
      </c>
      <c r="J315" s="73" t="s">
        <v>950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5"/>
  <sheetViews>
    <sheetView zoomScale="84" workbookViewId="0">
      <selection activeCell="J8" sqref="J8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20.875" style="3" customWidth="1"/>
    <col min="5" max="5" width="29.875" style="3" bestFit="1" customWidth="1"/>
    <col min="6" max="6" width="20.5" style="3" bestFit="1" customWidth="1"/>
    <col min="7" max="7" width="10" style="8" bestFit="1" customWidth="1"/>
    <col min="8" max="8" width="24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1">
      <c r="A1" s="22" t="s">
        <v>0</v>
      </c>
      <c r="B1" s="22" t="s">
        <v>657</v>
      </c>
      <c r="C1" s="22" t="s">
        <v>1</v>
      </c>
      <c r="D1" s="22" t="s">
        <v>2</v>
      </c>
      <c r="E1" s="22" t="s">
        <v>658</v>
      </c>
      <c r="F1" s="22" t="s">
        <v>735</v>
      </c>
      <c r="G1" s="23" t="s">
        <v>5019</v>
      </c>
      <c r="H1" s="2" t="s">
        <v>952</v>
      </c>
      <c r="I1" s="2"/>
      <c r="J1" s="2"/>
    </row>
    <row r="2" spans="1:11" ht="30">
      <c r="A2" s="108" t="s">
        <v>3</v>
      </c>
      <c r="B2" s="3" t="s">
        <v>37</v>
      </c>
      <c r="C2" s="5" t="s">
        <v>36</v>
      </c>
      <c r="D2" s="6"/>
      <c r="E2" s="7" t="s">
        <v>621</v>
      </c>
      <c r="K2" s="4"/>
    </row>
    <row r="3" spans="1:11">
      <c r="A3" s="108"/>
      <c r="B3" s="3" t="s">
        <v>38</v>
      </c>
      <c r="C3" s="5" t="s">
        <v>46</v>
      </c>
      <c r="D3" s="6" t="s">
        <v>659</v>
      </c>
      <c r="E3" s="7" t="s">
        <v>316</v>
      </c>
      <c r="F3" s="3">
        <v>460</v>
      </c>
      <c r="G3" s="8">
        <f>F3/SUM($F$3:$F$12)</f>
        <v>0.4448742746615087</v>
      </c>
      <c r="H3" s="4"/>
      <c r="I3" s="9"/>
      <c r="K3" s="4"/>
    </row>
    <row r="4" spans="1:11">
      <c r="A4" s="108"/>
      <c r="B4" s="3" t="s">
        <v>39</v>
      </c>
      <c r="C4" s="5" t="s">
        <v>40</v>
      </c>
      <c r="D4" s="6" t="s">
        <v>802</v>
      </c>
      <c r="E4" s="7" t="s">
        <v>317</v>
      </c>
      <c r="F4" s="3">
        <v>400</v>
      </c>
      <c r="G4" s="8">
        <f t="shared" ref="G4:G12" si="0">F4/SUM($F$3:$F$12)</f>
        <v>0.38684719535783363</v>
      </c>
      <c r="K4" s="4"/>
    </row>
    <row r="5" spans="1:11">
      <c r="A5" s="108"/>
      <c r="B5" s="3" t="s">
        <v>40</v>
      </c>
      <c r="C5" s="5" t="s">
        <v>44</v>
      </c>
      <c r="D5" s="6"/>
      <c r="E5" s="7" t="s">
        <v>318</v>
      </c>
      <c r="K5" s="4"/>
    </row>
    <row r="6" spans="1:11">
      <c r="A6" s="108"/>
      <c r="B6" s="3" t="s">
        <v>41</v>
      </c>
      <c r="C6" s="5" t="s">
        <v>45</v>
      </c>
      <c r="D6" s="6"/>
      <c r="E6" s="7" t="s">
        <v>319</v>
      </c>
      <c r="K6" s="4"/>
    </row>
    <row r="7" spans="1:11">
      <c r="A7" s="108"/>
      <c r="B7" s="3" t="s">
        <v>42</v>
      </c>
      <c r="C7" s="5" t="s">
        <v>37</v>
      </c>
      <c r="D7" s="6"/>
      <c r="E7" s="7" t="s">
        <v>320</v>
      </c>
      <c r="K7" s="4"/>
    </row>
    <row r="8" spans="1:11">
      <c r="A8" s="108"/>
      <c r="B8" s="3" t="s">
        <v>43</v>
      </c>
      <c r="C8" s="5" t="s">
        <v>43</v>
      </c>
      <c r="D8" s="6"/>
      <c r="E8" s="7" t="s">
        <v>321</v>
      </c>
      <c r="K8" s="4"/>
    </row>
    <row r="9" spans="1:11">
      <c r="A9" s="108"/>
      <c r="B9" s="3" t="s">
        <v>44</v>
      </c>
      <c r="C9" s="5" t="s">
        <v>42</v>
      </c>
      <c r="D9" s="6"/>
      <c r="E9" s="7" t="s">
        <v>322</v>
      </c>
      <c r="K9" s="4"/>
    </row>
    <row r="10" spans="1:11">
      <c r="A10" s="108"/>
      <c r="B10" s="3" t="s">
        <v>45</v>
      </c>
      <c r="C10" s="5" t="s">
        <v>41</v>
      </c>
      <c r="D10" s="6"/>
      <c r="E10" s="7" t="s">
        <v>323</v>
      </c>
      <c r="K10" s="4"/>
    </row>
    <row r="11" spans="1:11">
      <c r="A11" s="108"/>
      <c r="B11" s="3" t="s">
        <v>36</v>
      </c>
      <c r="C11" s="5" t="s">
        <v>39</v>
      </c>
      <c r="D11" s="6"/>
      <c r="E11" s="7" t="s">
        <v>324</v>
      </c>
      <c r="K11" s="4"/>
    </row>
    <row r="12" spans="1:11">
      <c r="A12" s="108"/>
      <c r="B12" s="3" t="s">
        <v>46</v>
      </c>
      <c r="C12" s="5" t="s">
        <v>38</v>
      </c>
      <c r="D12" s="6" t="s">
        <v>801</v>
      </c>
      <c r="E12" s="7" t="s">
        <v>325</v>
      </c>
      <c r="F12" s="3">
        <v>174</v>
      </c>
      <c r="G12" s="8">
        <f t="shared" si="0"/>
        <v>0.16827852998065765</v>
      </c>
      <c r="K12" s="4"/>
    </row>
    <row r="13" spans="1:11">
      <c r="A13" s="108" t="s">
        <v>4</v>
      </c>
      <c r="B13" s="3" t="s">
        <v>47</v>
      </c>
      <c r="C13" s="5" t="s">
        <v>47</v>
      </c>
      <c r="D13" s="6"/>
      <c r="E13" s="7" t="s">
        <v>326</v>
      </c>
      <c r="G13" s="8">
        <f>1/6</f>
        <v>0.16666666666666666</v>
      </c>
      <c r="H13" s="73" t="s">
        <v>950</v>
      </c>
      <c r="K13" s="4"/>
    </row>
    <row r="14" spans="1:11">
      <c r="A14" s="108"/>
      <c r="B14" s="3" t="s">
        <v>48</v>
      </c>
      <c r="C14" s="5" t="s">
        <v>49</v>
      </c>
      <c r="D14" s="6"/>
      <c r="E14" s="7" t="s">
        <v>327</v>
      </c>
      <c r="G14" s="8">
        <f t="shared" ref="G14:G18" si="1">1/6</f>
        <v>0.16666666666666666</v>
      </c>
      <c r="H14" s="73" t="s">
        <v>950</v>
      </c>
      <c r="K14" s="4"/>
    </row>
    <row r="15" spans="1:11">
      <c r="A15" s="108"/>
      <c r="B15" s="3" t="s">
        <v>49</v>
      </c>
      <c r="C15" s="5" t="s">
        <v>50</v>
      </c>
      <c r="D15" s="6"/>
      <c r="E15" s="7" t="s">
        <v>328</v>
      </c>
      <c r="G15" s="8">
        <f t="shared" si="1"/>
        <v>0.16666666666666666</v>
      </c>
      <c r="H15" s="73" t="s">
        <v>950</v>
      </c>
      <c r="K15" s="4"/>
    </row>
    <row r="16" spans="1:11">
      <c r="A16" s="108"/>
      <c r="B16" s="3" t="s">
        <v>50</v>
      </c>
      <c r="C16" s="5" t="s">
        <v>51</v>
      </c>
      <c r="D16" s="6"/>
      <c r="E16" s="7" t="s">
        <v>329</v>
      </c>
      <c r="G16" s="8">
        <f t="shared" si="1"/>
        <v>0.16666666666666666</v>
      </c>
      <c r="H16" s="73" t="s">
        <v>950</v>
      </c>
      <c r="K16" s="4"/>
    </row>
    <row r="17" spans="1:11">
      <c r="A17" s="108"/>
      <c r="B17" s="3" t="s">
        <v>51</v>
      </c>
      <c r="C17" s="5" t="s">
        <v>52</v>
      </c>
      <c r="D17" s="6"/>
      <c r="E17" s="7" t="s">
        <v>330</v>
      </c>
      <c r="G17" s="8">
        <f t="shared" si="1"/>
        <v>0.16666666666666666</v>
      </c>
      <c r="H17" s="73" t="s">
        <v>950</v>
      </c>
      <c r="K17" s="4"/>
    </row>
    <row r="18" spans="1:11">
      <c r="A18" s="108"/>
      <c r="B18" s="3" t="s">
        <v>52</v>
      </c>
      <c r="C18" s="5" t="s">
        <v>48</v>
      </c>
      <c r="D18" s="6"/>
      <c r="E18" s="7" t="s">
        <v>331</v>
      </c>
      <c r="G18" s="8">
        <f t="shared" si="1"/>
        <v>0.16666666666666666</v>
      </c>
      <c r="H18" s="73" t="s">
        <v>950</v>
      </c>
      <c r="K18" s="4"/>
    </row>
    <row r="19" spans="1:11">
      <c r="A19" s="108" t="s">
        <v>5</v>
      </c>
      <c r="B19" s="3" t="s">
        <v>53</v>
      </c>
      <c r="C19" s="5" t="s">
        <v>54</v>
      </c>
      <c r="D19" s="6"/>
      <c r="E19" s="7" t="s">
        <v>332</v>
      </c>
      <c r="K19" s="4"/>
    </row>
    <row r="20" spans="1:11">
      <c r="A20" s="108"/>
      <c r="B20" s="3" t="s">
        <v>54</v>
      </c>
      <c r="C20" s="5" t="s">
        <v>53</v>
      </c>
      <c r="D20" s="6" t="s">
        <v>799</v>
      </c>
      <c r="E20" s="7" t="s">
        <v>333</v>
      </c>
      <c r="F20" s="3">
        <v>135</v>
      </c>
      <c r="G20" s="8">
        <f>F20/(F20+F22)</f>
        <v>0.68877551020408168</v>
      </c>
      <c r="K20" s="4"/>
    </row>
    <row r="21" spans="1:11">
      <c r="A21" s="108"/>
      <c r="B21" s="3" t="s">
        <v>55</v>
      </c>
      <c r="C21" s="5" t="s">
        <v>60</v>
      </c>
      <c r="D21" s="6"/>
      <c r="E21" s="7" t="s">
        <v>334</v>
      </c>
      <c r="K21" s="4"/>
    </row>
    <row r="22" spans="1:11">
      <c r="A22" s="108"/>
      <c r="B22" s="3" t="s">
        <v>56</v>
      </c>
      <c r="C22" s="5" t="s">
        <v>58</v>
      </c>
      <c r="D22" s="3" t="s">
        <v>800</v>
      </c>
      <c r="E22" s="7" t="s">
        <v>335</v>
      </c>
      <c r="F22" s="3">
        <v>61</v>
      </c>
      <c r="G22" s="8">
        <f>F22/(F22+F20)</f>
        <v>0.31122448979591838</v>
      </c>
      <c r="K22" s="4"/>
    </row>
    <row r="23" spans="1:11">
      <c r="A23" s="108"/>
      <c r="B23" s="3" t="s">
        <v>57</v>
      </c>
      <c r="C23" s="5" t="s">
        <v>57</v>
      </c>
      <c r="D23" s="6"/>
      <c r="E23" s="7" t="s">
        <v>336</v>
      </c>
      <c r="K23" s="4"/>
    </row>
    <row r="24" spans="1:11">
      <c r="A24" s="108"/>
      <c r="B24" s="3" t="s">
        <v>58</v>
      </c>
      <c r="C24" s="5" t="s">
        <v>59</v>
      </c>
      <c r="D24" s="6"/>
      <c r="E24" s="7" t="s">
        <v>337</v>
      </c>
      <c r="K24" s="4"/>
    </row>
    <row r="25" spans="1:11">
      <c r="A25" s="108"/>
      <c r="B25" s="3" t="s">
        <v>59</v>
      </c>
      <c r="C25" s="5" t="s">
        <v>55</v>
      </c>
      <c r="D25" s="6"/>
      <c r="E25" s="7" t="s">
        <v>338</v>
      </c>
      <c r="K25" s="4"/>
    </row>
    <row r="26" spans="1:11">
      <c r="A26" s="108"/>
      <c r="B26" s="3" t="s">
        <v>60</v>
      </c>
      <c r="C26" s="5" t="s">
        <v>56</v>
      </c>
      <c r="D26" s="6"/>
      <c r="E26" s="7" t="s">
        <v>339</v>
      </c>
      <c r="K26" s="4"/>
    </row>
    <row r="27" spans="1:11">
      <c r="A27" s="108" t="s">
        <v>6</v>
      </c>
      <c r="B27" s="3" t="s">
        <v>61</v>
      </c>
      <c r="C27" s="5" t="s">
        <v>64</v>
      </c>
      <c r="D27" s="6"/>
      <c r="E27" s="7" t="s">
        <v>340</v>
      </c>
      <c r="G27" s="8">
        <f>1/5</f>
        <v>0.2</v>
      </c>
      <c r="H27" s="73" t="s">
        <v>950</v>
      </c>
      <c r="K27" s="4"/>
    </row>
    <row r="28" spans="1:11">
      <c r="A28" s="108"/>
      <c r="B28" s="3" t="s">
        <v>62</v>
      </c>
      <c r="C28" s="5" t="s">
        <v>61</v>
      </c>
      <c r="D28" s="6"/>
      <c r="E28" s="7" t="s">
        <v>341</v>
      </c>
      <c r="G28" s="8">
        <f t="shared" ref="G28:G31" si="2">1/5</f>
        <v>0.2</v>
      </c>
      <c r="H28" s="73" t="s">
        <v>950</v>
      </c>
      <c r="K28" s="4"/>
    </row>
    <row r="29" spans="1:11">
      <c r="A29" s="108"/>
      <c r="B29" s="3" t="s">
        <v>63</v>
      </c>
      <c r="C29" s="5" t="s">
        <v>63</v>
      </c>
      <c r="D29" s="6"/>
      <c r="E29" s="7" t="s">
        <v>342</v>
      </c>
      <c r="G29" s="8">
        <f t="shared" si="2"/>
        <v>0.2</v>
      </c>
      <c r="H29" s="73" t="s">
        <v>950</v>
      </c>
      <c r="K29" s="4"/>
    </row>
    <row r="30" spans="1:11">
      <c r="A30" s="108"/>
      <c r="B30" s="3" t="s">
        <v>64</v>
      </c>
      <c r="C30" s="5" t="s">
        <v>65</v>
      </c>
      <c r="D30" s="6"/>
      <c r="E30" s="7" t="s">
        <v>343</v>
      </c>
      <c r="G30" s="8">
        <f t="shared" si="2"/>
        <v>0.2</v>
      </c>
      <c r="H30" s="73" t="s">
        <v>950</v>
      </c>
      <c r="K30" s="4"/>
    </row>
    <row r="31" spans="1:11">
      <c r="A31" s="108"/>
      <c r="B31" s="3" t="s">
        <v>65</v>
      </c>
      <c r="C31" s="5" t="s">
        <v>62</v>
      </c>
      <c r="D31" s="6"/>
      <c r="E31" s="7" t="s">
        <v>344</v>
      </c>
      <c r="G31" s="8">
        <f t="shared" si="2"/>
        <v>0.2</v>
      </c>
      <c r="H31" s="73" t="s">
        <v>950</v>
      </c>
      <c r="K31" s="4"/>
    </row>
    <row r="32" spans="1:11">
      <c r="A32" s="108" t="s">
        <v>7</v>
      </c>
      <c r="B32" s="3" t="s">
        <v>66</v>
      </c>
      <c r="C32" s="5" t="s">
        <v>101</v>
      </c>
      <c r="D32" s="6"/>
      <c r="E32" s="7" t="s">
        <v>345</v>
      </c>
      <c r="K32" s="4"/>
    </row>
    <row r="33" spans="1:11">
      <c r="A33" s="108"/>
      <c r="B33" s="3" t="s">
        <v>67</v>
      </c>
      <c r="C33" s="5" t="s">
        <v>102</v>
      </c>
      <c r="D33" s="6"/>
      <c r="E33" s="7" t="s">
        <v>346</v>
      </c>
      <c r="K33" s="4"/>
    </row>
    <row r="34" spans="1:11">
      <c r="A34" s="108"/>
      <c r="B34" s="3" t="s">
        <v>68</v>
      </c>
      <c r="C34" s="5" t="s">
        <v>103</v>
      </c>
      <c r="D34" s="6"/>
      <c r="E34" s="7" t="s">
        <v>347</v>
      </c>
      <c r="K34" s="4"/>
    </row>
    <row r="35" spans="1:11">
      <c r="A35" s="108"/>
      <c r="B35" s="3" t="s">
        <v>69</v>
      </c>
      <c r="C35" s="5" t="s">
        <v>100</v>
      </c>
      <c r="D35" s="6"/>
      <c r="E35" s="7" t="s">
        <v>348</v>
      </c>
      <c r="K35" s="4"/>
    </row>
    <row r="36" spans="1:11" ht="30">
      <c r="A36" s="108"/>
      <c r="B36" s="3" t="s">
        <v>70</v>
      </c>
      <c r="C36" s="5" t="s">
        <v>97</v>
      </c>
      <c r="D36" s="25" t="s">
        <v>780</v>
      </c>
      <c r="E36" s="7" t="s">
        <v>349</v>
      </c>
      <c r="F36" s="3">
        <f>50+180</f>
        <v>230</v>
      </c>
      <c r="G36" s="8">
        <f>F36/SUM($F$36:$F$68)</f>
        <v>4.4341623288991709E-2</v>
      </c>
      <c r="K36" s="4"/>
    </row>
    <row r="37" spans="1:11">
      <c r="A37" s="108"/>
      <c r="B37" s="3" t="s">
        <v>71</v>
      </c>
      <c r="C37" s="5" t="s">
        <v>98</v>
      </c>
      <c r="D37" s="6"/>
      <c r="E37" s="7" t="s">
        <v>350</v>
      </c>
      <c r="K37" s="4"/>
    </row>
    <row r="38" spans="1:11">
      <c r="A38" s="108"/>
      <c r="B38" s="3" t="s">
        <v>72</v>
      </c>
      <c r="C38" s="5" t="s">
        <v>95</v>
      </c>
      <c r="D38" s="6"/>
      <c r="E38" s="7" t="s">
        <v>351</v>
      </c>
      <c r="K38" s="4"/>
    </row>
    <row r="39" spans="1:11">
      <c r="A39" s="108"/>
      <c r="B39" s="3" t="s">
        <v>73</v>
      </c>
      <c r="C39" s="5" t="s">
        <v>96</v>
      </c>
      <c r="D39" s="6"/>
      <c r="E39" s="7" t="s">
        <v>352</v>
      </c>
      <c r="K39" s="4"/>
    </row>
    <row r="40" spans="1:11">
      <c r="A40" s="108"/>
      <c r="B40" s="3" t="s">
        <v>74</v>
      </c>
      <c r="C40" s="5" t="s">
        <v>99</v>
      </c>
      <c r="D40" s="6"/>
      <c r="E40" s="7" t="s">
        <v>353</v>
      </c>
      <c r="K40" s="4"/>
    </row>
    <row r="41" spans="1:11">
      <c r="A41" s="108"/>
      <c r="B41" s="3" t="s">
        <v>75</v>
      </c>
      <c r="C41" s="5" t="s">
        <v>93</v>
      </c>
      <c r="D41" s="6"/>
      <c r="E41" s="7" t="s">
        <v>354</v>
      </c>
      <c r="K41" s="4"/>
    </row>
    <row r="42" spans="1:11">
      <c r="A42" s="108"/>
      <c r="B42" s="3" t="s">
        <v>76</v>
      </c>
      <c r="C42" s="5" t="s">
        <v>94</v>
      </c>
      <c r="D42" s="6" t="s">
        <v>785</v>
      </c>
      <c r="E42" s="7" t="s">
        <v>355</v>
      </c>
      <c r="F42" s="3">
        <v>45</v>
      </c>
      <c r="G42" s="8">
        <f t="shared" ref="G42:G68" si="3">F42/SUM($F$36:$F$68)</f>
        <v>8.6755349913244656E-3</v>
      </c>
      <c r="K42" s="4"/>
    </row>
    <row r="43" spans="1:11">
      <c r="A43" s="108"/>
      <c r="B43" s="3" t="s">
        <v>77</v>
      </c>
      <c r="C43" s="5" t="s">
        <v>92</v>
      </c>
      <c r="D43" s="6"/>
      <c r="E43" s="7" t="s">
        <v>356</v>
      </c>
      <c r="K43" s="4"/>
    </row>
    <row r="44" spans="1:11">
      <c r="A44" s="108"/>
      <c r="B44" s="3" t="s">
        <v>78</v>
      </c>
      <c r="C44" s="5" t="s">
        <v>91</v>
      </c>
      <c r="D44" s="6"/>
      <c r="E44" s="7" t="s">
        <v>357</v>
      </c>
      <c r="K44" s="4"/>
    </row>
    <row r="45" spans="1:11">
      <c r="A45" s="108"/>
      <c r="B45" s="3" t="s">
        <v>79</v>
      </c>
      <c r="C45" s="5" t="s">
        <v>90</v>
      </c>
      <c r="D45" s="6"/>
      <c r="E45" s="7" t="s">
        <v>358</v>
      </c>
      <c r="K45" s="4"/>
    </row>
    <row r="46" spans="1:11">
      <c r="A46" s="108"/>
      <c r="B46" s="3" t="s">
        <v>80</v>
      </c>
      <c r="C46" s="5" t="s">
        <v>89</v>
      </c>
      <c r="D46" s="6"/>
      <c r="E46" s="7" t="s">
        <v>359</v>
      </c>
      <c r="K46" s="4"/>
    </row>
    <row r="47" spans="1:11">
      <c r="A47" s="108"/>
      <c r="B47" s="3" t="s">
        <v>81</v>
      </c>
      <c r="C47" s="5" t="s">
        <v>88</v>
      </c>
      <c r="D47" s="6" t="s">
        <v>781</v>
      </c>
      <c r="E47" s="7" t="s">
        <v>360</v>
      </c>
      <c r="F47" s="3">
        <v>167</v>
      </c>
      <c r="G47" s="8">
        <f t="shared" si="3"/>
        <v>3.2195874301137462E-2</v>
      </c>
      <c r="K47" s="4"/>
    </row>
    <row r="48" spans="1:11">
      <c r="A48" s="108"/>
      <c r="B48" s="3" t="s">
        <v>82</v>
      </c>
      <c r="C48" s="5" t="s">
        <v>87</v>
      </c>
      <c r="D48" s="6"/>
      <c r="E48" s="7" t="s">
        <v>361</v>
      </c>
      <c r="K48" s="4"/>
    </row>
    <row r="49" spans="1:11">
      <c r="A49" s="108"/>
      <c r="B49" s="3" t="s">
        <v>83</v>
      </c>
      <c r="C49" s="5" t="s">
        <v>86</v>
      </c>
      <c r="D49" s="6"/>
      <c r="E49" s="7" t="s">
        <v>362</v>
      </c>
      <c r="K49" s="4"/>
    </row>
    <row r="50" spans="1:11">
      <c r="A50" s="108"/>
      <c r="B50" s="3" t="s">
        <v>84</v>
      </c>
      <c r="C50" s="5" t="s">
        <v>85</v>
      </c>
      <c r="D50" s="6"/>
      <c r="E50" s="7" t="s">
        <v>363</v>
      </c>
      <c r="K50" s="4"/>
    </row>
    <row r="51" spans="1:11">
      <c r="A51" s="108"/>
      <c r="B51" s="3" t="s">
        <v>85</v>
      </c>
      <c r="C51" s="5" t="s">
        <v>84</v>
      </c>
      <c r="D51" s="6"/>
      <c r="E51" s="7" t="s">
        <v>364</v>
      </c>
      <c r="K51" s="4"/>
    </row>
    <row r="52" spans="1:11">
      <c r="A52" s="108"/>
      <c r="B52" s="3" t="s">
        <v>86</v>
      </c>
      <c r="C52" s="5" t="s">
        <v>83</v>
      </c>
      <c r="D52" s="6"/>
      <c r="E52" s="7" t="s">
        <v>365</v>
      </c>
      <c r="K52" s="4"/>
    </row>
    <row r="53" spans="1:11">
      <c r="A53" s="108"/>
      <c r="B53" s="3" t="s">
        <v>87</v>
      </c>
      <c r="C53" s="5" t="s">
        <v>82</v>
      </c>
      <c r="D53" s="6" t="s">
        <v>784</v>
      </c>
      <c r="E53" s="7" t="s">
        <v>366</v>
      </c>
      <c r="F53" s="3">
        <v>1585</v>
      </c>
      <c r="G53" s="8">
        <f t="shared" si="3"/>
        <v>0.30557162136109506</v>
      </c>
      <c r="K53" s="4"/>
    </row>
    <row r="54" spans="1:11">
      <c r="A54" s="108"/>
      <c r="B54" s="3" t="s">
        <v>88</v>
      </c>
      <c r="C54" s="5" t="s">
        <v>81</v>
      </c>
      <c r="D54" s="6" t="s">
        <v>782</v>
      </c>
      <c r="E54" s="7" t="s">
        <v>367</v>
      </c>
      <c r="F54" s="3">
        <v>149</v>
      </c>
      <c r="G54" s="8">
        <f t="shared" si="3"/>
        <v>2.8725660304607673E-2</v>
      </c>
      <c r="K54" s="4"/>
    </row>
    <row r="55" spans="1:11" ht="45">
      <c r="A55" s="108"/>
      <c r="B55" s="3" t="s">
        <v>89</v>
      </c>
      <c r="C55" s="5" t="s">
        <v>78</v>
      </c>
      <c r="D55" s="25" t="s">
        <v>788</v>
      </c>
      <c r="E55" s="7" t="s">
        <v>368</v>
      </c>
      <c r="F55" s="3">
        <f>480+220+250</f>
        <v>950</v>
      </c>
      <c r="G55" s="8">
        <f t="shared" si="3"/>
        <v>0.18315018315018314</v>
      </c>
      <c r="K55" s="4"/>
    </row>
    <row r="56" spans="1:11" ht="45">
      <c r="A56" s="108"/>
      <c r="B56" s="3" t="s">
        <v>90</v>
      </c>
      <c r="C56" s="5" t="s">
        <v>77</v>
      </c>
      <c r="D56" s="25" t="s">
        <v>789</v>
      </c>
      <c r="E56" s="7" t="s">
        <v>369</v>
      </c>
      <c r="F56" s="3">
        <f>137+250+330</f>
        <v>717</v>
      </c>
      <c r="G56" s="8">
        <f t="shared" si="3"/>
        <v>0.1382301908617698</v>
      </c>
      <c r="K56" s="4"/>
    </row>
    <row r="57" spans="1:11" ht="30">
      <c r="A57" s="108"/>
      <c r="B57" s="3" t="s">
        <v>91</v>
      </c>
      <c r="C57" s="5" t="s">
        <v>76</v>
      </c>
      <c r="D57" s="6" t="s">
        <v>783</v>
      </c>
      <c r="E57" s="7" t="s">
        <v>370</v>
      </c>
      <c r="F57" s="3">
        <f>260+125</f>
        <v>385</v>
      </c>
      <c r="G57" s="8">
        <f t="shared" si="3"/>
        <v>7.4224021592442652E-2</v>
      </c>
      <c r="K57" s="4"/>
    </row>
    <row r="58" spans="1:11">
      <c r="A58" s="108"/>
      <c r="B58" s="3" t="s">
        <v>92</v>
      </c>
      <c r="C58" s="5" t="s">
        <v>79</v>
      </c>
      <c r="D58" s="6"/>
      <c r="E58" s="7" t="s">
        <v>371</v>
      </c>
      <c r="K58" s="4"/>
    </row>
    <row r="59" spans="1:11">
      <c r="A59" s="108"/>
      <c r="B59" s="3" t="s">
        <v>93</v>
      </c>
      <c r="C59" s="5" t="s">
        <v>80</v>
      </c>
      <c r="D59" s="6"/>
      <c r="E59" s="7" t="s">
        <v>372</v>
      </c>
      <c r="K59" s="4"/>
    </row>
    <row r="60" spans="1:11">
      <c r="A60" s="108"/>
      <c r="B60" s="3" t="s">
        <v>94</v>
      </c>
      <c r="C60" s="5" t="s">
        <v>75</v>
      </c>
      <c r="D60" s="6"/>
      <c r="E60" s="7" t="s">
        <v>373</v>
      </c>
      <c r="K60" s="4"/>
    </row>
    <row r="61" spans="1:11">
      <c r="A61" s="108"/>
      <c r="B61" s="3" t="s">
        <v>95</v>
      </c>
      <c r="C61" s="5" t="s">
        <v>73</v>
      </c>
      <c r="D61" s="6"/>
      <c r="E61" s="7" t="s">
        <v>374</v>
      </c>
      <c r="K61" s="4"/>
    </row>
    <row r="62" spans="1:11">
      <c r="A62" s="108"/>
      <c r="B62" s="3" t="s">
        <v>96</v>
      </c>
      <c r="C62" s="5" t="s">
        <v>74</v>
      </c>
      <c r="D62" s="3" t="s">
        <v>688</v>
      </c>
      <c r="E62" s="7" t="s">
        <v>375</v>
      </c>
      <c r="F62" s="3">
        <v>385</v>
      </c>
      <c r="G62" s="8">
        <f t="shared" si="3"/>
        <v>7.4224021592442652E-2</v>
      </c>
      <c r="K62" s="4"/>
    </row>
    <row r="63" spans="1:11">
      <c r="A63" s="108"/>
      <c r="B63" s="3" t="s">
        <v>97</v>
      </c>
      <c r="C63" s="5" t="s">
        <v>72</v>
      </c>
      <c r="D63" s="6"/>
      <c r="E63" s="7" t="s">
        <v>376</v>
      </c>
      <c r="K63" s="4"/>
    </row>
    <row r="64" spans="1:11">
      <c r="A64" s="108"/>
      <c r="B64" s="3" t="s">
        <v>98</v>
      </c>
      <c r="C64" s="5" t="s">
        <v>69</v>
      </c>
      <c r="D64" s="6"/>
      <c r="E64" s="7" t="s">
        <v>377</v>
      </c>
      <c r="K64" s="4"/>
    </row>
    <row r="65" spans="1:11">
      <c r="A65" s="108"/>
      <c r="B65" s="3" t="s">
        <v>99</v>
      </c>
      <c r="C65" s="5" t="s">
        <v>70</v>
      </c>
      <c r="D65" s="6"/>
      <c r="E65" s="7" t="s">
        <v>378</v>
      </c>
      <c r="K65" s="4"/>
    </row>
    <row r="66" spans="1:11">
      <c r="A66" s="108"/>
      <c r="B66" s="3" t="s">
        <v>100</v>
      </c>
      <c r="C66" s="5" t="s">
        <v>68</v>
      </c>
      <c r="E66" s="7" t="s">
        <v>379</v>
      </c>
      <c r="K66" s="4"/>
    </row>
    <row r="67" spans="1:11" ht="45">
      <c r="A67" s="108"/>
      <c r="B67" s="3" t="s">
        <v>101</v>
      </c>
      <c r="C67" s="5" t="s">
        <v>71</v>
      </c>
      <c r="D67" s="6" t="s">
        <v>786</v>
      </c>
      <c r="E67" s="7" t="s">
        <v>380</v>
      </c>
      <c r="F67" s="3">
        <f>15+99+250</f>
        <v>364</v>
      </c>
      <c r="G67" s="8">
        <f t="shared" si="3"/>
        <v>7.0175438596491224E-2</v>
      </c>
      <c r="K67" s="4"/>
    </row>
    <row r="68" spans="1:11">
      <c r="A68" s="108"/>
      <c r="B68" s="3" t="s">
        <v>102</v>
      </c>
      <c r="C68" s="5" t="s">
        <v>67</v>
      </c>
      <c r="D68" s="3" t="s">
        <v>787</v>
      </c>
      <c r="E68" s="7" t="s">
        <v>381</v>
      </c>
      <c r="F68" s="3">
        <v>210</v>
      </c>
      <c r="G68" s="8">
        <f t="shared" si="3"/>
        <v>4.048582995951417E-2</v>
      </c>
      <c r="K68" s="4"/>
    </row>
    <row r="69" spans="1:11">
      <c r="A69" s="108"/>
      <c r="B69" s="3" t="s">
        <v>103</v>
      </c>
      <c r="C69" s="5" t="s">
        <v>66</v>
      </c>
      <c r="D69" s="6"/>
      <c r="E69" s="7" t="s">
        <v>382</v>
      </c>
      <c r="K69" s="4"/>
    </row>
    <row r="70" spans="1:11">
      <c r="A70" s="24" t="s">
        <v>622</v>
      </c>
      <c r="B70" s="3" t="s">
        <v>383</v>
      </c>
      <c r="C70" s="5" t="s">
        <v>383</v>
      </c>
      <c r="D70" s="6"/>
      <c r="E70" s="7" t="s">
        <v>384</v>
      </c>
      <c r="K70" s="4"/>
    </row>
    <row r="71" spans="1:11">
      <c r="A71" s="108" t="s">
        <v>8</v>
      </c>
      <c r="B71" s="3" t="s">
        <v>104</v>
      </c>
      <c r="C71" s="5" t="s">
        <v>106</v>
      </c>
      <c r="D71" s="6"/>
      <c r="E71" s="7" t="s">
        <v>385</v>
      </c>
      <c r="K71" s="4"/>
    </row>
    <row r="72" spans="1:11">
      <c r="A72" s="108"/>
      <c r="B72" s="3" t="s">
        <v>105</v>
      </c>
      <c r="C72" s="5" t="s">
        <v>105</v>
      </c>
      <c r="D72" s="6" t="s">
        <v>775</v>
      </c>
      <c r="E72" s="7" t="s">
        <v>386</v>
      </c>
      <c r="F72" s="3">
        <v>9</v>
      </c>
      <c r="G72" s="8">
        <v>1</v>
      </c>
      <c r="K72" s="4"/>
    </row>
    <row r="73" spans="1:11">
      <c r="A73" s="108"/>
      <c r="B73" s="3" t="s">
        <v>106</v>
      </c>
      <c r="C73" s="5" t="s">
        <v>104</v>
      </c>
      <c r="D73" s="6"/>
      <c r="E73" s="7" t="s">
        <v>387</v>
      </c>
      <c r="K73" s="4"/>
    </row>
    <row r="74" spans="1:11">
      <c r="A74" s="108" t="s">
        <v>9</v>
      </c>
      <c r="B74" s="3" t="s">
        <v>107</v>
      </c>
      <c r="C74" s="5" t="s">
        <v>114</v>
      </c>
      <c r="D74" s="6" t="s">
        <v>779</v>
      </c>
      <c r="E74" s="7" t="s">
        <v>388</v>
      </c>
      <c r="F74" s="3">
        <v>20</v>
      </c>
      <c r="G74" s="8">
        <f>F74/SUM($F$74:$F$85)</f>
        <v>0.3125</v>
      </c>
      <c r="K74" s="4"/>
    </row>
    <row r="75" spans="1:11">
      <c r="A75" s="108"/>
      <c r="B75" s="3" t="s">
        <v>108</v>
      </c>
      <c r="C75" s="5" t="s">
        <v>389</v>
      </c>
      <c r="D75" s="6"/>
      <c r="E75" s="7" t="s">
        <v>390</v>
      </c>
      <c r="K75" s="4"/>
    </row>
    <row r="76" spans="1:11">
      <c r="A76" s="108"/>
      <c r="B76" s="3" t="s">
        <v>109</v>
      </c>
      <c r="C76" s="5" t="s">
        <v>391</v>
      </c>
      <c r="D76" s="6"/>
      <c r="E76" s="7" t="s">
        <v>392</v>
      </c>
    </row>
    <row r="77" spans="1:11">
      <c r="A77" s="108"/>
      <c r="B77" s="3" t="s">
        <v>110</v>
      </c>
      <c r="C77" s="5" t="s">
        <v>393</v>
      </c>
      <c r="D77" s="6"/>
      <c r="E77" s="7" t="s">
        <v>394</v>
      </c>
    </row>
    <row r="78" spans="1:11">
      <c r="A78" s="108"/>
      <c r="B78" s="3" t="s">
        <v>111</v>
      </c>
      <c r="C78" s="5" t="s">
        <v>115</v>
      </c>
      <c r="D78" s="6"/>
      <c r="E78" s="7" t="s">
        <v>395</v>
      </c>
    </row>
    <row r="79" spans="1:11">
      <c r="A79" s="108"/>
      <c r="B79" s="3" t="s">
        <v>112</v>
      </c>
      <c r="C79" s="5" t="s">
        <v>110</v>
      </c>
      <c r="D79" s="6" t="s">
        <v>777</v>
      </c>
      <c r="E79" s="7" t="s">
        <v>396</v>
      </c>
      <c r="F79" s="3">
        <v>40</v>
      </c>
      <c r="G79" s="8">
        <f t="shared" ref="G79:G85" si="4">F79/SUM($F$74:$F$85)</f>
        <v>0.625</v>
      </c>
    </row>
    <row r="80" spans="1:11">
      <c r="A80" s="108"/>
      <c r="B80" s="3" t="s">
        <v>113</v>
      </c>
      <c r="C80" s="5" t="s">
        <v>112</v>
      </c>
      <c r="D80" s="6"/>
      <c r="E80" s="7" t="s">
        <v>397</v>
      </c>
    </row>
    <row r="81" spans="1:7">
      <c r="A81" s="108"/>
      <c r="B81" s="3" t="s">
        <v>114</v>
      </c>
      <c r="C81" s="5" t="s">
        <v>111</v>
      </c>
      <c r="D81" s="6"/>
      <c r="E81" s="7" t="s">
        <v>398</v>
      </c>
    </row>
    <row r="82" spans="1:7">
      <c r="A82" s="108"/>
      <c r="B82" s="3" t="s">
        <v>115</v>
      </c>
      <c r="C82" s="5" t="s">
        <v>107</v>
      </c>
      <c r="D82" s="6"/>
      <c r="E82" s="7" t="s">
        <v>399</v>
      </c>
    </row>
    <row r="83" spans="1:7">
      <c r="A83" s="108"/>
      <c r="C83" s="5" t="s">
        <v>400</v>
      </c>
      <c r="D83" s="6"/>
      <c r="E83" s="7" t="s">
        <v>401</v>
      </c>
    </row>
    <row r="84" spans="1:7">
      <c r="A84" s="108"/>
      <c r="C84" s="5" t="s">
        <v>113</v>
      </c>
      <c r="D84" s="6"/>
      <c r="E84" s="7" t="s">
        <v>402</v>
      </c>
    </row>
    <row r="85" spans="1:7">
      <c r="A85" s="108"/>
      <c r="C85" s="5" t="s">
        <v>108</v>
      </c>
      <c r="D85" s="6" t="s">
        <v>778</v>
      </c>
      <c r="E85" s="7" t="s">
        <v>403</v>
      </c>
      <c r="F85" s="3">
        <v>4</v>
      </c>
      <c r="G85" s="8">
        <f t="shared" si="4"/>
        <v>6.25E-2</v>
      </c>
    </row>
    <row r="86" spans="1:7">
      <c r="A86" s="108"/>
      <c r="C86" s="5" t="s">
        <v>109</v>
      </c>
      <c r="D86" s="6"/>
      <c r="E86" s="7" t="s">
        <v>404</v>
      </c>
    </row>
    <row r="87" spans="1:7">
      <c r="A87" s="108" t="s">
        <v>10</v>
      </c>
      <c r="B87" s="3" t="s">
        <v>116</v>
      </c>
      <c r="C87" s="5" t="s">
        <v>120</v>
      </c>
      <c r="D87" s="6" t="s">
        <v>751</v>
      </c>
      <c r="E87" s="7" t="s">
        <v>405</v>
      </c>
      <c r="F87" s="3">
        <v>34</v>
      </c>
      <c r="G87" s="8">
        <f>F87/SUM($F$87:$F$101)</f>
        <v>4.5698924731182797E-2</v>
      </c>
    </row>
    <row r="88" spans="1:7">
      <c r="A88" s="108"/>
      <c r="B88" s="3" t="s">
        <v>117</v>
      </c>
      <c r="C88" s="5" t="s">
        <v>117</v>
      </c>
      <c r="D88" s="6"/>
      <c r="E88" s="7" t="s">
        <v>406</v>
      </c>
    </row>
    <row r="89" spans="1:7">
      <c r="A89" s="108"/>
      <c r="B89" s="3" t="s">
        <v>118</v>
      </c>
      <c r="C89" s="5" t="s">
        <v>128</v>
      </c>
      <c r="D89" s="6" t="s">
        <v>753</v>
      </c>
      <c r="E89" s="7" t="s">
        <v>407</v>
      </c>
      <c r="F89" s="3">
        <v>63</v>
      </c>
      <c r="G89" s="8">
        <f t="shared" ref="G89:G101" si="5">F89/SUM($F$87:$F$101)</f>
        <v>8.4677419354838704E-2</v>
      </c>
    </row>
    <row r="90" spans="1:7">
      <c r="A90" s="108"/>
      <c r="B90" s="3" t="s">
        <v>119</v>
      </c>
      <c r="C90" s="5" t="s">
        <v>118</v>
      </c>
      <c r="D90" s="6" t="s">
        <v>752</v>
      </c>
      <c r="E90" s="7" t="s">
        <v>408</v>
      </c>
      <c r="F90" s="3">
        <v>15</v>
      </c>
      <c r="G90" s="8">
        <f t="shared" si="5"/>
        <v>2.0161290322580645E-2</v>
      </c>
    </row>
    <row r="91" spans="1:7">
      <c r="A91" s="108"/>
      <c r="B91" s="3" t="s">
        <v>120</v>
      </c>
      <c r="C91" s="5" t="s">
        <v>123</v>
      </c>
      <c r="D91" s="6"/>
      <c r="E91" s="7" t="s">
        <v>409</v>
      </c>
    </row>
    <row r="92" spans="1:7">
      <c r="A92" s="108"/>
      <c r="B92" s="3" t="s">
        <v>121</v>
      </c>
      <c r="C92" s="5" t="s">
        <v>119</v>
      </c>
      <c r="D92" s="6"/>
      <c r="E92" s="7" t="s">
        <v>410</v>
      </c>
    </row>
    <row r="93" spans="1:7">
      <c r="A93" s="108"/>
      <c r="B93" s="3" t="s">
        <v>122</v>
      </c>
      <c r="C93" s="5" t="s">
        <v>129</v>
      </c>
      <c r="D93" s="6" t="s">
        <v>750</v>
      </c>
      <c r="E93" s="7" t="s">
        <v>411</v>
      </c>
      <c r="F93" s="3">
        <v>30</v>
      </c>
      <c r="G93" s="8">
        <f t="shared" si="5"/>
        <v>4.0322580645161289E-2</v>
      </c>
    </row>
    <row r="94" spans="1:7">
      <c r="A94" s="108"/>
      <c r="B94" s="3" t="s">
        <v>123</v>
      </c>
      <c r="C94" s="5" t="s">
        <v>124</v>
      </c>
      <c r="D94" s="6"/>
      <c r="E94" s="7" t="s">
        <v>412</v>
      </c>
    </row>
    <row r="95" spans="1:7">
      <c r="A95" s="108"/>
      <c r="B95" s="3" t="s">
        <v>124</v>
      </c>
      <c r="C95" s="5" t="s">
        <v>126</v>
      </c>
      <c r="D95" s="6"/>
      <c r="E95" s="7" t="s">
        <v>413</v>
      </c>
    </row>
    <row r="96" spans="1:7">
      <c r="A96" s="108"/>
      <c r="B96" s="3" t="s">
        <v>125</v>
      </c>
      <c r="C96" s="5" t="s">
        <v>127</v>
      </c>
      <c r="D96" s="6"/>
      <c r="E96" s="7" t="s">
        <v>414</v>
      </c>
    </row>
    <row r="97" spans="1:7">
      <c r="A97" s="108"/>
      <c r="B97" s="3" t="s">
        <v>126</v>
      </c>
      <c r="C97" s="5" t="s">
        <v>121</v>
      </c>
      <c r="D97" s="6"/>
      <c r="E97" s="7" t="s">
        <v>415</v>
      </c>
    </row>
    <row r="98" spans="1:7" ht="60">
      <c r="A98" s="108"/>
      <c r="B98" s="3" t="s">
        <v>127</v>
      </c>
      <c r="C98" s="5" t="s">
        <v>125</v>
      </c>
      <c r="D98" s="6" t="s">
        <v>754</v>
      </c>
      <c r="E98" s="7" t="s">
        <v>416</v>
      </c>
      <c r="F98" s="3">
        <f>218+190+31+115</f>
        <v>554</v>
      </c>
      <c r="G98" s="8">
        <f t="shared" si="5"/>
        <v>0.7446236559139785</v>
      </c>
    </row>
    <row r="99" spans="1:7">
      <c r="A99" s="108"/>
      <c r="B99" s="3" t="s">
        <v>128</v>
      </c>
      <c r="C99" s="5" t="s">
        <v>122</v>
      </c>
      <c r="D99" s="6"/>
      <c r="E99" s="7" t="s">
        <v>417</v>
      </c>
    </row>
    <row r="100" spans="1:7">
      <c r="A100" s="108"/>
      <c r="B100" s="3" t="s">
        <v>129</v>
      </c>
      <c r="C100" s="5" t="s">
        <v>418</v>
      </c>
      <c r="D100" s="6"/>
      <c r="E100" s="7" t="s">
        <v>419</v>
      </c>
    </row>
    <row r="101" spans="1:7">
      <c r="A101" s="108"/>
      <c r="B101" s="3" t="s">
        <v>130</v>
      </c>
      <c r="C101" s="5" t="s">
        <v>130</v>
      </c>
      <c r="D101" s="6" t="s">
        <v>702</v>
      </c>
      <c r="E101" s="7" t="s">
        <v>420</v>
      </c>
      <c r="F101" s="3">
        <v>48</v>
      </c>
      <c r="G101" s="8">
        <f t="shared" si="5"/>
        <v>6.4516129032258063E-2</v>
      </c>
    </row>
    <row r="102" spans="1:7">
      <c r="A102" s="108"/>
      <c r="C102" s="5" t="s">
        <v>116</v>
      </c>
      <c r="D102" s="6"/>
      <c r="E102" s="7" t="s">
        <v>421</v>
      </c>
    </row>
    <row r="103" spans="1:7">
      <c r="A103" s="108"/>
      <c r="C103" s="5" t="s">
        <v>422</v>
      </c>
      <c r="D103" s="6"/>
      <c r="E103" s="7" t="s">
        <v>423</v>
      </c>
    </row>
    <row r="104" spans="1:7">
      <c r="A104" s="108"/>
      <c r="C104" s="5" t="s">
        <v>424</v>
      </c>
      <c r="D104" s="6"/>
      <c r="E104" s="7" t="s">
        <v>425</v>
      </c>
    </row>
    <row r="105" spans="1:7">
      <c r="A105" s="108"/>
      <c r="C105" s="5" t="s">
        <v>426</v>
      </c>
      <c r="D105" s="6"/>
      <c r="E105" s="7" t="s">
        <v>427</v>
      </c>
    </row>
    <row r="106" spans="1:7">
      <c r="A106" s="108" t="s">
        <v>11</v>
      </c>
      <c r="B106" s="3" t="s">
        <v>131</v>
      </c>
      <c r="C106" s="5" t="s">
        <v>132</v>
      </c>
      <c r="D106" s="6"/>
      <c r="E106" s="7" t="s">
        <v>428</v>
      </c>
    </row>
    <row r="107" spans="1:7">
      <c r="A107" s="108"/>
      <c r="B107" s="3" t="s">
        <v>132</v>
      </c>
      <c r="C107" s="5" t="s">
        <v>143</v>
      </c>
      <c r="D107" s="6"/>
      <c r="E107" s="7" t="s">
        <v>429</v>
      </c>
    </row>
    <row r="108" spans="1:7">
      <c r="A108" s="108"/>
      <c r="B108" s="3" t="s">
        <v>133</v>
      </c>
      <c r="C108" s="5" t="s">
        <v>141</v>
      </c>
      <c r="D108" s="6"/>
      <c r="E108" s="7" t="s">
        <v>430</v>
      </c>
    </row>
    <row r="109" spans="1:7">
      <c r="A109" s="108"/>
      <c r="B109" s="3" t="s">
        <v>134</v>
      </c>
      <c r="C109" s="5" t="s">
        <v>138</v>
      </c>
      <c r="D109" s="6" t="s">
        <v>795</v>
      </c>
      <c r="E109" s="7" t="s">
        <v>431</v>
      </c>
      <c r="F109" s="3">
        <v>360</v>
      </c>
      <c r="G109" s="8">
        <f>F109/SUM($F$109:$F$126)</f>
        <v>0.2536997885835095</v>
      </c>
    </row>
    <row r="110" spans="1:7">
      <c r="A110" s="108"/>
      <c r="B110" s="3" t="s">
        <v>135</v>
      </c>
      <c r="C110" s="10" t="s">
        <v>145</v>
      </c>
      <c r="D110" s="7"/>
      <c r="E110" s="11" t="s">
        <v>432</v>
      </c>
    </row>
    <row r="111" spans="1:7">
      <c r="A111" s="108"/>
      <c r="B111" s="3" t="s">
        <v>136</v>
      </c>
      <c r="C111" s="10" t="s">
        <v>137</v>
      </c>
      <c r="D111" s="25"/>
      <c r="E111" s="11" t="s">
        <v>433</v>
      </c>
    </row>
    <row r="112" spans="1:7">
      <c r="A112" s="108"/>
      <c r="B112" s="3" t="s">
        <v>137</v>
      </c>
      <c r="C112" s="5" t="s">
        <v>134</v>
      </c>
      <c r="D112" s="3" t="s">
        <v>796</v>
      </c>
      <c r="E112" s="7" t="s">
        <v>434</v>
      </c>
      <c r="F112" s="3">
        <v>18</v>
      </c>
      <c r="G112" s="8">
        <f t="shared" ref="G112:G126" si="6">F112/SUM($F$109:$F$126)</f>
        <v>1.2684989429175475E-2</v>
      </c>
    </row>
    <row r="113" spans="1:7">
      <c r="A113" s="108"/>
      <c r="B113" s="3" t="s">
        <v>138</v>
      </c>
      <c r="C113" s="5" t="s">
        <v>151</v>
      </c>
      <c r="D113" s="6" t="s">
        <v>794</v>
      </c>
      <c r="E113" s="7" t="s">
        <v>435</v>
      </c>
      <c r="F113" s="3">
        <v>23</v>
      </c>
      <c r="G113" s="8">
        <f t="shared" si="6"/>
        <v>1.620859760394644E-2</v>
      </c>
    </row>
    <row r="114" spans="1:7">
      <c r="A114" s="108"/>
      <c r="B114" s="3" t="s">
        <v>139</v>
      </c>
      <c r="C114" s="5" t="s">
        <v>133</v>
      </c>
      <c r="D114" s="6" t="s">
        <v>790</v>
      </c>
      <c r="E114" s="7" t="s">
        <v>436</v>
      </c>
      <c r="F114" s="3">
        <v>72</v>
      </c>
      <c r="G114" s="8">
        <f t="shared" si="6"/>
        <v>5.0739957716701901E-2</v>
      </c>
    </row>
    <row r="115" spans="1:7">
      <c r="A115" s="108"/>
      <c r="B115" s="3" t="s">
        <v>140</v>
      </c>
      <c r="C115" s="5" t="s">
        <v>148</v>
      </c>
      <c r="D115" s="6"/>
      <c r="E115" s="7" t="s">
        <v>437</v>
      </c>
    </row>
    <row r="116" spans="1:7">
      <c r="A116" s="108"/>
      <c r="B116" s="3" t="s">
        <v>141</v>
      </c>
      <c r="C116" s="5" t="s">
        <v>135</v>
      </c>
      <c r="D116" s="6"/>
      <c r="E116" s="7" t="s">
        <v>438</v>
      </c>
    </row>
    <row r="117" spans="1:7">
      <c r="A117" s="108"/>
      <c r="B117" s="3" t="s">
        <v>142</v>
      </c>
      <c r="C117" s="5" t="s">
        <v>136</v>
      </c>
      <c r="D117" s="6"/>
      <c r="E117" s="7" t="s">
        <v>439</v>
      </c>
    </row>
    <row r="118" spans="1:7">
      <c r="A118" s="108"/>
      <c r="B118" s="3" t="s">
        <v>143</v>
      </c>
      <c r="C118" s="5" t="s">
        <v>140</v>
      </c>
      <c r="D118" s="6"/>
      <c r="E118" s="7" t="s">
        <v>440</v>
      </c>
    </row>
    <row r="119" spans="1:7">
      <c r="A119" s="108"/>
      <c r="B119" s="3" t="s">
        <v>144</v>
      </c>
      <c r="C119" s="5" t="s">
        <v>139</v>
      </c>
      <c r="D119" s="6"/>
      <c r="E119" s="7" t="s">
        <v>441</v>
      </c>
    </row>
    <row r="120" spans="1:7">
      <c r="A120" s="108"/>
      <c r="B120" s="3" t="s">
        <v>145</v>
      </c>
      <c r="C120" s="5" t="s">
        <v>142</v>
      </c>
      <c r="D120" s="6"/>
      <c r="E120" s="7" t="s">
        <v>442</v>
      </c>
    </row>
    <row r="121" spans="1:7">
      <c r="A121" s="108"/>
      <c r="B121" s="3" t="s">
        <v>146</v>
      </c>
      <c r="C121" s="5" t="s">
        <v>144</v>
      </c>
      <c r="D121" s="6"/>
      <c r="E121" s="7" t="s">
        <v>443</v>
      </c>
    </row>
    <row r="122" spans="1:7">
      <c r="A122" s="108"/>
      <c r="B122" s="3" t="s">
        <v>147</v>
      </c>
      <c r="C122" s="5" t="s">
        <v>146</v>
      </c>
      <c r="D122" s="6"/>
      <c r="E122" s="7" t="s">
        <v>444</v>
      </c>
    </row>
    <row r="123" spans="1:7">
      <c r="A123" s="108"/>
      <c r="B123" s="3" t="s">
        <v>148</v>
      </c>
      <c r="C123" s="5" t="s">
        <v>147</v>
      </c>
      <c r="D123" s="6" t="s">
        <v>791</v>
      </c>
      <c r="E123" s="7" t="s">
        <v>445</v>
      </c>
      <c r="F123" s="3">
        <v>300</v>
      </c>
      <c r="G123" s="8">
        <f t="shared" si="6"/>
        <v>0.21141649048625794</v>
      </c>
    </row>
    <row r="124" spans="1:7">
      <c r="A124" s="108"/>
      <c r="B124" s="3" t="s">
        <v>149</v>
      </c>
      <c r="C124" s="5" t="s">
        <v>150</v>
      </c>
      <c r="D124" s="6"/>
      <c r="E124" s="7" t="s">
        <v>446</v>
      </c>
    </row>
    <row r="125" spans="1:7" ht="45">
      <c r="A125" s="108"/>
      <c r="B125" s="3" t="s">
        <v>150</v>
      </c>
      <c r="C125" s="5" t="s">
        <v>152</v>
      </c>
      <c r="D125" s="6" t="s">
        <v>793</v>
      </c>
      <c r="E125" s="7" t="s">
        <v>447</v>
      </c>
      <c r="F125" s="3">
        <f>170+73+42</f>
        <v>285</v>
      </c>
      <c r="G125" s="8">
        <f t="shared" si="6"/>
        <v>0.20084566596194503</v>
      </c>
    </row>
    <row r="126" spans="1:7" ht="30">
      <c r="A126" s="108"/>
      <c r="B126" s="3" t="s">
        <v>151</v>
      </c>
      <c r="C126" s="5" t="s">
        <v>149</v>
      </c>
      <c r="D126" s="6" t="s">
        <v>792</v>
      </c>
      <c r="E126" s="7" t="s">
        <v>448</v>
      </c>
      <c r="F126" s="3">
        <f>341+20</f>
        <v>361</v>
      </c>
      <c r="G126" s="8">
        <f t="shared" si="6"/>
        <v>0.25440451021846372</v>
      </c>
    </row>
    <row r="127" spans="1:7">
      <c r="A127" s="108"/>
      <c r="B127" s="3" t="s">
        <v>152</v>
      </c>
      <c r="C127" s="5" t="s">
        <v>131</v>
      </c>
      <c r="D127" s="6"/>
      <c r="E127" s="7" t="s">
        <v>449</v>
      </c>
    </row>
    <row r="128" spans="1:7">
      <c r="A128" s="108"/>
      <c r="C128" s="5" t="s">
        <v>450</v>
      </c>
      <c r="D128" s="6"/>
      <c r="E128" s="7" t="s">
        <v>451</v>
      </c>
    </row>
    <row r="129" spans="1:8">
      <c r="A129" s="108"/>
      <c r="C129" s="5" t="s">
        <v>452</v>
      </c>
      <c r="D129" s="6"/>
      <c r="E129" s="7" t="s">
        <v>453</v>
      </c>
    </row>
    <row r="130" spans="1:8">
      <c r="A130" s="108"/>
      <c r="C130" s="5" t="s">
        <v>454</v>
      </c>
      <c r="D130" s="6"/>
      <c r="E130" s="7" t="s">
        <v>455</v>
      </c>
    </row>
    <row r="131" spans="1:8">
      <c r="A131" s="108"/>
      <c r="C131" s="5" t="s">
        <v>456</v>
      </c>
      <c r="D131" s="6"/>
      <c r="E131" s="7" t="s">
        <v>457</v>
      </c>
    </row>
    <row r="132" spans="1:8">
      <c r="A132" s="108"/>
      <c r="C132" s="5" t="s">
        <v>458</v>
      </c>
      <c r="D132" s="6"/>
      <c r="E132" s="7" t="s">
        <v>459</v>
      </c>
    </row>
    <row r="133" spans="1:8">
      <c r="A133" s="108" t="s">
        <v>12</v>
      </c>
      <c r="B133" s="3" t="s">
        <v>153</v>
      </c>
      <c r="C133" s="11" t="s">
        <v>460</v>
      </c>
      <c r="D133" s="7"/>
      <c r="E133" s="11" t="s">
        <v>461</v>
      </c>
      <c r="G133" s="8">
        <f>1/3*$G$135</f>
        <v>0.16666666666666666</v>
      </c>
      <c r="H133" s="73" t="s">
        <v>950</v>
      </c>
    </row>
    <row r="134" spans="1:8">
      <c r="A134" s="108"/>
      <c r="B134" s="3" t="s">
        <v>154</v>
      </c>
      <c r="C134" s="5" t="s">
        <v>154</v>
      </c>
      <c r="D134" s="6"/>
      <c r="E134" s="7" t="s">
        <v>462</v>
      </c>
      <c r="G134" s="8">
        <f>0.5</f>
        <v>0.5</v>
      </c>
      <c r="H134" s="73" t="s">
        <v>950</v>
      </c>
    </row>
    <row r="135" spans="1:8">
      <c r="A135" s="108"/>
      <c r="C135" s="5" t="s">
        <v>153</v>
      </c>
      <c r="D135" s="6"/>
      <c r="E135" s="7"/>
      <c r="G135" s="100">
        <v>0.5</v>
      </c>
      <c r="H135" s="73" t="s">
        <v>950</v>
      </c>
    </row>
    <row r="136" spans="1:8">
      <c r="A136" s="108"/>
      <c r="C136" s="5" t="s">
        <v>463</v>
      </c>
      <c r="D136" s="6"/>
      <c r="E136" s="7" t="s">
        <v>464</v>
      </c>
      <c r="G136" s="8">
        <f>1/3*$G$135</f>
        <v>0.16666666666666666</v>
      </c>
      <c r="H136" s="73" t="s">
        <v>950</v>
      </c>
    </row>
    <row r="137" spans="1:8">
      <c r="A137" s="108"/>
      <c r="C137" s="5" t="s">
        <v>465</v>
      </c>
      <c r="D137" s="6"/>
      <c r="E137" s="7" t="s">
        <v>466</v>
      </c>
      <c r="G137" s="8">
        <f>1/3*$G$135</f>
        <v>0.16666666666666666</v>
      </c>
      <c r="H137" s="73" t="s">
        <v>950</v>
      </c>
    </row>
    <row r="138" spans="1:8">
      <c r="A138" s="108" t="s">
        <v>13</v>
      </c>
      <c r="B138" s="3" t="s">
        <v>155</v>
      </c>
      <c r="C138" s="5" t="s">
        <v>163</v>
      </c>
      <c r="D138" s="6" t="s">
        <v>773</v>
      </c>
      <c r="E138" s="7" t="s">
        <v>467</v>
      </c>
      <c r="F138" s="3">
        <v>42</v>
      </c>
      <c r="G138" s="8">
        <f>F138/SUM($F$138:$F$155)</f>
        <v>9.8591549295774641E-2</v>
      </c>
    </row>
    <row r="139" spans="1:8">
      <c r="A139" s="108"/>
      <c r="B139" s="3" t="s">
        <v>156</v>
      </c>
      <c r="C139" s="5" t="s">
        <v>156</v>
      </c>
      <c r="D139" s="6"/>
      <c r="E139" s="7" t="s">
        <v>468</v>
      </c>
    </row>
    <row r="140" spans="1:8">
      <c r="A140" s="108"/>
      <c r="B140" s="3" t="s">
        <v>157</v>
      </c>
      <c r="C140" s="5" t="s">
        <v>167</v>
      </c>
      <c r="D140" s="6"/>
      <c r="E140" s="7" t="s">
        <v>469</v>
      </c>
    </row>
    <row r="141" spans="1:8">
      <c r="A141" s="108"/>
      <c r="B141" s="3" t="s">
        <v>158</v>
      </c>
      <c r="C141" s="5" t="s">
        <v>166</v>
      </c>
      <c r="D141" s="6"/>
      <c r="E141" s="7" t="s">
        <v>470</v>
      </c>
    </row>
    <row r="142" spans="1:8">
      <c r="A142" s="108"/>
      <c r="B142" s="3" t="s">
        <v>159</v>
      </c>
      <c r="C142" s="5" t="s">
        <v>175</v>
      </c>
      <c r="D142" s="6" t="s">
        <v>770</v>
      </c>
      <c r="E142" s="7" t="s">
        <v>471</v>
      </c>
      <c r="F142" s="3">
        <v>25</v>
      </c>
      <c r="G142" s="8">
        <f t="shared" ref="G142:G155" si="7">F142/SUM($F$138:$F$155)</f>
        <v>5.8685446009389672E-2</v>
      </c>
    </row>
    <row r="143" spans="1:8">
      <c r="A143" s="108"/>
      <c r="B143" s="3" t="s">
        <v>160</v>
      </c>
      <c r="C143" s="5" t="s">
        <v>164</v>
      </c>
      <c r="D143" s="6" t="s">
        <v>774</v>
      </c>
      <c r="E143" s="7" t="s">
        <v>472</v>
      </c>
      <c r="F143" s="3">
        <v>20</v>
      </c>
      <c r="G143" s="8">
        <f t="shared" si="7"/>
        <v>4.6948356807511735E-2</v>
      </c>
    </row>
    <row r="144" spans="1:8">
      <c r="A144" s="108"/>
      <c r="B144" s="3" t="s">
        <v>161</v>
      </c>
      <c r="C144" s="5" t="s">
        <v>171</v>
      </c>
      <c r="D144" s="6"/>
      <c r="E144" s="7" t="s">
        <v>473</v>
      </c>
    </row>
    <row r="145" spans="1:8">
      <c r="A145" s="108"/>
      <c r="B145" s="3" t="s">
        <v>162</v>
      </c>
      <c r="C145" s="5" t="s">
        <v>174</v>
      </c>
      <c r="E145" s="7" t="s">
        <v>474</v>
      </c>
    </row>
    <row r="146" spans="1:8">
      <c r="A146" s="108"/>
      <c r="B146" s="3" t="s">
        <v>163</v>
      </c>
      <c r="C146" s="5" t="s">
        <v>173</v>
      </c>
      <c r="D146" s="6"/>
      <c r="E146" s="7" t="s">
        <v>475</v>
      </c>
    </row>
    <row r="147" spans="1:8">
      <c r="A147" s="108"/>
      <c r="B147" s="3" t="s">
        <v>164</v>
      </c>
      <c r="C147" s="5" t="s">
        <v>172</v>
      </c>
      <c r="D147" s="6"/>
      <c r="E147" s="7" t="s">
        <v>476</v>
      </c>
    </row>
    <row r="148" spans="1:8">
      <c r="A148" s="108"/>
      <c r="B148" s="3" t="s">
        <v>165</v>
      </c>
      <c r="C148" s="5" t="s">
        <v>161</v>
      </c>
      <c r="E148" s="7" t="s">
        <v>477</v>
      </c>
    </row>
    <row r="149" spans="1:8">
      <c r="A149" s="108"/>
      <c r="B149" s="3" t="s">
        <v>166</v>
      </c>
      <c r="C149" s="5" t="s">
        <v>162</v>
      </c>
      <c r="D149" s="6" t="s">
        <v>771</v>
      </c>
      <c r="E149" s="7" t="s">
        <v>478</v>
      </c>
      <c r="F149" s="3">
        <v>150</v>
      </c>
      <c r="G149" s="8">
        <f t="shared" si="7"/>
        <v>0.352112676056338</v>
      </c>
    </row>
    <row r="150" spans="1:8" ht="30">
      <c r="A150" s="108"/>
      <c r="B150" s="3" t="s">
        <v>167</v>
      </c>
      <c r="C150" s="5" t="s">
        <v>158</v>
      </c>
      <c r="D150" s="6"/>
      <c r="E150" s="7" t="s">
        <v>479</v>
      </c>
    </row>
    <row r="151" spans="1:8">
      <c r="A151" s="108"/>
      <c r="B151" s="3" t="s">
        <v>168</v>
      </c>
      <c r="C151" s="5" t="s">
        <v>159</v>
      </c>
      <c r="D151" s="6"/>
      <c r="E151" s="7" t="s">
        <v>480</v>
      </c>
    </row>
    <row r="152" spans="1:8">
      <c r="A152" s="108"/>
      <c r="B152" s="3" t="s">
        <v>169</v>
      </c>
      <c r="C152" s="5" t="s">
        <v>155</v>
      </c>
      <c r="E152" s="7" t="s">
        <v>481</v>
      </c>
    </row>
    <row r="153" spans="1:8">
      <c r="A153" s="108"/>
      <c r="B153" s="3" t="s">
        <v>170</v>
      </c>
      <c r="C153" s="5" t="s">
        <v>169</v>
      </c>
      <c r="D153" s="6"/>
      <c r="E153" s="7" t="s">
        <v>482</v>
      </c>
    </row>
    <row r="154" spans="1:8">
      <c r="A154" s="108"/>
      <c r="B154" s="3" t="s">
        <v>171</v>
      </c>
      <c r="C154" s="5" t="s">
        <v>170</v>
      </c>
      <c r="D154" s="6"/>
      <c r="E154" s="7" t="s">
        <v>483</v>
      </c>
    </row>
    <row r="155" spans="1:8" ht="30">
      <c r="A155" s="108"/>
      <c r="B155" s="3" t="s">
        <v>172</v>
      </c>
      <c r="C155" s="5" t="s">
        <v>160</v>
      </c>
      <c r="D155" s="6" t="s">
        <v>772</v>
      </c>
      <c r="E155" s="7" t="s">
        <v>484</v>
      </c>
      <c r="F155" s="3">
        <f>39+150</f>
        <v>189</v>
      </c>
      <c r="G155" s="8">
        <f t="shared" si="7"/>
        <v>0.44366197183098594</v>
      </c>
    </row>
    <row r="156" spans="1:8">
      <c r="A156" s="108"/>
      <c r="B156" s="3" t="s">
        <v>173</v>
      </c>
      <c r="C156" s="5" t="s">
        <v>157</v>
      </c>
      <c r="D156" s="6"/>
      <c r="E156" s="7" t="s">
        <v>485</v>
      </c>
    </row>
    <row r="157" spans="1:8">
      <c r="A157" s="108"/>
      <c r="B157" s="3" t="s">
        <v>174</v>
      </c>
      <c r="C157" s="5" t="s">
        <v>165</v>
      </c>
      <c r="D157" s="6"/>
      <c r="E157" s="7" t="s">
        <v>486</v>
      </c>
    </row>
    <row r="158" spans="1:8">
      <c r="A158" s="108"/>
      <c r="B158" s="3" t="s">
        <v>175</v>
      </c>
      <c r="C158" s="5" t="s">
        <v>168</v>
      </c>
      <c r="D158" s="6"/>
      <c r="E158" s="7" t="s">
        <v>487</v>
      </c>
    </row>
    <row r="159" spans="1:8">
      <c r="A159" s="26" t="s">
        <v>624</v>
      </c>
      <c r="C159" s="5" t="s">
        <v>488</v>
      </c>
      <c r="D159" s="6"/>
      <c r="E159" s="7" t="s">
        <v>489</v>
      </c>
      <c r="G159" s="8">
        <v>1</v>
      </c>
      <c r="H159" s="73" t="s">
        <v>950</v>
      </c>
    </row>
    <row r="160" spans="1:8">
      <c r="A160" s="26" t="s">
        <v>14</v>
      </c>
      <c r="B160" s="3" t="s">
        <v>176</v>
      </c>
      <c r="C160" s="5" t="s">
        <v>176</v>
      </c>
      <c r="D160" s="6"/>
      <c r="E160" s="7" t="s">
        <v>490</v>
      </c>
      <c r="G160" s="8">
        <v>1</v>
      </c>
      <c r="H160" s="73" t="s">
        <v>950</v>
      </c>
    </row>
    <row r="161" spans="1:8">
      <c r="A161" s="108" t="s">
        <v>623</v>
      </c>
      <c r="B161" s="3" t="s">
        <v>491</v>
      </c>
      <c r="C161" s="5" t="s">
        <v>491</v>
      </c>
      <c r="D161" s="6"/>
      <c r="E161" s="7" t="s">
        <v>492</v>
      </c>
      <c r="G161" s="74">
        <f>1/2</f>
        <v>0.5</v>
      </c>
      <c r="H161" s="73" t="s">
        <v>950</v>
      </c>
    </row>
    <row r="162" spans="1:8">
      <c r="A162" s="108"/>
      <c r="B162" s="3" t="s">
        <v>493</v>
      </c>
      <c r="C162" s="5" t="s">
        <v>493</v>
      </c>
      <c r="D162" s="6"/>
      <c r="E162" s="7" t="s">
        <v>494</v>
      </c>
      <c r="G162" s="74">
        <f>1/2</f>
        <v>0.5</v>
      </c>
      <c r="H162" s="73" t="s">
        <v>950</v>
      </c>
    </row>
    <row r="163" spans="1:8">
      <c r="A163" s="26" t="s">
        <v>15</v>
      </c>
      <c r="B163" s="3" t="s">
        <v>177</v>
      </c>
      <c r="C163" s="5" t="s">
        <v>177</v>
      </c>
      <c r="D163" s="6"/>
      <c r="E163" s="7" t="s">
        <v>15</v>
      </c>
      <c r="G163" s="8">
        <v>1</v>
      </c>
      <c r="H163" s="73" t="s">
        <v>950</v>
      </c>
    </row>
    <row r="164" spans="1:8">
      <c r="A164" s="108" t="s">
        <v>16</v>
      </c>
      <c r="B164" s="3" t="s">
        <v>178</v>
      </c>
      <c r="C164" s="5" t="s">
        <v>182</v>
      </c>
      <c r="D164" s="6"/>
      <c r="E164" s="7" t="s">
        <v>495</v>
      </c>
    </row>
    <row r="165" spans="1:8">
      <c r="A165" s="108"/>
      <c r="B165" s="3" t="s">
        <v>179</v>
      </c>
      <c r="C165" s="5" t="s">
        <v>181</v>
      </c>
      <c r="D165" s="6"/>
      <c r="E165" s="7" t="s">
        <v>496</v>
      </c>
    </row>
    <row r="166" spans="1:8">
      <c r="A166" s="108"/>
      <c r="B166" s="3" t="s">
        <v>180</v>
      </c>
      <c r="C166" s="5" t="s">
        <v>180</v>
      </c>
      <c r="D166" s="6"/>
      <c r="E166" s="7" t="s">
        <v>497</v>
      </c>
    </row>
    <row r="167" spans="1:8">
      <c r="A167" s="108"/>
      <c r="B167" s="3" t="s">
        <v>181</v>
      </c>
      <c r="C167" s="5" t="s">
        <v>179</v>
      </c>
      <c r="D167" s="6"/>
      <c r="E167" s="7" t="s">
        <v>498</v>
      </c>
    </row>
    <row r="168" spans="1:8">
      <c r="A168" s="108"/>
      <c r="B168" s="3" t="s">
        <v>182</v>
      </c>
      <c r="C168" s="5" t="s">
        <v>184</v>
      </c>
      <c r="D168" s="6"/>
      <c r="E168" s="7" t="s">
        <v>499</v>
      </c>
    </row>
    <row r="169" spans="1:8">
      <c r="A169" s="108"/>
      <c r="B169" s="3" t="s">
        <v>183</v>
      </c>
      <c r="C169" s="5" t="s">
        <v>183</v>
      </c>
      <c r="D169" s="3" t="s">
        <v>776</v>
      </c>
      <c r="E169" s="7" t="s">
        <v>500</v>
      </c>
      <c r="F169" s="3">
        <v>291</v>
      </c>
      <c r="G169" s="8">
        <v>1</v>
      </c>
    </row>
    <row r="170" spans="1:8">
      <c r="A170" s="108"/>
      <c r="B170" s="3" t="s">
        <v>184</v>
      </c>
      <c r="C170" s="5" t="s">
        <v>178</v>
      </c>
      <c r="D170" s="6"/>
      <c r="E170" s="7" t="s">
        <v>501</v>
      </c>
    </row>
    <row r="171" spans="1:8">
      <c r="A171" s="108"/>
      <c r="B171" s="3" t="s">
        <v>185</v>
      </c>
      <c r="C171" s="5" t="s">
        <v>185</v>
      </c>
      <c r="D171" s="6"/>
      <c r="E171" s="7" t="s">
        <v>502</v>
      </c>
    </row>
    <row r="172" spans="1:8">
      <c r="A172" s="26" t="s">
        <v>504</v>
      </c>
      <c r="C172" s="5" t="s">
        <v>503</v>
      </c>
      <c r="D172" s="6"/>
      <c r="E172" s="7" t="s">
        <v>504</v>
      </c>
      <c r="H172" s="73" t="s">
        <v>950</v>
      </c>
    </row>
    <row r="173" spans="1:8">
      <c r="A173" s="108" t="s">
        <v>17</v>
      </c>
      <c r="B173" s="3" t="s">
        <v>186</v>
      </c>
      <c r="C173" s="5" t="s">
        <v>193</v>
      </c>
      <c r="D173" s="40" t="s">
        <v>728</v>
      </c>
      <c r="E173" s="7" t="s">
        <v>505</v>
      </c>
      <c r="F173" s="3">
        <v>121</v>
      </c>
      <c r="G173" s="8">
        <f>F173/SUM($F$173:$F$182)</f>
        <v>0.14285714285714285</v>
      </c>
    </row>
    <row r="174" spans="1:8">
      <c r="A174" s="108"/>
      <c r="B174" s="3" t="s">
        <v>187</v>
      </c>
      <c r="C174" s="5" t="s">
        <v>195</v>
      </c>
      <c r="D174" s="6"/>
      <c r="E174" s="7" t="s">
        <v>506</v>
      </c>
    </row>
    <row r="175" spans="1:8">
      <c r="A175" s="108"/>
      <c r="B175" s="3" t="s">
        <v>188</v>
      </c>
      <c r="C175" s="5" t="s">
        <v>197</v>
      </c>
      <c r="D175" s="6"/>
      <c r="E175" s="7" t="s">
        <v>507</v>
      </c>
    </row>
    <row r="176" spans="1:8">
      <c r="A176" s="108"/>
      <c r="B176" s="3" t="s">
        <v>189</v>
      </c>
      <c r="C176" s="5" t="s">
        <v>188</v>
      </c>
      <c r="D176" s="6"/>
      <c r="E176" s="7" t="s">
        <v>508</v>
      </c>
    </row>
    <row r="177" spans="1:7">
      <c r="A177" s="108"/>
      <c r="B177" s="3" t="s">
        <v>190</v>
      </c>
      <c r="C177" s="5" t="s">
        <v>194</v>
      </c>
      <c r="D177" s="6"/>
      <c r="E177" s="7" t="s">
        <v>509</v>
      </c>
    </row>
    <row r="178" spans="1:7">
      <c r="A178" s="108"/>
      <c r="B178" s="3" t="s">
        <v>191</v>
      </c>
      <c r="C178" s="5" t="s">
        <v>196</v>
      </c>
      <c r="D178" s="6"/>
      <c r="E178" s="7" t="s">
        <v>510</v>
      </c>
    </row>
    <row r="179" spans="1:7">
      <c r="A179" s="108"/>
      <c r="B179" s="3" t="s">
        <v>192</v>
      </c>
      <c r="C179" s="5" t="s">
        <v>190</v>
      </c>
      <c r="D179" s="6"/>
      <c r="E179" s="7" t="s">
        <v>511</v>
      </c>
    </row>
    <row r="180" spans="1:7">
      <c r="A180" s="108"/>
      <c r="B180" s="3" t="s">
        <v>193</v>
      </c>
      <c r="C180" s="5" t="s">
        <v>189</v>
      </c>
      <c r="D180" s="6"/>
      <c r="E180" s="7" t="s">
        <v>512</v>
      </c>
    </row>
    <row r="181" spans="1:7">
      <c r="A181" s="108"/>
      <c r="B181" s="3" t="s">
        <v>194</v>
      </c>
      <c r="C181" s="5" t="s">
        <v>186</v>
      </c>
      <c r="D181" s="40" t="s">
        <v>705</v>
      </c>
      <c r="E181" s="7" t="s">
        <v>513</v>
      </c>
      <c r="F181" s="3">
        <v>637</v>
      </c>
      <c r="G181" s="8">
        <f t="shared" ref="G181:G182" si="8">F181/SUM($F$173:$F$182)</f>
        <v>0.75206611570247939</v>
      </c>
    </row>
    <row r="182" spans="1:7">
      <c r="A182" s="108"/>
      <c r="B182" s="3" t="s">
        <v>195</v>
      </c>
      <c r="C182" s="5" t="s">
        <v>187</v>
      </c>
      <c r="D182" s="3" t="s">
        <v>766</v>
      </c>
      <c r="E182" s="7" t="s">
        <v>514</v>
      </c>
      <c r="F182" s="3">
        <v>89</v>
      </c>
      <c r="G182" s="8">
        <f t="shared" si="8"/>
        <v>0.1050767414403778</v>
      </c>
    </row>
    <row r="183" spans="1:7">
      <c r="A183" s="108"/>
      <c r="B183" s="3" t="s">
        <v>196</v>
      </c>
      <c r="C183" s="5" t="s">
        <v>191</v>
      </c>
      <c r="E183" s="7" t="s">
        <v>515</v>
      </c>
    </row>
    <row r="184" spans="1:7">
      <c r="A184" s="108"/>
      <c r="B184" s="3" t="s">
        <v>197</v>
      </c>
      <c r="C184" s="5" t="s">
        <v>192</v>
      </c>
      <c r="E184" s="7" t="s">
        <v>516</v>
      </c>
    </row>
    <row r="185" spans="1:7">
      <c r="A185" s="108" t="s">
        <v>18</v>
      </c>
      <c r="B185" s="3" t="s">
        <v>198</v>
      </c>
      <c r="C185" s="5" t="s">
        <v>206</v>
      </c>
      <c r="D185" s="6"/>
      <c r="E185" s="7" t="s">
        <v>517</v>
      </c>
    </row>
    <row r="186" spans="1:7">
      <c r="A186" s="108"/>
      <c r="B186" s="3" t="s">
        <v>199</v>
      </c>
      <c r="C186" s="5" t="s">
        <v>204</v>
      </c>
      <c r="D186" s="6"/>
      <c r="E186" s="7" t="s">
        <v>518</v>
      </c>
    </row>
    <row r="187" spans="1:7">
      <c r="A187" s="108"/>
      <c r="B187" s="3" t="s">
        <v>200</v>
      </c>
      <c r="C187" s="5" t="s">
        <v>203</v>
      </c>
      <c r="D187" s="6"/>
      <c r="E187" s="7" t="s">
        <v>519</v>
      </c>
    </row>
    <row r="188" spans="1:7">
      <c r="A188" s="108"/>
      <c r="B188" s="3" t="s">
        <v>201</v>
      </c>
      <c r="C188" s="5" t="s">
        <v>205</v>
      </c>
      <c r="D188" s="6" t="s">
        <v>803</v>
      </c>
      <c r="E188" s="7" t="s">
        <v>520</v>
      </c>
      <c r="F188" s="3">
        <v>70</v>
      </c>
      <c r="G188" s="8">
        <v>1</v>
      </c>
    </row>
    <row r="189" spans="1:7">
      <c r="A189" s="108"/>
      <c r="B189" s="3" t="s">
        <v>202</v>
      </c>
      <c r="C189" s="5" t="s">
        <v>200</v>
      </c>
      <c r="D189" s="6"/>
      <c r="E189" s="7" t="s">
        <v>521</v>
      </c>
    </row>
    <row r="190" spans="1:7">
      <c r="A190" s="108"/>
      <c r="B190" s="3" t="s">
        <v>203</v>
      </c>
      <c r="C190" s="5" t="s">
        <v>202</v>
      </c>
      <c r="D190" s="6"/>
      <c r="E190" s="7" t="s">
        <v>522</v>
      </c>
    </row>
    <row r="191" spans="1:7">
      <c r="A191" s="108"/>
      <c r="B191" s="3" t="s">
        <v>204</v>
      </c>
      <c r="C191" s="5" t="s">
        <v>201</v>
      </c>
      <c r="D191" s="6"/>
      <c r="E191" s="7" t="s">
        <v>523</v>
      </c>
    </row>
    <row r="192" spans="1:7">
      <c r="A192" s="108"/>
      <c r="B192" s="3" t="s">
        <v>205</v>
      </c>
      <c r="C192" s="5" t="s">
        <v>199</v>
      </c>
      <c r="D192" s="6"/>
      <c r="E192" s="7" t="s">
        <v>524</v>
      </c>
    </row>
    <row r="193" spans="1:7">
      <c r="A193" s="108"/>
      <c r="B193" s="3" t="s">
        <v>206</v>
      </c>
      <c r="C193" s="5" t="s">
        <v>198</v>
      </c>
      <c r="D193" s="6"/>
      <c r="E193" s="7" t="s">
        <v>525</v>
      </c>
    </row>
    <row r="194" spans="1:7">
      <c r="A194" s="108" t="s">
        <v>19</v>
      </c>
      <c r="B194" s="3" t="s">
        <v>207</v>
      </c>
      <c r="C194" s="5" t="s">
        <v>219</v>
      </c>
      <c r="D194" s="6"/>
      <c r="E194" s="7" t="s">
        <v>526</v>
      </c>
    </row>
    <row r="195" spans="1:7">
      <c r="A195" s="108"/>
      <c r="B195" s="3" t="s">
        <v>208</v>
      </c>
      <c r="C195" s="5" t="s">
        <v>210</v>
      </c>
      <c r="D195" s="6"/>
      <c r="E195" s="7" t="s">
        <v>527</v>
      </c>
    </row>
    <row r="196" spans="1:7">
      <c r="A196" s="108"/>
      <c r="B196" s="3" t="s">
        <v>209</v>
      </c>
      <c r="C196" s="5" t="s">
        <v>221</v>
      </c>
      <c r="D196" s="6"/>
      <c r="E196" s="7" t="s">
        <v>528</v>
      </c>
    </row>
    <row r="197" spans="1:7">
      <c r="A197" s="108"/>
      <c r="B197" s="3" t="s">
        <v>210</v>
      </c>
      <c r="C197" s="5" t="s">
        <v>207</v>
      </c>
      <c r="D197" s="6"/>
      <c r="E197" s="7" t="s">
        <v>529</v>
      </c>
    </row>
    <row r="198" spans="1:7">
      <c r="A198" s="108"/>
      <c r="B198" s="3" t="s">
        <v>211</v>
      </c>
      <c r="C198" s="5" t="s">
        <v>216</v>
      </c>
      <c r="D198" s="6"/>
      <c r="E198" s="7" t="s">
        <v>530</v>
      </c>
    </row>
    <row r="199" spans="1:7">
      <c r="A199" s="108"/>
      <c r="B199" s="3" t="s">
        <v>212</v>
      </c>
      <c r="C199" s="5" t="s">
        <v>218</v>
      </c>
      <c r="D199" s="6" t="s">
        <v>765</v>
      </c>
      <c r="E199" s="7" t="s">
        <v>531</v>
      </c>
      <c r="F199" s="3">
        <v>125</v>
      </c>
      <c r="G199" s="8">
        <f>F199/(F199+F201)</f>
        <v>0.36873156342182889</v>
      </c>
    </row>
    <row r="200" spans="1:7">
      <c r="A200" s="108"/>
      <c r="B200" s="3" t="s">
        <v>213</v>
      </c>
      <c r="C200" s="5" t="s">
        <v>213</v>
      </c>
      <c r="D200" s="6"/>
      <c r="E200" s="7" t="s">
        <v>532</v>
      </c>
    </row>
    <row r="201" spans="1:7">
      <c r="A201" s="108"/>
      <c r="B201" s="3" t="s">
        <v>214</v>
      </c>
      <c r="C201" s="5" t="s">
        <v>220</v>
      </c>
      <c r="D201" s="40" t="s">
        <v>721</v>
      </c>
      <c r="E201" s="7" t="s">
        <v>533</v>
      </c>
      <c r="F201" s="3">
        <v>214</v>
      </c>
      <c r="G201" s="8">
        <f>F201/(F199+F201)</f>
        <v>0.63126843657817111</v>
      </c>
    </row>
    <row r="202" spans="1:7">
      <c r="A202" s="108"/>
      <c r="B202" s="3" t="s">
        <v>215</v>
      </c>
      <c r="C202" s="5" t="s">
        <v>208</v>
      </c>
      <c r="D202" s="6"/>
      <c r="E202" s="7" t="s">
        <v>534</v>
      </c>
    </row>
    <row r="203" spans="1:7">
      <c r="A203" s="108"/>
      <c r="B203" s="3" t="s">
        <v>216</v>
      </c>
      <c r="C203" s="5" t="s">
        <v>211</v>
      </c>
      <c r="D203" s="6"/>
      <c r="E203" s="7" t="s">
        <v>535</v>
      </c>
    </row>
    <row r="204" spans="1:7">
      <c r="A204" s="108"/>
      <c r="B204" s="3" t="s">
        <v>217</v>
      </c>
      <c r="C204" s="5" t="s">
        <v>223</v>
      </c>
      <c r="D204" s="6"/>
      <c r="E204" s="7" t="s">
        <v>536</v>
      </c>
    </row>
    <row r="205" spans="1:7">
      <c r="A205" s="108"/>
      <c r="B205" s="3" t="s">
        <v>218</v>
      </c>
      <c r="C205" s="5" t="s">
        <v>222</v>
      </c>
      <c r="D205" s="6"/>
      <c r="E205" s="7" t="s">
        <v>537</v>
      </c>
    </row>
    <row r="206" spans="1:7">
      <c r="A206" s="108"/>
      <c r="B206" s="3" t="s">
        <v>219</v>
      </c>
      <c r="C206" s="5" t="s">
        <v>217</v>
      </c>
      <c r="D206" s="6"/>
      <c r="E206" s="7" t="s">
        <v>538</v>
      </c>
    </row>
    <row r="207" spans="1:7">
      <c r="A207" s="108"/>
      <c r="B207" s="3" t="s">
        <v>220</v>
      </c>
      <c r="C207" s="5" t="s">
        <v>209</v>
      </c>
      <c r="D207" s="6"/>
      <c r="E207" s="7" t="s">
        <v>539</v>
      </c>
    </row>
    <row r="208" spans="1:7">
      <c r="A208" s="108"/>
      <c r="B208" s="3" t="s">
        <v>221</v>
      </c>
      <c r="C208" s="5" t="s">
        <v>212</v>
      </c>
      <c r="D208" s="6"/>
      <c r="E208" s="7" t="s">
        <v>540</v>
      </c>
    </row>
    <row r="209" spans="1:7">
      <c r="A209" s="108"/>
      <c r="B209" s="3" t="s">
        <v>222</v>
      </c>
      <c r="C209" s="5" t="s">
        <v>214</v>
      </c>
      <c r="D209" s="6"/>
      <c r="E209" s="7" t="s">
        <v>541</v>
      </c>
    </row>
    <row r="210" spans="1:7">
      <c r="A210" s="108"/>
      <c r="B210" s="3" t="s">
        <v>223</v>
      </c>
      <c r="C210" s="5" t="s">
        <v>215</v>
      </c>
      <c r="E210" s="7" t="s">
        <v>542</v>
      </c>
    </row>
    <row r="211" spans="1:7">
      <c r="A211" s="108" t="s">
        <v>20</v>
      </c>
      <c r="B211" s="3" t="s">
        <v>224</v>
      </c>
      <c r="C211" s="5" t="s">
        <v>226</v>
      </c>
      <c r="D211" s="6"/>
      <c r="E211" s="7" t="s">
        <v>543</v>
      </c>
    </row>
    <row r="212" spans="1:7">
      <c r="A212" s="108"/>
      <c r="B212" s="3" t="s">
        <v>225</v>
      </c>
      <c r="C212" s="5" t="s">
        <v>225</v>
      </c>
      <c r="D212" s="6"/>
      <c r="E212" s="7" t="s">
        <v>544</v>
      </c>
    </row>
    <row r="213" spans="1:7">
      <c r="A213" s="108"/>
      <c r="B213" s="3" t="s">
        <v>226</v>
      </c>
      <c r="C213" s="5" t="s">
        <v>228</v>
      </c>
      <c r="D213" s="6" t="s">
        <v>764</v>
      </c>
      <c r="E213" s="7" t="s">
        <v>545</v>
      </c>
      <c r="F213" s="3">
        <v>116</v>
      </c>
      <c r="G213" s="8">
        <f>F213/SUM($F$213:$F$214)</f>
        <v>0.81690140845070425</v>
      </c>
    </row>
    <row r="214" spans="1:7">
      <c r="A214" s="108"/>
      <c r="B214" s="3" t="s">
        <v>227</v>
      </c>
      <c r="C214" s="5" t="s">
        <v>224</v>
      </c>
      <c r="D214" s="6" t="s">
        <v>763</v>
      </c>
      <c r="E214" s="7" t="s">
        <v>546</v>
      </c>
      <c r="F214" s="3">
        <v>26</v>
      </c>
      <c r="G214" s="8">
        <f>F214/SUM($F$213:$F$214)</f>
        <v>0.18309859154929578</v>
      </c>
    </row>
    <row r="215" spans="1:7">
      <c r="A215" s="108"/>
      <c r="B215" s="3" t="s">
        <v>228</v>
      </c>
      <c r="C215" s="5" t="s">
        <v>227</v>
      </c>
      <c r="E215" s="7" t="s">
        <v>547</v>
      </c>
    </row>
    <row r="216" spans="1:7">
      <c r="A216" s="108"/>
      <c r="C216" s="5" t="s">
        <v>548</v>
      </c>
      <c r="D216" s="6"/>
      <c r="E216" s="7" t="s">
        <v>549</v>
      </c>
    </row>
    <row r="217" spans="1:7">
      <c r="A217" s="108"/>
      <c r="C217" s="5" t="s">
        <v>550</v>
      </c>
      <c r="D217" s="6"/>
      <c r="E217" s="7" t="s">
        <v>551</v>
      </c>
    </row>
    <row r="218" spans="1:7">
      <c r="A218" s="108" t="s">
        <v>21</v>
      </c>
      <c r="B218" s="3" t="s">
        <v>229</v>
      </c>
      <c r="C218" s="5" t="s">
        <v>231</v>
      </c>
      <c r="D218" s="6"/>
      <c r="E218" s="7" t="s">
        <v>552</v>
      </c>
    </row>
    <row r="219" spans="1:7">
      <c r="A219" s="108"/>
      <c r="B219" s="3" t="s">
        <v>230</v>
      </c>
      <c r="C219" s="5" t="s">
        <v>236</v>
      </c>
      <c r="D219" s="6"/>
      <c r="E219" s="7" t="s">
        <v>553</v>
      </c>
    </row>
    <row r="220" spans="1:7">
      <c r="A220" s="108"/>
      <c r="B220" s="3" t="s">
        <v>231</v>
      </c>
      <c r="C220" s="5" t="s">
        <v>232</v>
      </c>
      <c r="D220" s="6" t="s">
        <v>762</v>
      </c>
      <c r="E220" s="7" t="s">
        <v>554</v>
      </c>
      <c r="F220" s="3">
        <v>93</v>
      </c>
      <c r="G220" s="8">
        <f t="shared" ref="G220" si="9">F220/SUM($F$220:$F$224)</f>
        <v>0.2421875</v>
      </c>
    </row>
    <row r="221" spans="1:7">
      <c r="A221" s="108"/>
      <c r="B221" s="3" t="s">
        <v>232</v>
      </c>
      <c r="C221" s="5" t="s">
        <v>230</v>
      </c>
      <c r="D221" s="6"/>
      <c r="E221" s="7" t="s">
        <v>555</v>
      </c>
    </row>
    <row r="222" spans="1:7">
      <c r="A222" s="108"/>
      <c r="B222" s="3" t="s">
        <v>233</v>
      </c>
      <c r="C222" s="5" t="s">
        <v>234</v>
      </c>
      <c r="D222" s="6"/>
      <c r="E222" s="7" t="s">
        <v>556</v>
      </c>
    </row>
    <row r="223" spans="1:7">
      <c r="A223" s="108"/>
      <c r="B223" s="3" t="s">
        <v>234</v>
      </c>
      <c r="C223" s="5" t="s">
        <v>233</v>
      </c>
      <c r="D223" s="6"/>
      <c r="E223" s="7" t="s">
        <v>557</v>
      </c>
    </row>
    <row r="224" spans="1:7">
      <c r="A224" s="108"/>
      <c r="B224" s="3" t="s">
        <v>235</v>
      </c>
      <c r="C224" s="5" t="s">
        <v>229</v>
      </c>
      <c r="D224" s="6" t="s">
        <v>761</v>
      </c>
      <c r="E224" s="7" t="s">
        <v>558</v>
      </c>
      <c r="F224" s="3">
        <v>291</v>
      </c>
      <c r="G224" s="8">
        <f>F224/SUM($F$220:$F$224)</f>
        <v>0.7578125</v>
      </c>
    </row>
    <row r="225" spans="1:7">
      <c r="A225" s="108"/>
      <c r="B225" s="3" t="s">
        <v>236</v>
      </c>
      <c r="C225" s="5" t="s">
        <v>235</v>
      </c>
      <c r="D225" s="6"/>
      <c r="E225" s="7" t="s">
        <v>559</v>
      </c>
    </row>
    <row r="226" spans="1:7">
      <c r="A226" s="108" t="s">
        <v>22</v>
      </c>
      <c r="B226" s="3" t="s">
        <v>237</v>
      </c>
      <c r="C226" s="5" t="s">
        <v>237</v>
      </c>
      <c r="D226" s="6" t="s">
        <v>759</v>
      </c>
      <c r="E226" s="7" t="s">
        <v>560</v>
      </c>
      <c r="F226" s="3">
        <v>16</v>
      </c>
      <c r="G226" s="8">
        <v>1</v>
      </c>
    </row>
    <row r="227" spans="1:7">
      <c r="A227" s="108"/>
      <c r="B227" s="3" t="s">
        <v>238</v>
      </c>
      <c r="C227" s="5" t="s">
        <v>238</v>
      </c>
      <c r="D227" s="6"/>
      <c r="E227" s="7" t="s">
        <v>561</v>
      </c>
    </row>
    <row r="228" spans="1:7">
      <c r="A228" s="108" t="s">
        <v>23</v>
      </c>
      <c r="B228" s="3" t="s">
        <v>239</v>
      </c>
      <c r="C228" s="5" t="s">
        <v>241</v>
      </c>
      <c r="D228" s="6"/>
      <c r="E228" s="7" t="s">
        <v>562</v>
      </c>
    </row>
    <row r="229" spans="1:7">
      <c r="A229" s="108"/>
      <c r="B229" s="3" t="s">
        <v>240</v>
      </c>
      <c r="C229" s="5" t="s">
        <v>239</v>
      </c>
      <c r="D229" s="6" t="s">
        <v>760</v>
      </c>
      <c r="E229" s="7" t="s">
        <v>563</v>
      </c>
      <c r="F229" s="3">
        <v>76</v>
      </c>
      <c r="G229" s="8">
        <v>1</v>
      </c>
    </row>
    <row r="230" spans="1:7">
      <c r="A230" s="108"/>
      <c r="B230" s="3" t="s">
        <v>241</v>
      </c>
      <c r="C230" s="5" t="s">
        <v>242</v>
      </c>
      <c r="D230" s="6"/>
      <c r="E230" s="7" t="s">
        <v>564</v>
      </c>
    </row>
    <row r="231" spans="1:7">
      <c r="A231" s="108"/>
      <c r="B231" s="3" t="s">
        <v>242</v>
      </c>
      <c r="C231" s="5" t="s">
        <v>240</v>
      </c>
      <c r="D231" s="6"/>
      <c r="E231" s="7" t="s">
        <v>565</v>
      </c>
    </row>
    <row r="232" spans="1:7">
      <c r="A232" s="108" t="s">
        <v>24</v>
      </c>
      <c r="B232" s="3" t="s">
        <v>243</v>
      </c>
      <c r="C232" s="5" t="s">
        <v>243</v>
      </c>
      <c r="D232" s="6"/>
      <c r="E232" s="7" t="s">
        <v>566</v>
      </c>
    </row>
    <row r="233" spans="1:7">
      <c r="A233" s="108"/>
      <c r="B233" s="3" t="s">
        <v>244</v>
      </c>
      <c r="C233" s="5" t="s">
        <v>245</v>
      </c>
      <c r="D233" s="6"/>
      <c r="E233" s="7" t="s">
        <v>567</v>
      </c>
    </row>
    <row r="234" spans="1:7">
      <c r="A234" s="108"/>
      <c r="B234" s="3" t="s">
        <v>245</v>
      </c>
      <c r="C234" s="5" t="s">
        <v>244</v>
      </c>
      <c r="D234" s="6" t="s">
        <v>798</v>
      </c>
      <c r="E234" s="7" t="s">
        <v>568</v>
      </c>
      <c r="F234" s="3">
        <v>75</v>
      </c>
      <c r="G234" s="8">
        <f>F234/(F234+F235)</f>
        <v>0.65217391304347827</v>
      </c>
    </row>
    <row r="235" spans="1:7">
      <c r="A235" s="108"/>
      <c r="B235" s="3" t="s">
        <v>246</v>
      </c>
      <c r="C235" s="5" t="s">
        <v>246</v>
      </c>
      <c r="D235" s="6" t="s">
        <v>797</v>
      </c>
      <c r="E235" s="7" t="s">
        <v>569</v>
      </c>
      <c r="F235" s="3">
        <v>40</v>
      </c>
      <c r="G235" s="8">
        <f>F235/(F234+F235)</f>
        <v>0.34782608695652173</v>
      </c>
    </row>
    <row r="236" spans="1:7">
      <c r="A236" s="108"/>
      <c r="C236" s="5" t="s">
        <v>570</v>
      </c>
      <c r="D236" s="6"/>
      <c r="E236" s="7" t="s">
        <v>571</v>
      </c>
    </row>
    <row r="237" spans="1:7">
      <c r="A237" s="108" t="s">
        <v>25</v>
      </c>
      <c r="B237" s="3" t="s">
        <v>247</v>
      </c>
      <c r="C237" s="5" t="s">
        <v>247</v>
      </c>
      <c r="D237" s="6"/>
      <c r="E237" s="7" t="s">
        <v>572</v>
      </c>
    </row>
    <row r="238" spans="1:7">
      <c r="A238" s="108"/>
      <c r="B238" s="3" t="s">
        <v>248</v>
      </c>
      <c r="C238" s="5" t="s">
        <v>248</v>
      </c>
      <c r="D238" s="6"/>
      <c r="E238" s="7" t="s">
        <v>573</v>
      </c>
    </row>
    <row r="239" spans="1:7">
      <c r="A239" s="108"/>
      <c r="B239" s="3" t="s">
        <v>249</v>
      </c>
      <c r="C239" s="5" t="s">
        <v>252</v>
      </c>
      <c r="D239" s="6"/>
      <c r="E239" s="7" t="s">
        <v>574</v>
      </c>
    </row>
    <row r="240" spans="1:7">
      <c r="A240" s="108"/>
      <c r="B240" s="3" t="s">
        <v>250</v>
      </c>
      <c r="C240" s="5" t="s">
        <v>254</v>
      </c>
      <c r="D240" s="6"/>
      <c r="E240" s="7" t="s">
        <v>575</v>
      </c>
    </row>
    <row r="241" spans="1:7">
      <c r="A241" s="108"/>
      <c r="B241" s="3" t="s">
        <v>251</v>
      </c>
      <c r="C241" s="5" t="s">
        <v>251</v>
      </c>
      <c r="D241" s="3" t="s">
        <v>670</v>
      </c>
      <c r="E241" s="7" t="s">
        <v>576</v>
      </c>
      <c r="F241" s="3">
        <v>120</v>
      </c>
      <c r="G241" s="8">
        <v>1</v>
      </c>
    </row>
    <row r="242" spans="1:7">
      <c r="A242" s="108"/>
      <c r="B242" s="3" t="s">
        <v>252</v>
      </c>
      <c r="C242" s="5" t="s">
        <v>253</v>
      </c>
      <c r="D242" s="6"/>
      <c r="E242" s="7" t="s">
        <v>577</v>
      </c>
    </row>
    <row r="243" spans="1:7">
      <c r="A243" s="108"/>
      <c r="B243" s="3" t="s">
        <v>253</v>
      </c>
      <c r="C243" s="5" t="s">
        <v>250</v>
      </c>
      <c r="D243" s="6"/>
      <c r="E243" s="7" t="s">
        <v>578</v>
      </c>
    </row>
    <row r="244" spans="1:7">
      <c r="A244" s="108"/>
      <c r="B244" s="3" t="s">
        <v>254</v>
      </c>
      <c r="C244" s="5" t="s">
        <v>249</v>
      </c>
      <c r="D244" s="6"/>
      <c r="E244" s="7" t="s">
        <v>579</v>
      </c>
    </row>
    <row r="245" spans="1:7">
      <c r="A245" s="108" t="s">
        <v>26</v>
      </c>
      <c r="B245" s="3" t="s">
        <v>255</v>
      </c>
      <c r="C245" s="5" t="s">
        <v>294</v>
      </c>
      <c r="E245" s="7" t="s">
        <v>580</v>
      </c>
    </row>
    <row r="246" spans="1:7">
      <c r="A246" s="108"/>
      <c r="B246" s="3" t="s">
        <v>256</v>
      </c>
      <c r="C246" s="5" t="s">
        <v>268</v>
      </c>
      <c r="D246" s="6"/>
      <c r="E246" s="7" t="s">
        <v>581</v>
      </c>
    </row>
    <row r="247" spans="1:7">
      <c r="A247" s="108"/>
      <c r="B247" s="3" t="s">
        <v>257</v>
      </c>
      <c r="C247" s="5" t="s">
        <v>280</v>
      </c>
      <c r="D247" s="6"/>
      <c r="E247" s="7" t="s">
        <v>582</v>
      </c>
    </row>
    <row r="248" spans="1:7">
      <c r="A248" s="108"/>
      <c r="B248" s="3" t="s">
        <v>258</v>
      </c>
      <c r="C248" s="5" t="s">
        <v>270</v>
      </c>
      <c r="D248" s="6"/>
      <c r="E248" s="7" t="s">
        <v>583</v>
      </c>
    </row>
    <row r="249" spans="1:7">
      <c r="A249" s="108"/>
      <c r="B249" s="3" t="s">
        <v>259</v>
      </c>
      <c r="C249" s="5" t="s">
        <v>285</v>
      </c>
      <c r="D249" s="6"/>
      <c r="E249" s="7" t="s">
        <v>584</v>
      </c>
    </row>
    <row r="250" spans="1:7">
      <c r="A250" s="108"/>
      <c r="B250" s="3" t="s">
        <v>260</v>
      </c>
      <c r="C250" s="5" t="s">
        <v>264</v>
      </c>
      <c r="D250" s="6" t="s">
        <v>755</v>
      </c>
      <c r="E250" s="7" t="s">
        <v>585</v>
      </c>
      <c r="F250" s="3">
        <v>707</v>
      </c>
      <c r="G250" s="8">
        <f t="shared" ref="G250:G262" si="10">F250/SUM($F$250:$F$267)</f>
        <v>0.96982167352537718</v>
      </c>
    </row>
    <row r="251" spans="1:7">
      <c r="A251" s="108"/>
      <c r="B251" s="3" t="s">
        <v>261</v>
      </c>
      <c r="C251" s="5" t="s">
        <v>269</v>
      </c>
      <c r="D251" s="6"/>
      <c r="E251" s="7" t="s">
        <v>586</v>
      </c>
    </row>
    <row r="252" spans="1:7" ht="30">
      <c r="A252" s="108"/>
      <c r="B252" s="3" t="s">
        <v>262</v>
      </c>
      <c r="C252" s="5" t="s">
        <v>277</v>
      </c>
      <c r="D252" s="6"/>
      <c r="E252" s="7" t="s">
        <v>587</v>
      </c>
    </row>
    <row r="253" spans="1:7">
      <c r="A253" s="108"/>
      <c r="B253" s="3" t="s">
        <v>263</v>
      </c>
      <c r="C253" s="5" t="s">
        <v>295</v>
      </c>
      <c r="D253" s="6"/>
      <c r="E253" s="7" t="s">
        <v>588</v>
      </c>
    </row>
    <row r="254" spans="1:7">
      <c r="A254" s="108"/>
      <c r="B254" s="3" t="s">
        <v>264</v>
      </c>
      <c r="C254" s="5" t="s">
        <v>266</v>
      </c>
      <c r="D254" s="6"/>
      <c r="E254" s="7" t="s">
        <v>589</v>
      </c>
    </row>
    <row r="255" spans="1:7">
      <c r="A255" s="108"/>
      <c r="B255" s="3" t="s">
        <v>265</v>
      </c>
      <c r="C255" s="5" t="s">
        <v>263</v>
      </c>
      <c r="D255" s="6"/>
      <c r="E255" s="7" t="s">
        <v>590</v>
      </c>
    </row>
    <row r="256" spans="1:7">
      <c r="A256" s="108"/>
      <c r="B256" s="3" t="s">
        <v>266</v>
      </c>
      <c r="C256" s="5" t="s">
        <v>279</v>
      </c>
      <c r="D256" s="6"/>
      <c r="E256" s="7" t="s">
        <v>591</v>
      </c>
    </row>
    <row r="257" spans="1:7" ht="30">
      <c r="A257" s="108"/>
      <c r="B257" s="3" t="s">
        <v>267</v>
      </c>
      <c r="C257" s="5" t="s">
        <v>272</v>
      </c>
      <c r="D257" s="6"/>
      <c r="E257" s="7" t="s">
        <v>592</v>
      </c>
    </row>
    <row r="258" spans="1:7">
      <c r="A258" s="108"/>
      <c r="B258" s="3" t="s">
        <v>268</v>
      </c>
      <c r="C258" s="5" t="s">
        <v>271</v>
      </c>
      <c r="D258" s="6"/>
      <c r="E258" s="7" t="s">
        <v>593</v>
      </c>
    </row>
    <row r="259" spans="1:7" ht="30">
      <c r="A259" s="108"/>
      <c r="B259" s="3" t="s">
        <v>269</v>
      </c>
      <c r="C259" s="5" t="s">
        <v>275</v>
      </c>
      <c r="D259" s="6"/>
      <c r="E259" s="7" t="s">
        <v>594</v>
      </c>
    </row>
    <row r="260" spans="1:7">
      <c r="A260" s="108"/>
      <c r="B260" s="3" t="s">
        <v>270</v>
      </c>
      <c r="C260" s="5" t="s">
        <v>267</v>
      </c>
      <c r="D260" s="6"/>
      <c r="E260" s="7" t="s">
        <v>595</v>
      </c>
    </row>
    <row r="261" spans="1:7">
      <c r="A261" s="108"/>
      <c r="B261" s="3" t="s">
        <v>271</v>
      </c>
      <c r="C261" s="5" t="s">
        <v>274</v>
      </c>
      <c r="D261" s="6"/>
      <c r="E261" s="7" t="s">
        <v>596</v>
      </c>
    </row>
    <row r="262" spans="1:7">
      <c r="A262" s="108"/>
      <c r="B262" s="3" t="s">
        <v>272</v>
      </c>
      <c r="C262" s="5" t="s">
        <v>282</v>
      </c>
      <c r="D262" s="6" t="s">
        <v>756</v>
      </c>
      <c r="E262" s="7" t="s">
        <v>597</v>
      </c>
      <c r="F262" s="3">
        <v>7</v>
      </c>
      <c r="G262" s="8">
        <f t="shared" si="10"/>
        <v>9.6021947873799734E-3</v>
      </c>
    </row>
    <row r="263" spans="1:7">
      <c r="A263" s="108"/>
      <c r="B263" s="3" t="s">
        <v>273</v>
      </c>
      <c r="C263" s="5" t="s">
        <v>287</v>
      </c>
      <c r="D263" s="6"/>
      <c r="E263" s="7" t="s">
        <v>598</v>
      </c>
    </row>
    <row r="264" spans="1:7">
      <c r="A264" s="108"/>
      <c r="B264" s="3" t="s">
        <v>274</v>
      </c>
      <c r="C264" s="5" t="s">
        <v>265</v>
      </c>
      <c r="D264" s="6"/>
      <c r="E264" s="7" t="s">
        <v>599</v>
      </c>
    </row>
    <row r="265" spans="1:7">
      <c r="A265" s="108"/>
      <c r="B265" s="3" t="s">
        <v>275</v>
      </c>
      <c r="C265" s="5" t="s">
        <v>293</v>
      </c>
      <c r="D265" s="6"/>
      <c r="E265" s="7" t="s">
        <v>600</v>
      </c>
    </row>
    <row r="266" spans="1:7">
      <c r="A266" s="108"/>
      <c r="B266" s="3" t="s">
        <v>276</v>
      </c>
      <c r="C266" s="5" t="s">
        <v>292</v>
      </c>
      <c r="D266" s="6"/>
      <c r="E266" s="7" t="s">
        <v>601</v>
      </c>
    </row>
    <row r="267" spans="1:7">
      <c r="A267" s="108"/>
      <c r="B267" s="3" t="s">
        <v>277</v>
      </c>
      <c r="C267" s="5" t="s">
        <v>291</v>
      </c>
      <c r="D267" s="6" t="s">
        <v>757</v>
      </c>
      <c r="E267" s="7" t="s">
        <v>602</v>
      </c>
      <c r="F267" s="3">
        <v>15</v>
      </c>
      <c r="G267" s="8">
        <f>F267/SUM($F$250:$F$267)</f>
        <v>2.0576131687242798E-2</v>
      </c>
    </row>
    <row r="268" spans="1:7">
      <c r="A268" s="108"/>
      <c r="B268" s="3" t="s">
        <v>278</v>
      </c>
      <c r="C268" s="5" t="s">
        <v>290</v>
      </c>
      <c r="D268" s="6"/>
      <c r="E268" s="7" t="s">
        <v>603</v>
      </c>
    </row>
    <row r="269" spans="1:7" ht="30">
      <c r="A269" s="108"/>
      <c r="B269" s="3" t="s">
        <v>279</v>
      </c>
      <c r="C269" s="5" t="s">
        <v>289</v>
      </c>
      <c r="D269" s="6"/>
      <c r="E269" s="7" t="s">
        <v>604</v>
      </c>
    </row>
    <row r="270" spans="1:7" ht="30">
      <c r="A270" s="108"/>
      <c r="B270" s="3" t="s">
        <v>280</v>
      </c>
      <c r="C270" s="5" t="s">
        <v>286</v>
      </c>
      <c r="D270" s="6"/>
      <c r="E270" s="7" t="s">
        <v>605</v>
      </c>
    </row>
    <row r="271" spans="1:7">
      <c r="A271" s="108"/>
      <c r="B271" s="3" t="s">
        <v>281</v>
      </c>
      <c r="C271" s="5" t="s">
        <v>283</v>
      </c>
      <c r="D271" s="6"/>
      <c r="E271" s="7" t="s">
        <v>606</v>
      </c>
    </row>
    <row r="272" spans="1:7">
      <c r="A272" s="108"/>
      <c r="B272" s="3" t="s">
        <v>282</v>
      </c>
      <c r="C272" s="5" t="s">
        <v>276</v>
      </c>
      <c r="D272" s="6"/>
      <c r="E272" s="7" t="s">
        <v>607</v>
      </c>
    </row>
    <row r="273" spans="1:5">
      <c r="A273" s="108"/>
      <c r="B273" s="3" t="s">
        <v>283</v>
      </c>
      <c r="C273" s="5" t="s">
        <v>273</v>
      </c>
      <c r="D273" s="6"/>
      <c r="E273" s="7" t="s">
        <v>608</v>
      </c>
    </row>
    <row r="274" spans="1:5" ht="30">
      <c r="A274" s="108"/>
      <c r="B274" s="3" t="s">
        <v>284</v>
      </c>
      <c r="C274" s="5" t="s">
        <v>288</v>
      </c>
      <c r="D274" s="6"/>
      <c r="E274" s="7" t="s">
        <v>609</v>
      </c>
    </row>
    <row r="275" spans="1:5">
      <c r="A275" s="108"/>
      <c r="B275" s="3" t="s">
        <v>285</v>
      </c>
      <c r="C275" s="5" t="s">
        <v>284</v>
      </c>
      <c r="D275" s="6"/>
      <c r="E275" s="7" t="s">
        <v>610</v>
      </c>
    </row>
    <row r="276" spans="1:5">
      <c r="A276" s="108"/>
      <c r="B276" s="3" t="s">
        <v>286</v>
      </c>
      <c r="C276" s="5" t="s">
        <v>281</v>
      </c>
      <c r="D276" s="6"/>
      <c r="E276" s="7" t="s">
        <v>611</v>
      </c>
    </row>
    <row r="277" spans="1:5">
      <c r="A277" s="108"/>
      <c r="B277" s="3" t="s">
        <v>287</v>
      </c>
      <c r="C277" s="5" t="s">
        <v>278</v>
      </c>
      <c r="D277" s="6"/>
      <c r="E277" s="7" t="s">
        <v>612</v>
      </c>
    </row>
    <row r="278" spans="1:5">
      <c r="A278" s="108"/>
      <c r="B278" s="3" t="s">
        <v>288</v>
      </c>
      <c r="C278" s="5" t="s">
        <v>255</v>
      </c>
      <c r="D278" s="6"/>
      <c r="E278" s="7" t="s">
        <v>613</v>
      </c>
    </row>
    <row r="279" spans="1:5">
      <c r="A279" s="108"/>
      <c r="B279" s="3" t="s">
        <v>289</v>
      </c>
      <c r="C279" s="5" t="s">
        <v>256</v>
      </c>
      <c r="D279" s="6"/>
      <c r="E279" s="7" t="s">
        <v>614</v>
      </c>
    </row>
    <row r="280" spans="1:5">
      <c r="A280" s="108"/>
      <c r="B280" s="3" t="s">
        <v>290</v>
      </c>
      <c r="C280" s="5" t="s">
        <v>261</v>
      </c>
      <c r="D280" s="6"/>
      <c r="E280" s="7" t="s">
        <v>615</v>
      </c>
    </row>
    <row r="281" spans="1:5">
      <c r="A281" s="108"/>
      <c r="B281" s="3" t="s">
        <v>291</v>
      </c>
      <c r="C281" s="5" t="s">
        <v>259</v>
      </c>
      <c r="D281" s="6"/>
      <c r="E281" s="7" t="s">
        <v>616</v>
      </c>
    </row>
    <row r="282" spans="1:5">
      <c r="A282" s="108"/>
      <c r="B282" s="3" t="s">
        <v>292</v>
      </c>
      <c r="C282" s="5" t="s">
        <v>260</v>
      </c>
      <c r="D282" s="25"/>
      <c r="E282" s="7" t="s">
        <v>617</v>
      </c>
    </row>
    <row r="283" spans="1:5">
      <c r="A283" s="108"/>
      <c r="B283" s="3" t="s">
        <v>293</v>
      </c>
      <c r="C283" s="5" t="s">
        <v>258</v>
      </c>
      <c r="D283" s="6"/>
      <c r="E283" s="7" t="s">
        <v>618</v>
      </c>
    </row>
    <row r="284" spans="1:5">
      <c r="A284" s="108"/>
      <c r="B284" s="3" t="s">
        <v>294</v>
      </c>
      <c r="C284" s="5" t="s">
        <v>257</v>
      </c>
      <c r="D284" s="6"/>
      <c r="E284" s="7" t="s">
        <v>619</v>
      </c>
    </row>
    <row r="285" spans="1:5">
      <c r="A285" s="108"/>
      <c r="B285" s="3" t="s">
        <v>295</v>
      </c>
      <c r="C285" s="5" t="s">
        <v>262</v>
      </c>
      <c r="D285" s="6"/>
      <c r="E285" s="7" t="s">
        <v>620</v>
      </c>
    </row>
    <row r="286" spans="1:5">
      <c r="A286" s="108" t="s">
        <v>27</v>
      </c>
      <c r="B286" s="3" t="s">
        <v>296</v>
      </c>
      <c r="C286" s="12" t="s">
        <v>298</v>
      </c>
      <c r="E286" s="11" t="s">
        <v>629</v>
      </c>
    </row>
    <row r="287" spans="1:5">
      <c r="A287" s="108"/>
      <c r="B287" s="3" t="s">
        <v>297</v>
      </c>
      <c r="C287" s="11" t="s">
        <v>297</v>
      </c>
      <c r="E287" s="11" t="s">
        <v>630</v>
      </c>
    </row>
    <row r="288" spans="1:5">
      <c r="A288" s="108"/>
      <c r="B288" s="3" t="s">
        <v>298</v>
      </c>
      <c r="C288" s="11" t="s">
        <v>299</v>
      </c>
      <c r="E288" s="11" t="s">
        <v>631</v>
      </c>
    </row>
    <row r="289" spans="1:8">
      <c r="A289" s="108"/>
      <c r="B289" s="3" t="s">
        <v>299</v>
      </c>
      <c r="C289" s="5" t="s">
        <v>625</v>
      </c>
      <c r="D289" s="3" t="s">
        <v>767</v>
      </c>
      <c r="E289" s="11" t="s">
        <v>632</v>
      </c>
      <c r="F289" s="3">
        <v>45</v>
      </c>
      <c r="G289" s="8">
        <f>F289/SUM($F$289:$F$291)</f>
        <v>0.14285714285714285</v>
      </c>
    </row>
    <row r="290" spans="1:8">
      <c r="A290" s="108"/>
      <c r="B290" s="3" t="s">
        <v>300</v>
      </c>
      <c r="C290" s="12" t="s">
        <v>626</v>
      </c>
      <c r="D290" s="3" t="s">
        <v>769</v>
      </c>
      <c r="E290" s="11" t="s">
        <v>633</v>
      </c>
      <c r="F290" s="3">
        <v>260</v>
      </c>
      <c r="G290" s="8">
        <f t="shared" ref="G290:G291" si="11">F290/SUM($F$289:$F$291)</f>
        <v>0.82539682539682535</v>
      </c>
    </row>
    <row r="291" spans="1:8">
      <c r="A291" s="108"/>
      <c r="B291" s="3" t="s">
        <v>301</v>
      </c>
      <c r="C291" s="12" t="s">
        <v>627</v>
      </c>
      <c r="D291" s="3" t="s">
        <v>768</v>
      </c>
      <c r="E291" s="11" t="s">
        <v>634</v>
      </c>
      <c r="F291" s="3">
        <v>10</v>
      </c>
      <c r="G291" s="8">
        <f t="shared" si="11"/>
        <v>3.1746031746031744E-2</v>
      </c>
    </row>
    <row r="292" spans="1:8">
      <c r="A292" s="108"/>
      <c r="B292" s="3" t="s">
        <v>302</v>
      </c>
      <c r="C292" s="12" t="s">
        <v>628</v>
      </c>
      <c r="E292" s="11" t="s">
        <v>635</v>
      </c>
    </row>
    <row r="293" spans="1:8">
      <c r="A293" s="108"/>
      <c r="C293" s="12" t="s">
        <v>302</v>
      </c>
      <c r="E293" s="11"/>
      <c r="F293" s="8"/>
      <c r="G293" s="8">
        <f>G289*1.3/2.3</f>
        <v>8.0745341614906846E-2</v>
      </c>
    </row>
    <row r="294" spans="1:8">
      <c r="A294" s="108"/>
      <c r="C294" s="12" t="s">
        <v>301</v>
      </c>
      <c r="E294" s="11"/>
      <c r="F294" s="8"/>
      <c r="G294" s="8">
        <f>G289*1/2.3</f>
        <v>6.2111801242236024E-2</v>
      </c>
    </row>
    <row r="295" spans="1:8">
      <c r="A295" s="108"/>
      <c r="C295" s="12" t="s">
        <v>300</v>
      </c>
      <c r="E295" s="11"/>
      <c r="F295" s="8"/>
      <c r="G295" s="8">
        <f>G290</f>
        <v>0.82539682539682535</v>
      </c>
    </row>
    <row r="296" spans="1:8">
      <c r="A296" s="108"/>
      <c r="C296" s="12" t="s">
        <v>296</v>
      </c>
      <c r="E296" s="11"/>
      <c r="F296" s="8"/>
      <c r="G296" s="8">
        <f>G291</f>
        <v>3.1746031746031744E-2</v>
      </c>
    </row>
    <row r="297" spans="1:8">
      <c r="A297" s="108" t="s">
        <v>636</v>
      </c>
      <c r="B297" s="3" t="s">
        <v>303</v>
      </c>
      <c r="C297" s="12" t="s">
        <v>305</v>
      </c>
      <c r="D297" s="13"/>
      <c r="E297" s="12" t="s">
        <v>637</v>
      </c>
    </row>
    <row r="298" spans="1:8">
      <c r="A298" s="108"/>
      <c r="B298" s="3" t="s">
        <v>304</v>
      </c>
      <c r="C298" s="12" t="s">
        <v>307</v>
      </c>
      <c r="D298" s="13"/>
      <c r="E298" s="12" t="s">
        <v>638</v>
      </c>
    </row>
    <row r="299" spans="1:8">
      <c r="A299" s="108"/>
      <c r="B299" s="3" t="s">
        <v>305</v>
      </c>
      <c r="C299" s="12" t="s">
        <v>309</v>
      </c>
      <c r="D299" s="13" t="s">
        <v>758</v>
      </c>
      <c r="E299" s="12" t="s">
        <v>639</v>
      </c>
      <c r="F299" s="3">
        <v>27</v>
      </c>
      <c r="G299" s="8">
        <v>1</v>
      </c>
    </row>
    <row r="300" spans="1:8">
      <c r="A300" s="108"/>
      <c r="B300" s="3" t="s">
        <v>306</v>
      </c>
      <c r="C300" s="12" t="s">
        <v>303</v>
      </c>
      <c r="D300" s="13"/>
      <c r="E300" s="12" t="s">
        <v>640</v>
      </c>
    </row>
    <row r="301" spans="1:8">
      <c r="A301" s="108"/>
      <c r="B301" s="3" t="s">
        <v>307</v>
      </c>
      <c r="C301" s="12" t="s">
        <v>308</v>
      </c>
      <c r="D301" s="13"/>
      <c r="E301" s="12" t="s">
        <v>641</v>
      </c>
    </row>
    <row r="302" spans="1:8">
      <c r="A302" s="108"/>
      <c r="B302" s="3" t="s">
        <v>308</v>
      </c>
      <c r="C302" s="12" t="s">
        <v>304</v>
      </c>
      <c r="D302" s="13"/>
      <c r="E302" s="12" t="s">
        <v>642</v>
      </c>
    </row>
    <row r="303" spans="1:8">
      <c r="A303" s="108"/>
      <c r="B303" s="3" t="s">
        <v>309</v>
      </c>
      <c r="C303" s="12" t="s">
        <v>306</v>
      </c>
      <c r="D303" s="13"/>
      <c r="E303" s="12" t="s">
        <v>643</v>
      </c>
    </row>
    <row r="304" spans="1:8">
      <c r="A304" s="26" t="s">
        <v>28</v>
      </c>
      <c r="B304" s="3" t="s">
        <v>310</v>
      </c>
      <c r="C304" s="28" t="s">
        <v>310</v>
      </c>
      <c r="D304" s="27"/>
      <c r="E304" s="28" t="s">
        <v>644</v>
      </c>
      <c r="G304" s="8">
        <v>1</v>
      </c>
      <c r="H304" s="73" t="s">
        <v>950</v>
      </c>
    </row>
    <row r="305" spans="1:8">
      <c r="A305" s="24" t="s">
        <v>29</v>
      </c>
      <c r="B305" s="3" t="s">
        <v>311</v>
      </c>
      <c r="C305" s="11" t="s">
        <v>311</v>
      </c>
      <c r="D305" s="7"/>
      <c r="E305" s="7" t="s">
        <v>645</v>
      </c>
      <c r="G305" s="8">
        <v>1</v>
      </c>
      <c r="H305" s="73" t="s">
        <v>950</v>
      </c>
    </row>
    <row r="306" spans="1:8">
      <c r="A306" s="108" t="s">
        <v>30</v>
      </c>
      <c r="B306" s="3" t="s">
        <v>35</v>
      </c>
      <c r="C306" s="11" t="s">
        <v>33</v>
      </c>
      <c r="D306" s="7"/>
      <c r="E306" s="11" t="s">
        <v>646</v>
      </c>
      <c r="G306" s="8">
        <f t="shared" ref="G306:G307" si="12">1/3</f>
        <v>0.33333333333333331</v>
      </c>
      <c r="H306" s="73" t="s">
        <v>950</v>
      </c>
    </row>
    <row r="307" spans="1:8">
      <c r="A307" s="108"/>
      <c r="B307" s="3" t="s">
        <v>34</v>
      </c>
      <c r="C307" s="11" t="s">
        <v>34</v>
      </c>
      <c r="D307" s="7"/>
      <c r="E307" s="11" t="s">
        <v>647</v>
      </c>
      <c r="G307" s="8">
        <f t="shared" si="12"/>
        <v>0.33333333333333331</v>
      </c>
      <c r="H307" s="73" t="s">
        <v>950</v>
      </c>
    </row>
    <row r="308" spans="1:8">
      <c r="A308" s="108"/>
      <c r="B308" s="3" t="s">
        <v>33</v>
      </c>
      <c r="C308" s="11" t="s">
        <v>35</v>
      </c>
      <c r="D308" s="7"/>
      <c r="E308" s="11" t="s">
        <v>648</v>
      </c>
      <c r="G308" s="8">
        <f>1/3</f>
        <v>0.33333333333333331</v>
      </c>
      <c r="H308" s="73" t="s">
        <v>950</v>
      </c>
    </row>
    <row r="309" spans="1:8">
      <c r="A309" s="108" t="s">
        <v>31</v>
      </c>
      <c r="B309" s="3" t="s">
        <v>312</v>
      </c>
      <c r="C309" s="11" t="s">
        <v>315</v>
      </c>
      <c r="D309" s="7"/>
      <c r="E309" s="11" t="s">
        <v>649</v>
      </c>
      <c r="G309" s="8">
        <f t="shared" ref="G309:G311" si="13">1/4</f>
        <v>0.25</v>
      </c>
      <c r="H309" s="73" t="s">
        <v>950</v>
      </c>
    </row>
    <row r="310" spans="1:8">
      <c r="A310" s="108"/>
      <c r="B310" s="3" t="s">
        <v>313</v>
      </c>
      <c r="C310" s="11" t="s">
        <v>314</v>
      </c>
      <c r="D310" s="7"/>
      <c r="E310" s="11" t="s">
        <v>650</v>
      </c>
      <c r="G310" s="8">
        <f t="shared" si="13"/>
        <v>0.25</v>
      </c>
      <c r="H310" s="73" t="s">
        <v>950</v>
      </c>
    </row>
    <row r="311" spans="1:8">
      <c r="A311" s="108"/>
      <c r="B311" s="3" t="s">
        <v>314</v>
      </c>
      <c r="C311" s="11" t="s">
        <v>313</v>
      </c>
      <c r="D311" s="7"/>
      <c r="E311" s="7" t="s">
        <v>651</v>
      </c>
      <c r="G311" s="8">
        <f t="shared" si="13"/>
        <v>0.25</v>
      </c>
      <c r="H311" s="73" t="s">
        <v>950</v>
      </c>
    </row>
    <row r="312" spans="1:8">
      <c r="A312" s="108"/>
      <c r="B312" s="3" t="s">
        <v>315</v>
      </c>
      <c r="C312" s="11" t="s">
        <v>312</v>
      </c>
      <c r="D312" s="7"/>
      <c r="E312" s="7" t="s">
        <v>652</v>
      </c>
      <c r="G312" s="8">
        <f>1/4</f>
        <v>0.25</v>
      </c>
      <c r="H312" s="73" t="s">
        <v>950</v>
      </c>
    </row>
    <row r="313" spans="1:8">
      <c r="A313" s="26" t="s">
        <v>32</v>
      </c>
      <c r="B313" s="3" t="s">
        <v>5018</v>
      </c>
      <c r="C313" s="11" t="s">
        <v>5018</v>
      </c>
      <c r="G313" s="8">
        <v>1</v>
      </c>
      <c r="H313" s="73" t="s">
        <v>950</v>
      </c>
    </row>
    <row r="314" spans="1:8">
      <c r="A314" s="26" t="s">
        <v>654</v>
      </c>
      <c r="B314" s="3" t="s">
        <v>656</v>
      </c>
      <c r="C314" s="11" t="s">
        <v>656</v>
      </c>
      <c r="E314" s="3" t="s">
        <v>654</v>
      </c>
      <c r="G314" s="8">
        <v>1</v>
      </c>
      <c r="H314" s="73" t="s">
        <v>950</v>
      </c>
    </row>
    <row r="315" spans="1:8">
      <c r="A315" s="26" t="s">
        <v>2150</v>
      </c>
      <c r="C315" s="11" t="s">
        <v>655</v>
      </c>
      <c r="E315" s="3" t="s">
        <v>653</v>
      </c>
      <c r="G315" s="8">
        <v>1</v>
      </c>
      <c r="H315" s="73" t="s">
        <v>950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5"/>
  <sheetViews>
    <sheetView topLeftCell="A269" zoomScale="70" zoomScaleNormal="70" workbookViewId="0">
      <selection activeCell="G293" sqref="G293:G296"/>
    </sheetView>
  </sheetViews>
  <sheetFormatPr baseColWidth="10" defaultRowHeight="15.75"/>
  <cols>
    <col min="1" max="1" width="19" bestFit="1" customWidth="1"/>
    <col min="2" max="2" width="6.125" bestFit="1" customWidth="1"/>
    <col min="3" max="3" width="17.875" customWidth="1"/>
    <col min="4" max="4" width="20.625" bestFit="1" customWidth="1"/>
    <col min="5" max="5" width="22.375" bestFit="1" customWidth="1"/>
    <col min="6" max="6" width="10" style="67" bestFit="1" customWidth="1"/>
  </cols>
  <sheetData>
    <row r="1" spans="1:14">
      <c r="A1" s="46" t="s">
        <v>0</v>
      </c>
      <c r="B1" s="46" t="s">
        <v>1</v>
      </c>
      <c r="C1" s="46" t="s">
        <v>2</v>
      </c>
      <c r="D1" s="46" t="s">
        <v>658</v>
      </c>
      <c r="E1" s="46" t="s">
        <v>895</v>
      </c>
      <c r="F1" s="69" t="s">
        <v>896</v>
      </c>
      <c r="G1" s="2"/>
      <c r="H1" s="2"/>
      <c r="I1" s="2"/>
      <c r="J1" s="47"/>
      <c r="K1" s="47"/>
      <c r="L1" s="47"/>
      <c r="M1" s="47"/>
      <c r="N1" s="47"/>
    </row>
    <row r="2" spans="1:14" ht="57.75">
      <c r="A2" s="109" t="s">
        <v>3</v>
      </c>
      <c r="B2" s="49" t="s">
        <v>36</v>
      </c>
      <c r="C2" s="37"/>
      <c r="D2" s="20" t="s">
        <v>621</v>
      </c>
      <c r="E2" s="47"/>
      <c r="F2" s="70"/>
      <c r="G2" s="47"/>
      <c r="H2" s="47"/>
      <c r="I2" s="47"/>
      <c r="J2" s="50"/>
      <c r="K2" s="47"/>
      <c r="L2" s="47"/>
      <c r="M2" s="47"/>
      <c r="N2" s="47"/>
    </row>
    <row r="3" spans="1:14">
      <c r="A3" s="109"/>
      <c r="B3" s="49" t="s">
        <v>46</v>
      </c>
      <c r="C3" s="37" t="s">
        <v>659</v>
      </c>
      <c r="D3" s="20" t="s">
        <v>316</v>
      </c>
      <c r="E3" s="47">
        <v>650</v>
      </c>
      <c r="F3" s="70">
        <f t="shared" ref="F3:F9" si="0">E3/SUM(E$2:E$12)</f>
        <v>0.61904761904761907</v>
      </c>
      <c r="G3" s="50"/>
      <c r="H3" s="51"/>
      <c r="I3" s="47"/>
      <c r="J3" s="50"/>
      <c r="K3" s="47"/>
      <c r="L3" s="47"/>
      <c r="M3" s="47"/>
      <c r="N3" s="47"/>
    </row>
    <row r="4" spans="1:14">
      <c r="A4" s="109"/>
      <c r="B4" s="49" t="s">
        <v>40</v>
      </c>
      <c r="C4" s="37"/>
      <c r="D4" s="20" t="s">
        <v>317</v>
      </c>
      <c r="E4" s="47"/>
      <c r="F4" s="70"/>
      <c r="G4" s="47"/>
      <c r="H4" s="47"/>
      <c r="I4" s="47"/>
      <c r="J4" s="50"/>
      <c r="K4" s="47"/>
      <c r="L4" s="47"/>
      <c r="M4" s="47"/>
      <c r="N4" s="47"/>
    </row>
    <row r="5" spans="1:14">
      <c r="A5" s="109"/>
      <c r="B5" s="49" t="s">
        <v>44</v>
      </c>
      <c r="C5" s="37"/>
      <c r="D5" s="20" t="s">
        <v>318</v>
      </c>
      <c r="E5" s="47"/>
      <c r="F5" s="70"/>
      <c r="G5" s="47"/>
      <c r="H5" s="47"/>
      <c r="I5" s="47"/>
      <c r="J5" s="50"/>
      <c r="K5" s="47"/>
      <c r="L5" s="47"/>
      <c r="M5" s="47"/>
      <c r="N5" s="47"/>
    </row>
    <row r="6" spans="1:14">
      <c r="A6" s="109"/>
      <c r="B6" s="49" t="s">
        <v>45</v>
      </c>
      <c r="C6" s="37"/>
      <c r="D6" s="20" t="s">
        <v>319</v>
      </c>
      <c r="E6" s="47"/>
      <c r="F6" s="70"/>
      <c r="G6" s="47"/>
      <c r="H6" s="47"/>
      <c r="I6" s="47"/>
      <c r="J6" s="50"/>
      <c r="K6" s="47"/>
      <c r="L6" s="47"/>
      <c r="M6" s="47"/>
      <c r="N6" s="47"/>
    </row>
    <row r="7" spans="1:14">
      <c r="A7" s="109"/>
      <c r="B7" s="49" t="s">
        <v>37</v>
      </c>
      <c r="C7" s="37"/>
      <c r="D7" s="20" t="s">
        <v>320</v>
      </c>
      <c r="E7" s="47"/>
      <c r="F7" s="70"/>
      <c r="G7" s="47"/>
      <c r="H7" s="47"/>
      <c r="I7" s="47"/>
      <c r="J7" s="50"/>
      <c r="K7" s="47"/>
      <c r="L7" s="47"/>
      <c r="M7" s="47"/>
      <c r="N7" s="47"/>
    </row>
    <row r="8" spans="1:14">
      <c r="A8" s="109"/>
      <c r="B8" s="49" t="s">
        <v>43</v>
      </c>
      <c r="C8" s="37"/>
      <c r="D8" s="20" t="s">
        <v>321</v>
      </c>
      <c r="E8" s="47"/>
      <c r="F8" s="70"/>
      <c r="G8" s="47"/>
      <c r="H8" s="47"/>
      <c r="I8" s="47"/>
      <c r="J8" s="50"/>
      <c r="K8" s="47"/>
      <c r="L8" s="47"/>
      <c r="M8" s="47"/>
      <c r="N8" s="47"/>
    </row>
    <row r="9" spans="1:14">
      <c r="A9" s="109"/>
      <c r="B9" s="49" t="s">
        <v>42</v>
      </c>
      <c r="C9" s="37" t="s">
        <v>915</v>
      </c>
      <c r="D9" s="20" t="s">
        <v>322</v>
      </c>
      <c r="E9" s="47">
        <v>400</v>
      </c>
      <c r="F9" s="70">
        <f t="shared" si="0"/>
        <v>0.38095238095238093</v>
      </c>
      <c r="G9" s="47"/>
      <c r="H9" s="47"/>
      <c r="I9" s="47"/>
      <c r="J9" s="50"/>
      <c r="K9" s="47"/>
      <c r="L9" s="47"/>
      <c r="M9" s="47"/>
      <c r="N9" s="47"/>
    </row>
    <row r="10" spans="1:14">
      <c r="A10" s="109"/>
      <c r="B10" s="49" t="s">
        <v>41</v>
      </c>
      <c r="C10" s="37"/>
      <c r="D10" s="20" t="s">
        <v>323</v>
      </c>
      <c r="E10" s="47"/>
      <c r="F10" s="70"/>
      <c r="G10" s="47"/>
      <c r="H10" s="47"/>
      <c r="I10" s="47"/>
      <c r="J10" s="50"/>
      <c r="K10" s="47"/>
      <c r="L10" s="47"/>
      <c r="M10" s="47"/>
      <c r="N10" s="47"/>
    </row>
    <row r="11" spans="1:14">
      <c r="A11" s="109"/>
      <c r="B11" s="49" t="s">
        <v>39</v>
      </c>
      <c r="C11" s="37"/>
      <c r="D11" s="20" t="s">
        <v>324</v>
      </c>
      <c r="E11" s="47"/>
      <c r="F11" s="70"/>
      <c r="G11" s="47"/>
      <c r="H11" s="47"/>
      <c r="I11" s="47"/>
      <c r="J11" s="50"/>
      <c r="K11" s="47"/>
      <c r="L11" s="47"/>
      <c r="M11" s="47"/>
      <c r="N11" s="47"/>
    </row>
    <row r="12" spans="1:14">
      <c r="A12" s="109"/>
      <c r="B12" s="49" t="s">
        <v>38</v>
      </c>
      <c r="C12" s="37"/>
      <c r="D12" s="20" t="s">
        <v>325</v>
      </c>
      <c r="E12" s="47"/>
      <c r="F12" s="70"/>
      <c r="G12" s="47"/>
      <c r="H12" s="47"/>
      <c r="I12" s="47"/>
      <c r="J12" s="50"/>
      <c r="K12" s="47"/>
      <c r="L12" s="47"/>
      <c r="M12" s="47"/>
      <c r="N12" s="47"/>
    </row>
    <row r="13" spans="1:14">
      <c r="A13" s="109" t="s">
        <v>4</v>
      </c>
      <c r="B13" s="49" t="s">
        <v>47</v>
      </c>
      <c r="C13" s="37"/>
      <c r="D13" s="20" t="s">
        <v>326</v>
      </c>
      <c r="E13" s="47"/>
      <c r="F13" s="70"/>
      <c r="G13" s="47"/>
      <c r="H13" s="47"/>
      <c r="I13" s="47"/>
      <c r="J13" s="50"/>
      <c r="K13" s="47"/>
      <c r="L13" s="47"/>
      <c r="M13" s="47"/>
      <c r="N13" s="47"/>
    </row>
    <row r="14" spans="1:14">
      <c r="A14" s="109"/>
      <c r="B14" s="49" t="s">
        <v>49</v>
      </c>
      <c r="C14" s="37"/>
      <c r="D14" s="20" t="s">
        <v>327</v>
      </c>
      <c r="E14" s="47"/>
      <c r="F14" s="70"/>
      <c r="G14" s="47"/>
      <c r="H14" s="47"/>
      <c r="I14" s="47"/>
      <c r="J14" s="50"/>
      <c r="K14" s="47"/>
      <c r="L14" s="47"/>
      <c r="M14" s="47"/>
      <c r="N14" s="47"/>
    </row>
    <row r="15" spans="1:14">
      <c r="A15" s="109"/>
      <c r="B15" s="49" t="s">
        <v>50</v>
      </c>
      <c r="C15" s="37" t="s">
        <v>929</v>
      </c>
      <c r="D15" s="20" t="s">
        <v>328</v>
      </c>
      <c r="E15" s="47">
        <f>1118/3</f>
        <v>372.66666666666669</v>
      </c>
      <c r="F15" s="70">
        <f t="shared" ref="F15:F18" si="1">E15/SUM(E$13:E$18)</f>
        <v>0.33333333333333337</v>
      </c>
      <c r="G15" s="47"/>
      <c r="H15" s="47"/>
      <c r="I15" s="47"/>
      <c r="J15" s="50"/>
      <c r="K15" s="47"/>
      <c r="L15" s="47"/>
      <c r="M15" s="47"/>
      <c r="N15" s="47"/>
    </row>
    <row r="16" spans="1:14">
      <c r="A16" s="109"/>
      <c r="B16" s="49" t="s">
        <v>51</v>
      </c>
      <c r="C16" s="37"/>
      <c r="D16" s="20" t="s">
        <v>329</v>
      </c>
      <c r="E16" s="47"/>
      <c r="F16" s="70"/>
      <c r="G16" s="47"/>
      <c r="H16" s="47"/>
      <c r="I16" s="47"/>
      <c r="J16" s="50"/>
      <c r="K16" s="47"/>
      <c r="L16" s="47"/>
      <c r="M16" s="47"/>
      <c r="N16" s="47"/>
    </row>
    <row r="17" spans="1:14">
      <c r="A17" s="109"/>
      <c r="B17" s="49" t="s">
        <v>52</v>
      </c>
      <c r="C17" s="37" t="s">
        <v>927</v>
      </c>
      <c r="D17" s="20" t="s">
        <v>330</v>
      </c>
      <c r="E17" s="47">
        <f>1118/3</f>
        <v>372.66666666666669</v>
      </c>
      <c r="F17" s="70">
        <f t="shared" si="1"/>
        <v>0.33333333333333337</v>
      </c>
      <c r="G17" s="47"/>
      <c r="H17" s="47"/>
      <c r="I17" s="47"/>
      <c r="J17" s="50"/>
      <c r="K17" s="47"/>
      <c r="L17" s="47"/>
      <c r="M17" s="47"/>
      <c r="N17" s="47"/>
    </row>
    <row r="18" spans="1:14">
      <c r="A18" s="109"/>
      <c r="B18" s="49" t="s">
        <v>48</v>
      </c>
      <c r="C18" s="37" t="s">
        <v>928</v>
      </c>
      <c r="D18" s="20" t="s">
        <v>331</v>
      </c>
      <c r="E18" s="47">
        <f>1118/3</f>
        <v>372.66666666666669</v>
      </c>
      <c r="F18" s="70">
        <f t="shared" si="1"/>
        <v>0.33333333333333337</v>
      </c>
      <c r="G18" s="47"/>
      <c r="H18" s="47"/>
      <c r="I18" s="47"/>
      <c r="J18" s="50"/>
      <c r="K18" s="47"/>
      <c r="L18" s="47"/>
      <c r="M18" s="47"/>
      <c r="N18" s="47"/>
    </row>
    <row r="19" spans="1:14">
      <c r="A19" s="109" t="s">
        <v>5</v>
      </c>
      <c r="B19" s="49" t="s">
        <v>54</v>
      </c>
      <c r="C19" s="37" t="s">
        <v>924</v>
      </c>
      <c r="D19" s="20" t="s">
        <v>332</v>
      </c>
      <c r="E19" s="105">
        <v>350</v>
      </c>
      <c r="F19" s="70">
        <v>1</v>
      </c>
      <c r="G19" s="47"/>
      <c r="H19" s="47"/>
      <c r="I19" s="47"/>
      <c r="J19" s="50"/>
      <c r="K19" s="47"/>
      <c r="L19" s="47"/>
      <c r="M19" s="47"/>
      <c r="N19" s="47"/>
    </row>
    <row r="20" spans="1:14">
      <c r="A20" s="109"/>
      <c r="B20" s="49" t="s">
        <v>53</v>
      </c>
      <c r="C20" s="37"/>
      <c r="D20" s="20" t="s">
        <v>333</v>
      </c>
      <c r="E20" s="47"/>
      <c r="F20" s="70"/>
      <c r="G20" s="47"/>
      <c r="H20" s="47"/>
      <c r="I20" s="47"/>
      <c r="J20" s="50"/>
      <c r="K20" s="47"/>
      <c r="L20" s="47"/>
      <c r="M20" s="47"/>
      <c r="N20" s="47"/>
    </row>
    <row r="21" spans="1:14">
      <c r="A21" s="109"/>
      <c r="B21" s="49" t="s">
        <v>60</v>
      </c>
      <c r="C21" s="37"/>
      <c r="D21" s="20" t="s">
        <v>334</v>
      </c>
      <c r="E21" s="47"/>
      <c r="F21" s="70"/>
      <c r="G21" s="47"/>
      <c r="H21" s="47"/>
      <c r="I21" s="47"/>
      <c r="J21" s="50"/>
      <c r="K21" s="47"/>
      <c r="L21" s="47"/>
      <c r="M21" s="47"/>
      <c r="N21" s="47"/>
    </row>
    <row r="22" spans="1:14">
      <c r="A22" s="109"/>
      <c r="B22" s="49" t="s">
        <v>58</v>
      </c>
      <c r="C22" s="52"/>
      <c r="D22" s="20" t="s">
        <v>335</v>
      </c>
      <c r="E22" s="105"/>
      <c r="F22" s="70"/>
      <c r="G22" s="47" t="s">
        <v>4983</v>
      </c>
      <c r="H22" s="47"/>
      <c r="I22" s="47"/>
      <c r="J22" s="50"/>
      <c r="K22" s="47"/>
      <c r="L22" s="47"/>
      <c r="M22" s="47"/>
      <c r="N22" s="47"/>
    </row>
    <row r="23" spans="1:14">
      <c r="A23" s="109"/>
      <c r="B23" s="49" t="s">
        <v>57</v>
      </c>
      <c r="C23" s="37"/>
      <c r="D23" s="20" t="s">
        <v>336</v>
      </c>
      <c r="E23" s="47"/>
      <c r="F23" s="70"/>
      <c r="G23" s="47"/>
      <c r="H23" s="47"/>
      <c r="I23" s="47"/>
      <c r="J23" s="50"/>
      <c r="K23" s="47"/>
      <c r="L23" s="47"/>
      <c r="M23" s="47"/>
      <c r="N23" s="47"/>
    </row>
    <row r="24" spans="1:14">
      <c r="A24" s="109"/>
      <c r="B24" s="49" t="s">
        <v>59</v>
      </c>
      <c r="C24" s="37"/>
      <c r="D24" s="20" t="s">
        <v>337</v>
      </c>
      <c r="E24" s="47"/>
      <c r="F24" s="70"/>
      <c r="G24" s="47"/>
      <c r="H24" s="47"/>
      <c r="I24" s="47"/>
      <c r="J24" s="50"/>
      <c r="K24" s="47"/>
      <c r="L24" s="47"/>
      <c r="M24" s="47"/>
      <c r="N24" s="47"/>
    </row>
    <row r="25" spans="1:14">
      <c r="A25" s="109"/>
      <c r="B25" s="49" t="s">
        <v>55</v>
      </c>
      <c r="C25" s="37"/>
      <c r="D25" s="20" t="s">
        <v>338</v>
      </c>
      <c r="E25" s="47"/>
      <c r="F25" s="70"/>
      <c r="G25" s="47"/>
      <c r="H25" s="47"/>
      <c r="I25" s="47"/>
      <c r="J25" s="50"/>
      <c r="K25" s="47"/>
      <c r="L25" s="47"/>
      <c r="M25" s="47"/>
      <c r="N25" s="47"/>
    </row>
    <row r="26" spans="1:14">
      <c r="A26" s="109"/>
      <c r="B26" s="49" t="s">
        <v>56</v>
      </c>
      <c r="C26" s="37"/>
      <c r="D26" s="20" t="s">
        <v>339</v>
      </c>
      <c r="E26" s="47"/>
      <c r="F26" s="70"/>
      <c r="G26" s="47"/>
      <c r="H26" s="47"/>
      <c r="I26" s="47"/>
      <c r="J26" s="50"/>
      <c r="K26" s="47"/>
      <c r="L26" s="47"/>
      <c r="M26" s="47"/>
      <c r="N26" s="47"/>
    </row>
    <row r="27" spans="1:14">
      <c r="A27" s="109" t="s">
        <v>6</v>
      </c>
      <c r="B27" s="49" t="s">
        <v>64</v>
      </c>
      <c r="C27" s="37"/>
      <c r="D27" s="20" t="s">
        <v>340</v>
      </c>
      <c r="E27" s="47"/>
      <c r="F27" s="70">
        <f xml:space="preserve"> 1/ ROWS(B27:B31)</f>
        <v>0.2</v>
      </c>
      <c r="G27" s="47" t="s">
        <v>950</v>
      </c>
      <c r="H27" s="47"/>
      <c r="I27" s="47"/>
      <c r="J27" s="50"/>
      <c r="K27" s="47"/>
      <c r="L27" s="47"/>
      <c r="M27" s="47"/>
      <c r="N27" s="47"/>
    </row>
    <row r="28" spans="1:14">
      <c r="A28" s="109"/>
      <c r="B28" s="49" t="s">
        <v>61</v>
      </c>
      <c r="C28" s="37"/>
      <c r="D28" s="20" t="s">
        <v>341</v>
      </c>
      <c r="E28" s="47"/>
      <c r="F28" s="70">
        <f t="shared" ref="F28:F31" si="2" xml:space="preserve"> 1/ ROWS(B28:B32)</f>
        <v>0.2</v>
      </c>
      <c r="G28" s="47" t="s">
        <v>950</v>
      </c>
      <c r="H28" s="47"/>
      <c r="I28" s="47"/>
      <c r="J28" s="50"/>
      <c r="K28" s="47"/>
      <c r="L28" s="47"/>
      <c r="M28" s="47"/>
      <c r="N28" s="47"/>
    </row>
    <row r="29" spans="1:14">
      <c r="A29" s="109"/>
      <c r="B29" s="49" t="s">
        <v>63</v>
      </c>
      <c r="C29" s="37"/>
      <c r="D29" s="20" t="s">
        <v>342</v>
      </c>
      <c r="E29" s="47"/>
      <c r="F29" s="70">
        <f t="shared" si="2"/>
        <v>0.2</v>
      </c>
      <c r="G29" s="47" t="s">
        <v>950</v>
      </c>
      <c r="H29" s="47"/>
      <c r="I29" s="47"/>
      <c r="J29" s="50"/>
      <c r="K29" s="47"/>
      <c r="L29" s="47"/>
      <c r="M29" s="47"/>
      <c r="N29" s="47"/>
    </row>
    <row r="30" spans="1:14">
      <c r="A30" s="109"/>
      <c r="B30" s="49" t="s">
        <v>65</v>
      </c>
      <c r="C30" s="37"/>
      <c r="D30" s="20" t="s">
        <v>343</v>
      </c>
      <c r="E30" s="47"/>
      <c r="F30" s="70">
        <f t="shared" si="2"/>
        <v>0.2</v>
      </c>
      <c r="G30" s="47" t="s">
        <v>950</v>
      </c>
      <c r="H30" s="47"/>
      <c r="I30" s="47"/>
      <c r="J30" s="50"/>
      <c r="K30" s="47"/>
      <c r="L30" s="47"/>
      <c r="M30" s="47"/>
      <c r="N30" s="47"/>
    </row>
    <row r="31" spans="1:14">
      <c r="A31" s="109"/>
      <c r="B31" s="49" t="s">
        <v>62</v>
      </c>
      <c r="C31" s="37"/>
      <c r="D31" s="20" t="s">
        <v>344</v>
      </c>
      <c r="E31" s="47"/>
      <c r="F31" s="70">
        <f t="shared" si="2"/>
        <v>0.2</v>
      </c>
      <c r="G31" s="47" t="s">
        <v>950</v>
      </c>
      <c r="H31" s="47"/>
      <c r="I31" s="47"/>
      <c r="J31" s="50"/>
      <c r="K31" s="47"/>
      <c r="L31" s="47"/>
      <c r="M31" s="47"/>
      <c r="N31" s="47"/>
    </row>
    <row r="32" spans="1:14">
      <c r="A32" s="109" t="s">
        <v>7</v>
      </c>
      <c r="B32" s="49" t="s">
        <v>101</v>
      </c>
      <c r="C32" s="37"/>
      <c r="D32" s="20" t="s">
        <v>345</v>
      </c>
      <c r="E32" s="47"/>
      <c r="F32" s="70"/>
      <c r="G32" s="47"/>
      <c r="H32" s="47"/>
      <c r="I32" s="47"/>
      <c r="J32" s="50"/>
      <c r="K32" s="47"/>
      <c r="L32" s="47"/>
      <c r="M32" s="47"/>
      <c r="N32" s="47"/>
    </row>
    <row r="33" spans="1:14">
      <c r="A33" s="109"/>
      <c r="B33" s="49" t="s">
        <v>102</v>
      </c>
      <c r="C33" s="37"/>
      <c r="D33" s="20" t="s">
        <v>346</v>
      </c>
      <c r="E33" s="47"/>
      <c r="F33" s="70"/>
      <c r="G33" s="47"/>
      <c r="H33" s="47"/>
      <c r="I33" s="47"/>
      <c r="J33" s="50"/>
      <c r="K33" s="47"/>
      <c r="L33" s="47"/>
      <c r="M33" s="47"/>
      <c r="N33" s="47"/>
    </row>
    <row r="34" spans="1:14">
      <c r="A34" s="109"/>
      <c r="B34" s="49" t="s">
        <v>103</v>
      </c>
      <c r="C34" s="37"/>
      <c r="D34" s="20" t="s">
        <v>347</v>
      </c>
      <c r="E34" s="47"/>
      <c r="F34" s="70"/>
      <c r="G34" s="47"/>
      <c r="H34" s="47"/>
      <c r="I34" s="47"/>
      <c r="J34" s="50"/>
      <c r="K34" s="47"/>
      <c r="L34" s="47"/>
      <c r="M34" s="47"/>
      <c r="N34" s="47"/>
    </row>
    <row r="35" spans="1:14">
      <c r="A35" s="109"/>
      <c r="B35" s="49" t="s">
        <v>100</v>
      </c>
      <c r="C35" s="37"/>
      <c r="D35" s="20" t="s">
        <v>348</v>
      </c>
      <c r="E35" s="47"/>
      <c r="F35" s="70"/>
      <c r="G35" s="47"/>
      <c r="H35" s="47"/>
      <c r="I35" s="47"/>
      <c r="J35" s="50"/>
      <c r="K35" s="47"/>
      <c r="L35" s="47"/>
      <c r="M35" s="47"/>
      <c r="N35" s="47"/>
    </row>
    <row r="36" spans="1:14">
      <c r="A36" s="109"/>
      <c r="B36" s="49" t="s">
        <v>97</v>
      </c>
      <c r="C36" s="54"/>
      <c r="D36" s="20" t="s">
        <v>349</v>
      </c>
      <c r="E36" s="47"/>
      <c r="F36" s="70"/>
      <c r="G36" s="47"/>
      <c r="H36" s="47"/>
      <c r="I36" s="47"/>
      <c r="J36" s="50"/>
      <c r="K36" s="47"/>
      <c r="L36" s="47"/>
      <c r="M36" s="47"/>
      <c r="N36" s="47"/>
    </row>
    <row r="37" spans="1:14">
      <c r="A37" s="109"/>
      <c r="B37" s="49" t="s">
        <v>98</v>
      </c>
      <c r="C37" s="37"/>
      <c r="D37" s="20" t="s">
        <v>350</v>
      </c>
      <c r="E37" s="47"/>
      <c r="F37" s="70"/>
      <c r="G37" s="47"/>
      <c r="H37" s="47"/>
      <c r="I37" s="47"/>
      <c r="J37" s="50"/>
      <c r="K37" s="47"/>
      <c r="L37" s="47"/>
      <c r="M37" s="47"/>
      <c r="N37" s="47"/>
    </row>
    <row r="38" spans="1:14">
      <c r="A38" s="109"/>
      <c r="B38" s="49" t="s">
        <v>95</v>
      </c>
      <c r="C38" s="37"/>
      <c r="D38" s="20" t="s">
        <v>351</v>
      </c>
      <c r="E38" s="47"/>
      <c r="F38" s="70"/>
      <c r="G38" s="47"/>
      <c r="H38" s="47"/>
      <c r="I38" s="47"/>
      <c r="J38" s="50"/>
      <c r="K38" s="47"/>
      <c r="L38" s="47"/>
      <c r="M38" s="47"/>
      <c r="N38" s="47"/>
    </row>
    <row r="39" spans="1:14">
      <c r="A39" s="109"/>
      <c r="B39" s="49" t="s">
        <v>96</v>
      </c>
      <c r="C39" s="37"/>
      <c r="D39" s="20" t="s">
        <v>352</v>
      </c>
      <c r="E39" s="47"/>
      <c r="F39" s="70"/>
      <c r="G39" s="47"/>
      <c r="H39" s="47"/>
      <c r="I39" s="47"/>
      <c r="J39" s="50"/>
      <c r="K39" s="47"/>
      <c r="L39" s="47"/>
      <c r="M39" s="47"/>
      <c r="N39" s="47"/>
    </row>
    <row r="40" spans="1:14">
      <c r="A40" s="109"/>
      <c r="B40" s="49" t="s">
        <v>99</v>
      </c>
      <c r="C40" s="37"/>
      <c r="D40" s="20" t="s">
        <v>353</v>
      </c>
      <c r="E40" s="47"/>
      <c r="F40" s="70"/>
      <c r="G40" s="47"/>
      <c r="H40" s="47"/>
      <c r="I40" s="47"/>
      <c r="J40" s="50"/>
      <c r="K40" s="47"/>
      <c r="L40" s="47"/>
      <c r="M40" s="47"/>
      <c r="N40" s="47"/>
    </row>
    <row r="41" spans="1:14">
      <c r="A41" s="109"/>
      <c r="B41" s="49" t="s">
        <v>93</v>
      </c>
      <c r="C41" s="37"/>
      <c r="D41" s="20" t="s">
        <v>354</v>
      </c>
      <c r="E41" s="47"/>
      <c r="F41" s="70"/>
      <c r="G41" s="47"/>
      <c r="H41" s="47"/>
      <c r="I41" s="47"/>
      <c r="J41" s="50"/>
      <c r="K41" s="47"/>
      <c r="L41" s="47"/>
      <c r="M41" s="47"/>
      <c r="N41" s="47"/>
    </row>
    <row r="42" spans="1:14">
      <c r="A42" s="109"/>
      <c r="B42" s="49" t="s">
        <v>94</v>
      </c>
      <c r="C42" s="37"/>
      <c r="D42" s="20" t="s">
        <v>355</v>
      </c>
      <c r="E42" s="47"/>
      <c r="F42" s="70"/>
      <c r="G42" s="47"/>
      <c r="H42" s="47"/>
      <c r="I42" s="47"/>
      <c r="J42" s="50"/>
      <c r="K42" s="47"/>
      <c r="L42" s="47"/>
      <c r="M42" s="47"/>
      <c r="N42" s="47"/>
    </row>
    <row r="43" spans="1:14">
      <c r="A43" s="109"/>
      <c r="B43" s="49" t="s">
        <v>92</v>
      </c>
      <c r="C43" s="37"/>
      <c r="D43" s="20" t="s">
        <v>356</v>
      </c>
      <c r="E43" s="47"/>
      <c r="F43" s="70"/>
      <c r="G43" s="47"/>
      <c r="H43" s="47"/>
      <c r="I43" s="47"/>
      <c r="J43" s="50"/>
      <c r="K43" s="47"/>
      <c r="L43" s="47"/>
      <c r="M43" s="47"/>
      <c r="N43" s="47"/>
    </row>
    <row r="44" spans="1:14">
      <c r="A44" s="109"/>
      <c r="B44" s="49" t="s">
        <v>91</v>
      </c>
      <c r="C44" s="37"/>
      <c r="D44" s="20" t="s">
        <v>357</v>
      </c>
      <c r="E44" s="47"/>
      <c r="F44" s="70"/>
      <c r="G44" s="47"/>
      <c r="H44" s="47"/>
      <c r="I44" s="47"/>
      <c r="J44" s="50"/>
      <c r="K44" s="47"/>
      <c r="L44" s="47"/>
      <c r="M44" s="47"/>
      <c r="N44" s="47"/>
    </row>
    <row r="45" spans="1:14">
      <c r="A45" s="109"/>
      <c r="B45" s="49" t="s">
        <v>90</v>
      </c>
      <c r="C45" s="37"/>
      <c r="D45" s="20" t="s">
        <v>358</v>
      </c>
      <c r="E45" s="47"/>
      <c r="F45" s="70"/>
      <c r="G45" s="47"/>
      <c r="H45" s="47"/>
      <c r="I45" s="47"/>
      <c r="J45" s="50"/>
      <c r="K45" s="47"/>
      <c r="L45" s="47"/>
      <c r="M45" s="47"/>
      <c r="N45" s="47"/>
    </row>
    <row r="46" spans="1:14">
      <c r="A46" s="109"/>
      <c r="B46" s="49" t="s">
        <v>89</v>
      </c>
      <c r="C46" s="37"/>
      <c r="D46" s="20" t="s">
        <v>359</v>
      </c>
      <c r="E46" s="47"/>
      <c r="F46" s="70"/>
      <c r="G46" s="47"/>
      <c r="H46" s="47"/>
      <c r="I46" s="47"/>
      <c r="J46" s="50"/>
      <c r="K46" s="47"/>
      <c r="L46" s="47"/>
      <c r="M46" s="47"/>
      <c r="N46" s="47"/>
    </row>
    <row r="47" spans="1:14">
      <c r="A47" s="109"/>
      <c r="B47" s="49" t="s">
        <v>88</v>
      </c>
      <c r="C47" s="37"/>
      <c r="D47" s="20" t="s">
        <v>360</v>
      </c>
      <c r="E47" s="47"/>
      <c r="F47" s="70"/>
      <c r="G47" s="47"/>
      <c r="H47" s="47"/>
      <c r="I47" s="47"/>
      <c r="J47" s="50"/>
      <c r="K47" s="47"/>
      <c r="L47" s="47"/>
      <c r="M47" s="47"/>
      <c r="N47" s="47"/>
    </row>
    <row r="48" spans="1:14">
      <c r="A48" s="109"/>
      <c r="B48" s="49" t="s">
        <v>87</v>
      </c>
      <c r="C48" s="37"/>
      <c r="D48" s="20" t="s">
        <v>361</v>
      </c>
      <c r="E48" s="47"/>
      <c r="F48" s="70"/>
      <c r="G48" s="47"/>
      <c r="H48" s="47"/>
      <c r="I48" s="47"/>
      <c r="J48" s="50"/>
      <c r="K48" s="47"/>
      <c r="L48" s="47"/>
      <c r="M48" s="47"/>
      <c r="N48" s="47"/>
    </row>
    <row r="49" spans="1:14">
      <c r="A49" s="109"/>
      <c r="B49" s="49" t="s">
        <v>86</v>
      </c>
      <c r="C49" s="37"/>
      <c r="D49" s="20" t="s">
        <v>362</v>
      </c>
      <c r="E49" s="47"/>
      <c r="F49" s="70"/>
      <c r="G49" s="47"/>
      <c r="H49" s="47"/>
      <c r="I49" s="47"/>
      <c r="J49" s="50"/>
      <c r="K49" s="47"/>
      <c r="L49" s="47"/>
      <c r="M49" s="47"/>
      <c r="N49" s="47"/>
    </row>
    <row r="50" spans="1:14" ht="29.25">
      <c r="A50" s="109"/>
      <c r="B50" s="49" t="s">
        <v>85</v>
      </c>
      <c r="C50" s="37"/>
      <c r="D50" s="20" t="s">
        <v>363</v>
      </c>
      <c r="E50" s="47"/>
      <c r="F50" s="70"/>
      <c r="G50" s="47"/>
      <c r="H50" s="47"/>
      <c r="I50" s="47"/>
      <c r="J50" s="50"/>
      <c r="K50" s="47"/>
      <c r="L50" s="47"/>
      <c r="M50" s="47"/>
      <c r="N50" s="47"/>
    </row>
    <row r="51" spans="1:14">
      <c r="A51" s="109"/>
      <c r="B51" s="49" t="s">
        <v>84</v>
      </c>
      <c r="C51" s="37"/>
      <c r="D51" s="20" t="s">
        <v>364</v>
      </c>
      <c r="E51" s="47"/>
      <c r="F51" s="70"/>
      <c r="G51" s="47"/>
      <c r="H51" s="47"/>
      <c r="I51" s="47"/>
      <c r="J51" s="50"/>
      <c r="K51" s="47"/>
      <c r="L51" s="47"/>
      <c r="M51" s="47"/>
      <c r="N51" s="47"/>
    </row>
    <row r="52" spans="1:14">
      <c r="A52" s="109"/>
      <c r="B52" s="49" t="s">
        <v>83</v>
      </c>
      <c r="C52" s="37"/>
      <c r="D52" s="20" t="s">
        <v>365</v>
      </c>
      <c r="E52" s="47"/>
      <c r="F52" s="70"/>
      <c r="G52" s="47"/>
      <c r="H52" s="47"/>
      <c r="I52" s="47"/>
      <c r="J52" s="50"/>
      <c r="K52" s="47"/>
      <c r="L52" s="47"/>
      <c r="M52" s="47"/>
      <c r="N52" s="47"/>
    </row>
    <row r="53" spans="1:14">
      <c r="A53" s="109"/>
      <c r="B53" s="49" t="s">
        <v>82</v>
      </c>
      <c r="C53" s="37"/>
      <c r="D53" s="20" t="s">
        <v>366</v>
      </c>
      <c r="E53" s="47"/>
      <c r="F53" s="70"/>
      <c r="G53" s="47"/>
      <c r="H53" s="47"/>
      <c r="I53" s="47"/>
      <c r="J53" s="50"/>
      <c r="K53" s="47"/>
      <c r="L53" s="47"/>
      <c r="M53" s="47"/>
      <c r="N53" s="47"/>
    </row>
    <row r="54" spans="1:14">
      <c r="A54" s="109"/>
      <c r="B54" s="49" t="s">
        <v>81</v>
      </c>
      <c r="C54" s="37"/>
      <c r="D54" s="20" t="s">
        <v>367</v>
      </c>
      <c r="E54" s="47"/>
      <c r="F54" s="70"/>
      <c r="G54" s="47"/>
      <c r="H54" s="47"/>
      <c r="I54" s="47"/>
      <c r="J54" s="50"/>
      <c r="K54" s="47"/>
      <c r="L54" s="47"/>
      <c r="M54" s="47"/>
      <c r="N54" s="47"/>
    </row>
    <row r="55" spans="1:14">
      <c r="A55" s="109"/>
      <c r="B55" s="49" t="s">
        <v>78</v>
      </c>
      <c r="C55" s="53" t="s">
        <v>686</v>
      </c>
      <c r="D55" s="20" t="s">
        <v>368</v>
      </c>
      <c r="E55" s="47">
        <v>260</v>
      </c>
      <c r="F55" s="70">
        <f t="shared" ref="F55:F68" si="3">E55/SUM(E$32:E$69)</f>
        <v>7.9877112135176648E-2</v>
      </c>
      <c r="G55" s="47"/>
      <c r="H55" s="47"/>
      <c r="I55" s="47"/>
      <c r="J55" s="50"/>
      <c r="K55" s="47"/>
      <c r="L55" s="47"/>
      <c r="M55" s="47"/>
      <c r="N55" s="47"/>
    </row>
    <row r="56" spans="1:14">
      <c r="A56" s="109"/>
      <c r="B56" s="49" t="s">
        <v>77</v>
      </c>
      <c r="C56" s="54" t="s">
        <v>897</v>
      </c>
      <c r="D56" s="20" t="s">
        <v>369</v>
      </c>
      <c r="E56" s="47">
        <v>330</v>
      </c>
      <c r="F56" s="70">
        <f t="shared" si="3"/>
        <v>0.10138248847926268</v>
      </c>
      <c r="G56" s="47"/>
      <c r="H56" s="47"/>
      <c r="I56" s="47"/>
      <c r="J56" s="50"/>
      <c r="K56" s="47"/>
      <c r="L56" s="47"/>
      <c r="M56" s="47"/>
      <c r="N56" s="47"/>
    </row>
    <row r="57" spans="1:14">
      <c r="A57" s="109"/>
      <c r="B57" s="49" t="s">
        <v>76</v>
      </c>
      <c r="C57" s="37"/>
      <c r="D57" s="20" t="s">
        <v>370</v>
      </c>
      <c r="E57" s="47"/>
      <c r="F57" s="70"/>
      <c r="G57" s="47"/>
      <c r="H57" s="47"/>
      <c r="I57" s="47"/>
      <c r="J57" s="50"/>
      <c r="K57" s="47"/>
      <c r="L57" s="47"/>
      <c r="M57" s="47"/>
      <c r="N57" s="47"/>
    </row>
    <row r="58" spans="1:14">
      <c r="A58" s="109"/>
      <c r="B58" s="49" t="s">
        <v>79</v>
      </c>
      <c r="C58" s="37"/>
      <c r="D58" s="20" t="s">
        <v>371</v>
      </c>
      <c r="E58" s="47"/>
      <c r="F58" s="70"/>
      <c r="G58" s="47"/>
      <c r="H58" s="47"/>
      <c r="I58" s="47"/>
      <c r="J58" s="50"/>
      <c r="K58" s="47"/>
      <c r="L58" s="47"/>
      <c r="M58" s="47"/>
      <c r="N58" s="47"/>
    </row>
    <row r="59" spans="1:14">
      <c r="A59" s="109"/>
      <c r="B59" s="49" t="s">
        <v>80</v>
      </c>
      <c r="C59" s="37"/>
      <c r="D59" s="20" t="s">
        <v>372</v>
      </c>
      <c r="E59" s="47"/>
      <c r="F59" s="70"/>
      <c r="G59" s="47"/>
      <c r="H59" s="47"/>
      <c r="I59" s="47"/>
      <c r="J59" s="50"/>
      <c r="K59" s="47"/>
      <c r="L59" s="47"/>
      <c r="M59" s="47"/>
      <c r="N59" s="47"/>
    </row>
    <row r="60" spans="1:14">
      <c r="A60" s="109"/>
      <c r="B60" s="49" t="s">
        <v>75</v>
      </c>
      <c r="C60" s="37"/>
      <c r="D60" s="20" t="s">
        <v>373</v>
      </c>
      <c r="E60" s="47"/>
      <c r="F60" s="70"/>
      <c r="G60" s="47"/>
      <c r="H60" s="47"/>
      <c r="I60" s="47"/>
      <c r="J60" s="50"/>
      <c r="K60" s="47"/>
      <c r="L60" s="47"/>
      <c r="M60" s="47"/>
      <c r="N60" s="47"/>
    </row>
    <row r="61" spans="1:14">
      <c r="A61" s="109"/>
      <c r="B61" s="49" t="s">
        <v>73</v>
      </c>
      <c r="C61" s="37"/>
      <c r="D61" s="20" t="s">
        <v>374</v>
      </c>
      <c r="E61" s="47"/>
      <c r="F61" s="70"/>
      <c r="G61" s="47"/>
      <c r="H61" s="47"/>
      <c r="I61" s="47"/>
      <c r="J61" s="50"/>
      <c r="K61" s="47"/>
      <c r="L61" s="47"/>
      <c r="M61" s="47"/>
      <c r="N61" s="47"/>
    </row>
    <row r="62" spans="1:14">
      <c r="A62" s="109"/>
      <c r="B62" s="49" t="s">
        <v>74</v>
      </c>
      <c r="C62" s="3" t="s">
        <v>688</v>
      </c>
      <c r="D62" s="20" t="s">
        <v>375</v>
      </c>
      <c r="E62" s="47">
        <v>875</v>
      </c>
      <c r="F62" s="70">
        <f t="shared" si="3"/>
        <v>0.26881720430107525</v>
      </c>
      <c r="G62" s="47"/>
      <c r="H62" s="47"/>
      <c r="I62" s="47"/>
      <c r="J62" s="50"/>
      <c r="K62" s="47"/>
      <c r="L62" s="47"/>
      <c r="M62" s="47"/>
      <c r="N62" s="47"/>
    </row>
    <row r="63" spans="1:14">
      <c r="A63" s="109"/>
      <c r="B63" s="49" t="s">
        <v>72</v>
      </c>
      <c r="C63" s="37"/>
      <c r="D63" s="20" t="s">
        <v>376</v>
      </c>
      <c r="E63" s="47"/>
      <c r="F63" s="70"/>
      <c r="G63" s="47"/>
      <c r="H63" s="47"/>
      <c r="I63" s="47"/>
      <c r="J63" s="50"/>
      <c r="K63" s="47"/>
      <c r="L63" s="47"/>
      <c r="M63" s="47"/>
      <c r="N63" s="47"/>
    </row>
    <row r="64" spans="1:14">
      <c r="A64" s="109"/>
      <c r="B64" s="49" t="s">
        <v>69</v>
      </c>
      <c r="C64" s="37"/>
      <c r="D64" s="20" t="s">
        <v>377</v>
      </c>
      <c r="E64" s="47"/>
      <c r="F64" s="70"/>
      <c r="G64" s="47"/>
      <c r="H64" s="47"/>
      <c r="I64" s="47"/>
      <c r="J64" s="50"/>
      <c r="K64" s="47"/>
      <c r="L64" s="47"/>
      <c r="M64" s="47"/>
      <c r="N64" s="47"/>
    </row>
    <row r="65" spans="1:14">
      <c r="A65" s="109"/>
      <c r="B65" s="49" t="s">
        <v>70</v>
      </c>
      <c r="C65" s="37"/>
      <c r="D65" s="20" t="s">
        <v>378</v>
      </c>
      <c r="E65" s="47"/>
      <c r="F65" s="70"/>
      <c r="G65" s="47"/>
      <c r="H65" s="47"/>
      <c r="I65" s="47"/>
      <c r="J65" s="50"/>
      <c r="K65" s="47"/>
      <c r="L65" s="47"/>
      <c r="M65" s="47"/>
      <c r="N65" s="47"/>
    </row>
    <row r="66" spans="1:14">
      <c r="A66" s="109"/>
      <c r="B66" s="49" t="s">
        <v>68</v>
      </c>
      <c r="C66" s="53"/>
      <c r="D66" s="20" t="s">
        <v>379</v>
      </c>
      <c r="E66" s="47"/>
      <c r="F66" s="70"/>
      <c r="G66" s="47"/>
      <c r="H66" s="47"/>
      <c r="I66" s="47"/>
      <c r="J66" s="50"/>
      <c r="K66" s="47"/>
      <c r="L66" s="47"/>
      <c r="M66" s="47"/>
      <c r="N66" s="47"/>
    </row>
    <row r="67" spans="1:14" ht="29.25">
      <c r="A67" s="109"/>
      <c r="B67" s="49" t="s">
        <v>71</v>
      </c>
      <c r="C67" s="37" t="s">
        <v>922</v>
      </c>
      <c r="D67" s="20" t="s">
        <v>380</v>
      </c>
      <c r="E67" s="47">
        <v>1090</v>
      </c>
      <c r="F67" s="70">
        <f t="shared" si="3"/>
        <v>0.3348694316436252</v>
      </c>
      <c r="G67" s="47"/>
      <c r="H67" s="47"/>
      <c r="I67" s="47"/>
      <c r="J67" s="50"/>
      <c r="K67" s="47"/>
      <c r="L67" s="47"/>
      <c r="M67" s="47"/>
      <c r="N67" s="47"/>
    </row>
    <row r="68" spans="1:14">
      <c r="A68" s="109"/>
      <c r="B68" s="49" t="s">
        <v>67</v>
      </c>
      <c r="C68" s="53" t="s">
        <v>923</v>
      </c>
      <c r="D68" s="20" t="s">
        <v>381</v>
      </c>
      <c r="E68" s="47">
        <v>700</v>
      </c>
      <c r="F68" s="70">
        <f t="shared" si="3"/>
        <v>0.21505376344086022</v>
      </c>
      <c r="G68" s="47"/>
      <c r="H68" s="47"/>
      <c r="I68" s="47"/>
      <c r="J68" s="50"/>
      <c r="K68" s="47"/>
      <c r="L68" s="47"/>
      <c r="M68" s="47"/>
      <c r="N68" s="47"/>
    </row>
    <row r="69" spans="1:14">
      <c r="A69" s="109"/>
      <c r="B69" s="49" t="s">
        <v>66</v>
      </c>
      <c r="C69" s="37"/>
      <c r="D69" s="20" t="s">
        <v>382</v>
      </c>
      <c r="E69" s="47"/>
      <c r="F69" s="70"/>
      <c r="G69" s="47"/>
      <c r="H69" s="47"/>
      <c r="I69" s="47"/>
      <c r="J69" s="50"/>
      <c r="K69" s="47"/>
      <c r="L69" s="47"/>
      <c r="M69" s="47"/>
      <c r="N69" s="47"/>
    </row>
    <row r="70" spans="1:14">
      <c r="A70" s="48" t="s">
        <v>622</v>
      </c>
      <c r="B70" s="49" t="s">
        <v>383</v>
      </c>
      <c r="C70" s="37"/>
      <c r="D70" s="20" t="s">
        <v>384</v>
      </c>
      <c r="E70" s="47">
        <v>200</v>
      </c>
      <c r="F70" s="70">
        <v>1</v>
      </c>
      <c r="G70" s="47"/>
      <c r="H70" s="47"/>
      <c r="I70" s="47"/>
      <c r="J70" s="50"/>
      <c r="K70" s="47"/>
      <c r="L70" s="47"/>
      <c r="M70" s="47"/>
      <c r="N70" s="47"/>
    </row>
    <row r="71" spans="1:14">
      <c r="A71" s="109" t="s">
        <v>8</v>
      </c>
      <c r="B71" s="49" t="s">
        <v>106</v>
      </c>
      <c r="C71" s="37"/>
      <c r="D71" s="20" t="s">
        <v>385</v>
      </c>
      <c r="E71" s="47"/>
      <c r="F71" s="70">
        <f xml:space="preserve"> 1/ ROWS(B71:B73)</f>
        <v>0.33333333333333331</v>
      </c>
      <c r="G71" s="47" t="s">
        <v>950</v>
      </c>
      <c r="H71" s="47"/>
      <c r="I71" s="47"/>
      <c r="J71" s="50"/>
      <c r="K71" s="47"/>
      <c r="L71" s="47"/>
      <c r="M71" s="47"/>
      <c r="N71" s="47"/>
    </row>
    <row r="72" spans="1:14">
      <c r="A72" s="109"/>
      <c r="B72" s="49" t="s">
        <v>105</v>
      </c>
      <c r="C72" s="37"/>
      <c r="D72" s="20" t="s">
        <v>386</v>
      </c>
      <c r="E72" s="47"/>
      <c r="F72" s="70">
        <f t="shared" ref="F72:F73" si="4" xml:space="preserve"> 1/ ROWS(B72:B74)</f>
        <v>0.33333333333333331</v>
      </c>
      <c r="G72" s="47" t="s">
        <v>950</v>
      </c>
      <c r="H72" s="47"/>
      <c r="I72" s="47"/>
      <c r="J72" s="50"/>
      <c r="K72" s="47"/>
      <c r="L72" s="47"/>
      <c r="M72" s="47"/>
      <c r="N72" s="47"/>
    </row>
    <row r="73" spans="1:14">
      <c r="A73" s="109"/>
      <c r="B73" s="49" t="s">
        <v>104</v>
      </c>
      <c r="C73" s="37"/>
      <c r="D73" s="20" t="s">
        <v>387</v>
      </c>
      <c r="E73" s="47"/>
      <c r="F73" s="70">
        <f t="shared" si="4"/>
        <v>0.33333333333333331</v>
      </c>
      <c r="G73" s="47" t="s">
        <v>950</v>
      </c>
      <c r="H73" s="47"/>
      <c r="I73" s="47"/>
      <c r="J73" s="50"/>
      <c r="K73" s="47"/>
      <c r="L73" s="47"/>
      <c r="M73" s="47"/>
      <c r="N73" s="47"/>
    </row>
    <row r="74" spans="1:14">
      <c r="A74" s="109" t="s">
        <v>9</v>
      </c>
      <c r="B74" s="49" t="s">
        <v>114</v>
      </c>
      <c r="C74" s="37"/>
      <c r="D74" s="20" t="s">
        <v>388</v>
      </c>
      <c r="E74" s="47"/>
      <c r="F74" s="70"/>
      <c r="G74" s="47"/>
      <c r="H74" s="47"/>
      <c r="I74" s="47"/>
      <c r="J74" s="50"/>
      <c r="K74" s="47"/>
      <c r="L74" s="47"/>
      <c r="M74" s="47"/>
      <c r="N74" s="47"/>
    </row>
    <row r="75" spans="1:14">
      <c r="A75" s="109"/>
      <c r="B75" s="49" t="s">
        <v>389</v>
      </c>
      <c r="C75" s="37"/>
      <c r="D75" s="20" t="s">
        <v>390</v>
      </c>
      <c r="E75" s="47"/>
      <c r="F75" s="70"/>
      <c r="G75" s="47"/>
      <c r="H75" s="47"/>
      <c r="I75" s="47"/>
      <c r="J75" s="50"/>
      <c r="K75" s="47"/>
      <c r="L75" s="47"/>
      <c r="M75" s="47"/>
      <c r="N75" s="47"/>
    </row>
    <row r="76" spans="1:14">
      <c r="A76" s="109"/>
      <c r="B76" s="49" t="s">
        <v>391</v>
      </c>
      <c r="C76" s="37"/>
      <c r="D76" s="20" t="s">
        <v>392</v>
      </c>
      <c r="E76" s="47"/>
      <c r="F76" s="70"/>
      <c r="G76" s="47"/>
      <c r="H76" s="47"/>
      <c r="I76" s="47"/>
      <c r="J76" s="47"/>
      <c r="K76" s="47"/>
      <c r="L76" s="47"/>
      <c r="M76" s="47"/>
      <c r="N76" s="47"/>
    </row>
    <row r="77" spans="1:14">
      <c r="A77" s="109"/>
      <c r="B77" s="49" t="s">
        <v>393</v>
      </c>
      <c r="C77" s="37"/>
      <c r="D77" s="20" t="s">
        <v>394</v>
      </c>
      <c r="E77" s="47"/>
      <c r="F77" s="70"/>
      <c r="G77" s="47"/>
      <c r="H77" s="47"/>
      <c r="I77" s="47"/>
      <c r="J77" s="47"/>
      <c r="K77" s="47"/>
      <c r="L77" s="47"/>
      <c r="M77" s="47"/>
      <c r="N77" s="47"/>
    </row>
    <row r="78" spans="1:14" ht="29.25">
      <c r="A78" s="109"/>
      <c r="B78" s="49" t="s">
        <v>115</v>
      </c>
      <c r="C78" s="37" t="s">
        <v>918</v>
      </c>
      <c r="D78" s="20" t="s">
        <v>395</v>
      </c>
      <c r="E78" s="47">
        <v>150</v>
      </c>
      <c r="F78" s="70">
        <v>1</v>
      </c>
      <c r="G78" s="47"/>
      <c r="H78" s="47"/>
      <c r="I78" s="47"/>
      <c r="J78" s="47"/>
      <c r="K78" s="47"/>
      <c r="L78" s="47"/>
      <c r="M78" s="47"/>
      <c r="N78" s="47"/>
    </row>
    <row r="79" spans="1:14">
      <c r="A79" s="109"/>
      <c r="B79" s="49" t="s">
        <v>110</v>
      </c>
      <c r="C79" s="37"/>
      <c r="D79" s="20" t="s">
        <v>396</v>
      </c>
      <c r="E79" s="47"/>
      <c r="F79" s="70"/>
      <c r="G79" s="47"/>
      <c r="H79" s="47"/>
      <c r="I79" s="47"/>
      <c r="J79" s="47"/>
      <c r="K79" s="47"/>
      <c r="L79" s="47"/>
      <c r="M79" s="47"/>
      <c r="N79" s="47"/>
    </row>
    <row r="80" spans="1:14">
      <c r="A80" s="109"/>
      <c r="B80" s="49" t="s">
        <v>112</v>
      </c>
      <c r="C80" s="37"/>
      <c r="D80" s="20" t="s">
        <v>397</v>
      </c>
      <c r="E80" s="47"/>
      <c r="F80" s="70"/>
      <c r="G80" s="47"/>
      <c r="H80" s="47"/>
      <c r="I80" s="47"/>
      <c r="J80" s="47"/>
      <c r="K80" s="47"/>
      <c r="L80" s="47"/>
      <c r="M80" s="47"/>
      <c r="N80" s="47"/>
    </row>
    <row r="81" spans="1:14">
      <c r="A81" s="109"/>
      <c r="B81" s="49" t="s">
        <v>111</v>
      </c>
      <c r="C81" s="37"/>
      <c r="D81" s="20" t="s">
        <v>398</v>
      </c>
      <c r="E81" s="47"/>
      <c r="F81" s="70"/>
      <c r="G81" s="47"/>
      <c r="H81" s="47"/>
      <c r="I81" s="47"/>
      <c r="J81" s="47"/>
      <c r="K81" s="47"/>
      <c r="L81" s="47"/>
      <c r="M81" s="47"/>
      <c r="N81" s="47"/>
    </row>
    <row r="82" spans="1:14">
      <c r="A82" s="109"/>
      <c r="B82" s="49" t="s">
        <v>107</v>
      </c>
      <c r="C82" s="37"/>
      <c r="D82" s="20" t="s">
        <v>399</v>
      </c>
      <c r="E82" s="47"/>
      <c r="F82" s="70"/>
      <c r="G82" s="47"/>
      <c r="H82" s="47"/>
      <c r="I82" s="47"/>
      <c r="J82" s="47"/>
      <c r="K82" s="47"/>
      <c r="L82" s="47"/>
      <c r="M82" s="47"/>
      <c r="N82" s="47"/>
    </row>
    <row r="83" spans="1:14">
      <c r="A83" s="109"/>
      <c r="B83" s="49" t="s">
        <v>400</v>
      </c>
      <c r="C83" s="37"/>
      <c r="D83" s="20" t="s">
        <v>401</v>
      </c>
      <c r="E83" s="47"/>
      <c r="F83" s="70"/>
      <c r="G83" s="47"/>
      <c r="H83" s="47"/>
      <c r="I83" s="47"/>
      <c r="J83" s="47"/>
      <c r="K83" s="47"/>
      <c r="L83" s="47"/>
      <c r="M83" s="47"/>
      <c r="N83" s="47"/>
    </row>
    <row r="84" spans="1:14">
      <c r="A84" s="109"/>
      <c r="B84" s="49" t="s">
        <v>113</v>
      </c>
      <c r="C84" s="37"/>
      <c r="D84" s="20" t="s">
        <v>402</v>
      </c>
      <c r="E84" s="47"/>
      <c r="F84" s="70"/>
      <c r="G84" s="47"/>
      <c r="H84" s="47"/>
      <c r="I84" s="47"/>
      <c r="J84" s="47"/>
      <c r="K84" s="47"/>
      <c r="L84" s="47"/>
      <c r="M84" s="47"/>
      <c r="N84" s="47"/>
    </row>
    <row r="85" spans="1:14">
      <c r="A85" s="109"/>
      <c r="B85" s="49" t="s">
        <v>108</v>
      </c>
      <c r="C85" s="37"/>
      <c r="D85" s="20" t="s">
        <v>403</v>
      </c>
      <c r="E85" s="47"/>
      <c r="F85" s="70"/>
      <c r="G85" s="47"/>
      <c r="H85" s="47"/>
      <c r="I85" s="47"/>
      <c r="J85" s="47"/>
      <c r="K85" s="47"/>
      <c r="L85" s="47"/>
      <c r="M85" s="47"/>
      <c r="N85" s="47"/>
    </row>
    <row r="86" spans="1:14">
      <c r="A86" s="109"/>
      <c r="B86" s="49" t="s">
        <v>109</v>
      </c>
      <c r="C86" s="37"/>
      <c r="D86" s="20" t="s">
        <v>404</v>
      </c>
      <c r="E86" s="47"/>
      <c r="F86" s="70"/>
      <c r="G86" s="47"/>
      <c r="H86" s="47"/>
      <c r="I86" s="47"/>
      <c r="J86" s="47"/>
      <c r="K86" s="47"/>
      <c r="L86" s="47"/>
      <c r="M86" s="47"/>
      <c r="N86" s="47"/>
    </row>
    <row r="87" spans="1:14">
      <c r="A87" s="109" t="s">
        <v>10</v>
      </c>
      <c r="B87" s="49" t="s">
        <v>120</v>
      </c>
      <c r="C87" s="37"/>
      <c r="D87" s="20" t="s">
        <v>405</v>
      </c>
      <c r="E87" s="47"/>
      <c r="F87" s="70"/>
      <c r="G87" s="47"/>
      <c r="H87" s="47"/>
      <c r="I87" s="47"/>
      <c r="J87" s="47"/>
      <c r="K87" s="47"/>
      <c r="L87" s="47"/>
      <c r="M87" s="47"/>
      <c r="N87" s="47"/>
    </row>
    <row r="88" spans="1:14">
      <c r="A88" s="109"/>
      <c r="B88" s="49" t="s">
        <v>117</v>
      </c>
      <c r="C88" s="37"/>
      <c r="D88" s="20" t="s">
        <v>406</v>
      </c>
      <c r="E88" s="47"/>
      <c r="F88" s="70"/>
      <c r="G88" s="47"/>
      <c r="H88" s="47"/>
      <c r="I88" s="47"/>
      <c r="J88" s="47"/>
      <c r="K88" s="47"/>
      <c r="L88" s="47"/>
      <c r="M88" s="47"/>
      <c r="N88" s="47"/>
    </row>
    <row r="89" spans="1:14">
      <c r="A89" s="109"/>
      <c r="B89" s="49" t="s">
        <v>128</v>
      </c>
      <c r="C89" s="37"/>
      <c r="D89" s="20" t="s">
        <v>407</v>
      </c>
      <c r="E89" s="47"/>
      <c r="F89" s="70"/>
      <c r="G89" s="47"/>
      <c r="H89" s="47"/>
      <c r="I89" s="47"/>
      <c r="J89" s="47"/>
      <c r="K89" s="47"/>
      <c r="L89" s="47"/>
      <c r="M89" s="47"/>
      <c r="N89" s="47"/>
    </row>
    <row r="90" spans="1:14">
      <c r="A90" s="109"/>
      <c r="B90" s="49" t="s">
        <v>118</v>
      </c>
      <c r="C90" s="37"/>
      <c r="D90" s="20" t="s">
        <v>408</v>
      </c>
      <c r="E90" s="47"/>
      <c r="F90" s="70"/>
      <c r="G90" s="47"/>
      <c r="H90" s="47"/>
      <c r="I90" s="47"/>
      <c r="J90" s="47"/>
      <c r="K90" s="47"/>
      <c r="L90" s="47"/>
      <c r="M90" s="47"/>
      <c r="N90" s="47"/>
    </row>
    <row r="91" spans="1:14" ht="29.25">
      <c r="A91" s="109"/>
      <c r="B91" s="49" t="s">
        <v>123</v>
      </c>
      <c r="C91" s="37"/>
      <c r="D91" s="20" t="s">
        <v>409</v>
      </c>
      <c r="E91" s="47"/>
      <c r="F91" s="70"/>
      <c r="G91" s="47"/>
      <c r="H91" s="47"/>
      <c r="I91" s="47"/>
      <c r="J91" s="47"/>
      <c r="K91" s="47"/>
      <c r="L91" s="47"/>
      <c r="M91" s="47"/>
      <c r="N91" s="47"/>
    </row>
    <row r="92" spans="1:14">
      <c r="A92" s="109"/>
      <c r="B92" s="49" t="s">
        <v>119</v>
      </c>
      <c r="C92" s="37"/>
      <c r="D92" s="20" t="s">
        <v>410</v>
      </c>
      <c r="E92" s="47"/>
      <c r="F92" s="70"/>
      <c r="G92" s="47"/>
      <c r="H92" s="47"/>
      <c r="I92" s="47"/>
      <c r="J92" s="47"/>
      <c r="K92" s="47"/>
      <c r="L92" s="47"/>
      <c r="M92" s="47"/>
      <c r="N92" s="47"/>
    </row>
    <row r="93" spans="1:14">
      <c r="A93" s="109"/>
      <c r="B93" s="49" t="s">
        <v>129</v>
      </c>
      <c r="C93" s="37"/>
      <c r="D93" s="20" t="s">
        <v>411</v>
      </c>
      <c r="E93" s="47"/>
      <c r="F93" s="70"/>
      <c r="G93" s="47"/>
      <c r="H93" s="47"/>
      <c r="I93" s="47"/>
      <c r="J93" s="47"/>
      <c r="K93" s="47"/>
      <c r="L93" s="47"/>
      <c r="M93" s="47"/>
      <c r="N93" s="47"/>
    </row>
    <row r="94" spans="1:14">
      <c r="A94" s="109"/>
      <c r="B94" s="49" t="s">
        <v>124</v>
      </c>
      <c r="C94" s="37"/>
      <c r="D94" s="20" t="s">
        <v>412</v>
      </c>
      <c r="E94" s="47"/>
      <c r="F94" s="70"/>
      <c r="G94" s="47"/>
      <c r="H94" s="47"/>
      <c r="I94" s="47"/>
      <c r="J94" s="47"/>
      <c r="K94" s="47"/>
      <c r="L94" s="47"/>
      <c r="M94" s="47"/>
      <c r="N94" s="47"/>
    </row>
    <row r="95" spans="1:14">
      <c r="A95" s="109"/>
      <c r="B95" s="49" t="s">
        <v>126</v>
      </c>
      <c r="C95" s="37"/>
      <c r="D95" s="20" t="s">
        <v>413</v>
      </c>
      <c r="E95" s="47"/>
      <c r="F95" s="70"/>
      <c r="G95" s="47"/>
      <c r="H95" s="47"/>
      <c r="I95" s="47"/>
      <c r="J95" s="47"/>
      <c r="K95" s="47"/>
      <c r="L95" s="47"/>
      <c r="M95" s="47"/>
      <c r="N95" s="47"/>
    </row>
    <row r="96" spans="1:14">
      <c r="A96" s="109"/>
      <c r="B96" s="49" t="s">
        <v>127</v>
      </c>
      <c r="C96" s="37" t="s">
        <v>665</v>
      </c>
      <c r="D96" s="20" t="s">
        <v>414</v>
      </c>
      <c r="E96" s="47">
        <v>200</v>
      </c>
      <c r="F96" s="70">
        <f t="shared" ref="F96:F101" si="5">E96/SUM(E$87:E$105)</f>
        <v>0.32520325203252032</v>
      </c>
      <c r="G96" s="47"/>
      <c r="H96" s="47"/>
      <c r="I96" s="47"/>
      <c r="J96" s="47"/>
      <c r="K96" s="47"/>
      <c r="L96" s="47"/>
      <c r="M96" s="47"/>
      <c r="N96" s="47"/>
    </row>
    <row r="97" spans="1:14">
      <c r="A97" s="109"/>
      <c r="B97" s="49" t="s">
        <v>121</v>
      </c>
      <c r="C97" s="37"/>
      <c r="D97" s="20" t="s">
        <v>415</v>
      </c>
      <c r="E97" s="47"/>
      <c r="F97" s="70"/>
      <c r="G97" s="47"/>
      <c r="H97" s="47"/>
      <c r="I97" s="47"/>
      <c r="J97" s="47"/>
      <c r="K97" s="47"/>
      <c r="L97" s="47"/>
      <c r="M97" s="47"/>
      <c r="N97" s="47"/>
    </row>
    <row r="98" spans="1:14">
      <c r="A98" s="109"/>
      <c r="B98" s="49" t="s">
        <v>125</v>
      </c>
      <c r="C98" s="37"/>
      <c r="D98" s="20" t="s">
        <v>416</v>
      </c>
      <c r="E98" s="47"/>
      <c r="F98" s="70"/>
      <c r="G98" s="47"/>
      <c r="H98" s="47"/>
      <c r="I98" s="47"/>
      <c r="J98" s="47"/>
      <c r="K98" s="47"/>
      <c r="L98" s="47"/>
      <c r="M98" s="47"/>
      <c r="N98" s="47"/>
    </row>
    <row r="99" spans="1:14">
      <c r="A99" s="109"/>
      <c r="B99" s="49" t="s">
        <v>122</v>
      </c>
      <c r="C99" s="37"/>
      <c r="D99" s="20" t="s">
        <v>417</v>
      </c>
      <c r="E99" s="47"/>
      <c r="F99" s="70"/>
      <c r="G99" s="47"/>
      <c r="H99" s="47"/>
      <c r="I99" s="47"/>
      <c r="J99" s="47"/>
      <c r="K99" s="47"/>
      <c r="L99" s="47"/>
      <c r="M99" s="47"/>
      <c r="N99" s="47"/>
    </row>
    <row r="100" spans="1:14">
      <c r="A100" s="109"/>
      <c r="B100" s="49" t="s">
        <v>418</v>
      </c>
      <c r="C100" s="37"/>
      <c r="D100" s="20" t="s">
        <v>419</v>
      </c>
      <c r="E100" s="47"/>
      <c r="F100" s="70"/>
      <c r="G100" s="47"/>
      <c r="H100" s="47"/>
      <c r="I100" s="47"/>
      <c r="J100" s="47"/>
      <c r="K100" s="47"/>
      <c r="L100" s="47"/>
      <c r="M100" s="47"/>
      <c r="N100" s="47"/>
    </row>
    <row r="101" spans="1:14">
      <c r="A101" s="109"/>
      <c r="B101" s="49" t="s">
        <v>130</v>
      </c>
      <c r="C101" t="s">
        <v>898</v>
      </c>
      <c r="D101" s="20" t="s">
        <v>420</v>
      </c>
      <c r="E101" s="47">
        <v>415</v>
      </c>
      <c r="F101" s="70">
        <f t="shared" si="5"/>
        <v>0.67479674796747968</v>
      </c>
      <c r="G101" s="47"/>
      <c r="H101" s="47"/>
      <c r="I101" s="47"/>
      <c r="J101" s="47"/>
      <c r="K101" s="47"/>
      <c r="L101" s="47"/>
      <c r="M101" s="47"/>
      <c r="N101" s="47"/>
    </row>
    <row r="102" spans="1:14">
      <c r="A102" s="109"/>
      <c r="B102" s="49" t="s">
        <v>116</v>
      </c>
      <c r="C102" s="37"/>
      <c r="D102" s="20" t="s">
        <v>421</v>
      </c>
      <c r="E102" s="47"/>
      <c r="F102" s="70"/>
      <c r="G102" s="47"/>
      <c r="H102" s="47"/>
      <c r="I102" s="47"/>
      <c r="J102" s="47"/>
      <c r="K102" s="47"/>
      <c r="L102" s="47"/>
      <c r="M102" s="47"/>
      <c r="N102" s="47"/>
    </row>
    <row r="103" spans="1:14">
      <c r="A103" s="109"/>
      <c r="B103" s="49" t="s">
        <v>422</v>
      </c>
      <c r="C103" s="37"/>
      <c r="D103" s="20" t="s">
        <v>423</v>
      </c>
      <c r="E103" s="47"/>
      <c r="F103" s="70"/>
      <c r="G103" s="47"/>
      <c r="H103" s="47"/>
      <c r="I103" s="47"/>
      <c r="J103" s="47"/>
      <c r="K103" s="47"/>
      <c r="L103" s="47"/>
      <c r="M103" s="47"/>
      <c r="N103" s="47"/>
    </row>
    <row r="104" spans="1:14">
      <c r="A104" s="109"/>
      <c r="B104" s="49" t="s">
        <v>424</v>
      </c>
      <c r="C104" s="37"/>
      <c r="D104" s="20" t="s">
        <v>425</v>
      </c>
      <c r="E104" s="47"/>
      <c r="F104" s="70"/>
      <c r="G104" s="47"/>
      <c r="H104" s="47"/>
      <c r="I104" s="47"/>
      <c r="J104" s="47"/>
      <c r="K104" s="47"/>
      <c r="L104" s="47"/>
      <c r="M104" s="47"/>
      <c r="N104" s="47"/>
    </row>
    <row r="105" spans="1:14">
      <c r="A105" s="109"/>
      <c r="B105" s="49" t="s">
        <v>426</v>
      </c>
      <c r="C105" s="37"/>
      <c r="D105" s="20" t="s">
        <v>427</v>
      </c>
      <c r="E105" s="47"/>
      <c r="F105" s="70"/>
      <c r="G105" s="47"/>
      <c r="H105" s="47"/>
      <c r="I105" s="47"/>
      <c r="J105" s="47"/>
      <c r="K105" s="47"/>
      <c r="L105" s="47"/>
      <c r="M105" s="47"/>
      <c r="N105" s="47"/>
    </row>
    <row r="106" spans="1:14">
      <c r="A106" s="109" t="s">
        <v>11</v>
      </c>
      <c r="B106" s="49" t="s">
        <v>132</v>
      </c>
      <c r="C106" s="37"/>
      <c r="D106" s="20" t="s">
        <v>428</v>
      </c>
      <c r="E106" s="47"/>
      <c r="F106" s="70"/>
      <c r="G106" s="47"/>
      <c r="H106" s="47"/>
      <c r="I106" s="47"/>
      <c r="J106" s="47"/>
      <c r="K106" s="47"/>
      <c r="L106" s="47"/>
      <c r="M106" s="47"/>
      <c r="N106" s="47"/>
    </row>
    <row r="107" spans="1:14">
      <c r="A107" s="109"/>
      <c r="B107" s="49" t="s">
        <v>143</v>
      </c>
      <c r="C107" s="37" t="s">
        <v>910</v>
      </c>
      <c r="D107" s="20" t="s">
        <v>429</v>
      </c>
      <c r="E107" s="47">
        <v>390</v>
      </c>
      <c r="F107" s="70">
        <f t="shared" ref="F107:F119" si="6">E107/SUM(E$106:E$132)</f>
        <v>0.24683544303797469</v>
      </c>
      <c r="G107" s="47"/>
      <c r="H107" s="47"/>
      <c r="I107" s="47"/>
      <c r="J107" s="47"/>
      <c r="K107" s="47"/>
      <c r="L107" s="47"/>
      <c r="M107" s="47"/>
      <c r="N107" s="47"/>
    </row>
    <row r="108" spans="1:14">
      <c r="A108" s="109"/>
      <c r="B108" s="49" t="s">
        <v>141</v>
      </c>
      <c r="C108" s="37"/>
      <c r="D108" s="20" t="s">
        <v>430</v>
      </c>
      <c r="E108" s="47"/>
      <c r="F108" s="70"/>
      <c r="G108" s="47"/>
      <c r="H108" s="47"/>
      <c r="I108" s="47"/>
      <c r="J108" s="47"/>
      <c r="K108" s="47"/>
      <c r="L108" s="47"/>
      <c r="M108" s="47"/>
      <c r="N108" s="47"/>
    </row>
    <row r="109" spans="1:14">
      <c r="A109" s="109"/>
      <c r="B109" s="49" t="s">
        <v>138</v>
      </c>
      <c r="C109" s="37"/>
      <c r="D109" s="20" t="s">
        <v>431</v>
      </c>
      <c r="E109" s="47"/>
      <c r="F109" s="70"/>
      <c r="G109" s="47"/>
      <c r="H109" s="47"/>
      <c r="I109" s="47"/>
      <c r="J109" s="47"/>
      <c r="K109" s="47"/>
      <c r="L109" s="47"/>
      <c r="M109" s="47"/>
      <c r="N109" s="47"/>
    </row>
    <row r="110" spans="1:14">
      <c r="A110" s="109"/>
      <c r="B110" s="55" t="s">
        <v>145</v>
      </c>
      <c r="C110" s="20"/>
      <c r="D110" s="21" t="s">
        <v>432</v>
      </c>
      <c r="E110" s="47"/>
      <c r="F110" s="70"/>
      <c r="G110" s="47"/>
      <c r="H110" s="47"/>
      <c r="I110" s="47"/>
      <c r="J110" s="47"/>
      <c r="K110" s="47"/>
      <c r="L110" s="47"/>
      <c r="M110" s="47"/>
      <c r="N110" s="47"/>
    </row>
    <row r="111" spans="1:14" ht="29.25">
      <c r="A111" s="109"/>
      <c r="B111" s="55" t="s">
        <v>137</v>
      </c>
      <c r="C111" s="54" t="s">
        <v>912</v>
      </c>
      <c r="D111" s="21" t="s">
        <v>433</v>
      </c>
      <c r="E111" s="47">
        <f>390+400</f>
        <v>790</v>
      </c>
      <c r="F111" s="70">
        <f t="shared" si="6"/>
        <v>0.5</v>
      </c>
      <c r="G111" s="47"/>
      <c r="H111" s="47"/>
      <c r="I111" s="47"/>
      <c r="J111" s="47"/>
      <c r="K111" s="47"/>
      <c r="L111" s="47"/>
      <c r="M111" s="47"/>
      <c r="N111" s="47"/>
    </row>
    <row r="112" spans="1:14">
      <c r="A112" s="109"/>
      <c r="B112" s="49" t="s">
        <v>134</v>
      </c>
      <c r="C112" s="53"/>
      <c r="D112" s="20" t="s">
        <v>434</v>
      </c>
      <c r="E112" s="47"/>
      <c r="F112" s="70"/>
      <c r="G112" s="47"/>
      <c r="H112" s="47"/>
      <c r="I112" s="47"/>
      <c r="J112" s="47"/>
      <c r="K112" s="47"/>
      <c r="L112" s="47"/>
      <c r="M112" s="47"/>
      <c r="N112" s="47"/>
    </row>
    <row r="113" spans="1:14">
      <c r="A113" s="109"/>
      <c r="B113" s="49" t="s">
        <v>151</v>
      </c>
      <c r="C113" s="37"/>
      <c r="D113" s="20" t="s">
        <v>435</v>
      </c>
      <c r="E113" s="47"/>
      <c r="F113" s="70"/>
      <c r="G113" s="47"/>
      <c r="H113" s="47"/>
      <c r="I113" s="47"/>
      <c r="J113" s="47"/>
      <c r="K113" s="47"/>
      <c r="L113" s="47"/>
      <c r="M113" s="47"/>
      <c r="N113" s="47"/>
    </row>
    <row r="114" spans="1:14">
      <c r="A114" s="109"/>
      <c r="B114" s="49" t="s">
        <v>133</v>
      </c>
      <c r="C114" s="37" t="s">
        <v>911</v>
      </c>
      <c r="D114" s="20" t="s">
        <v>436</v>
      </c>
      <c r="E114" s="47">
        <v>240</v>
      </c>
      <c r="F114" s="70">
        <f t="shared" si="6"/>
        <v>0.15189873417721519</v>
      </c>
      <c r="G114" s="47"/>
      <c r="H114" s="47"/>
      <c r="I114" s="47"/>
      <c r="J114" s="47"/>
      <c r="K114" s="47"/>
      <c r="L114" s="47"/>
      <c r="M114" s="47"/>
      <c r="N114" s="47"/>
    </row>
    <row r="115" spans="1:14">
      <c r="A115" s="109"/>
      <c r="B115" s="49" t="s">
        <v>148</v>
      </c>
      <c r="C115" s="37"/>
      <c r="D115" s="20" t="s">
        <v>437</v>
      </c>
      <c r="E115" s="47"/>
      <c r="F115" s="70"/>
      <c r="G115" s="47"/>
      <c r="H115" s="47"/>
      <c r="I115" s="47"/>
      <c r="J115" s="47"/>
      <c r="K115" s="47"/>
      <c r="L115" s="47"/>
      <c r="M115" s="47"/>
      <c r="N115" s="47"/>
    </row>
    <row r="116" spans="1:14">
      <c r="A116" s="109"/>
      <c r="B116" s="49" t="s">
        <v>135</v>
      </c>
      <c r="C116" s="37"/>
      <c r="D116" s="20" t="s">
        <v>438</v>
      </c>
      <c r="E116" s="47"/>
      <c r="F116" s="70"/>
      <c r="G116" s="47"/>
      <c r="H116" s="47"/>
      <c r="I116" s="47"/>
      <c r="J116" s="47"/>
      <c r="K116" s="47"/>
      <c r="L116" s="47"/>
      <c r="M116" s="47"/>
      <c r="N116" s="47"/>
    </row>
    <row r="117" spans="1:14">
      <c r="A117" s="109"/>
      <c r="B117" s="49" t="s">
        <v>136</v>
      </c>
      <c r="C117" s="37"/>
      <c r="D117" s="20" t="s">
        <v>439</v>
      </c>
      <c r="E117" s="47"/>
      <c r="F117" s="70"/>
      <c r="G117" s="47"/>
      <c r="H117" s="47"/>
      <c r="I117" s="47"/>
      <c r="J117" s="47"/>
      <c r="K117" s="47"/>
      <c r="L117" s="47"/>
      <c r="M117" s="47"/>
      <c r="N117" s="47"/>
    </row>
    <row r="118" spans="1:14">
      <c r="A118" s="109"/>
      <c r="B118" s="49" t="s">
        <v>140</v>
      </c>
      <c r="C118" s="37"/>
      <c r="D118" s="20" t="s">
        <v>440</v>
      </c>
      <c r="E118" s="47"/>
      <c r="F118" s="70"/>
      <c r="G118" s="47"/>
      <c r="H118" s="47"/>
      <c r="I118" s="47"/>
      <c r="J118" s="47"/>
      <c r="K118" s="47"/>
      <c r="L118" s="47"/>
      <c r="M118" s="47"/>
      <c r="N118" s="47"/>
    </row>
    <row r="119" spans="1:14">
      <c r="A119" s="109"/>
      <c r="B119" s="49" t="s">
        <v>139</v>
      </c>
      <c r="C119" s="37" t="s">
        <v>913</v>
      </c>
      <c r="D119" s="20" t="s">
        <v>441</v>
      </c>
      <c r="E119" s="47">
        <v>160</v>
      </c>
      <c r="F119" s="70">
        <f t="shared" si="6"/>
        <v>0.10126582278481013</v>
      </c>
      <c r="G119" s="47"/>
      <c r="H119" s="47"/>
      <c r="I119" s="47"/>
      <c r="J119" s="47"/>
      <c r="K119" s="47"/>
      <c r="L119" s="47"/>
      <c r="M119" s="47"/>
      <c r="N119" s="47"/>
    </row>
    <row r="120" spans="1:14">
      <c r="A120" s="109"/>
      <c r="B120" s="49" t="s">
        <v>142</v>
      </c>
      <c r="C120" s="37"/>
      <c r="D120" s="20" t="s">
        <v>442</v>
      </c>
      <c r="E120" s="47"/>
      <c r="F120" s="70"/>
      <c r="G120" s="47"/>
      <c r="H120" s="47"/>
      <c r="I120" s="47"/>
      <c r="J120" s="47"/>
      <c r="K120" s="47"/>
      <c r="L120" s="47"/>
      <c r="M120" s="47"/>
      <c r="N120" s="47"/>
    </row>
    <row r="121" spans="1:14">
      <c r="A121" s="109"/>
      <c r="B121" s="49" t="s">
        <v>144</v>
      </c>
      <c r="C121" s="37"/>
      <c r="D121" s="20" t="s">
        <v>443</v>
      </c>
      <c r="E121" s="47"/>
      <c r="F121" s="70"/>
      <c r="G121" s="47"/>
      <c r="H121" s="47"/>
      <c r="I121" s="47"/>
      <c r="J121" s="47"/>
      <c r="K121" s="47"/>
      <c r="L121" s="47"/>
      <c r="M121" s="47"/>
      <c r="N121" s="47"/>
    </row>
    <row r="122" spans="1:14">
      <c r="A122" s="109"/>
      <c r="B122" s="49" t="s">
        <v>146</v>
      </c>
      <c r="C122" s="37"/>
      <c r="D122" s="20" t="s">
        <v>444</v>
      </c>
      <c r="E122" s="47"/>
      <c r="F122" s="70"/>
      <c r="G122" s="47"/>
      <c r="H122" s="47"/>
      <c r="I122" s="47"/>
      <c r="J122" s="47"/>
      <c r="K122" s="47"/>
      <c r="L122" s="47"/>
      <c r="M122" s="47"/>
      <c r="N122" s="47"/>
    </row>
    <row r="123" spans="1:14">
      <c r="A123" s="109"/>
      <c r="B123" s="49" t="s">
        <v>147</v>
      </c>
      <c r="C123" s="37"/>
      <c r="D123" s="20" t="s">
        <v>445</v>
      </c>
      <c r="E123" s="47"/>
      <c r="F123" s="70"/>
      <c r="G123" s="47"/>
      <c r="H123" s="47"/>
      <c r="I123" s="47"/>
      <c r="J123" s="47"/>
      <c r="K123" s="47"/>
      <c r="L123" s="47"/>
      <c r="M123" s="47"/>
      <c r="N123" s="47"/>
    </row>
    <row r="124" spans="1:14">
      <c r="A124" s="109"/>
      <c r="B124" s="49" t="s">
        <v>150</v>
      </c>
      <c r="C124" s="37"/>
      <c r="D124" s="20" t="s">
        <v>446</v>
      </c>
      <c r="E124" s="47"/>
      <c r="F124" s="70"/>
      <c r="G124" s="47"/>
      <c r="H124" s="47"/>
      <c r="I124" s="47"/>
      <c r="J124" s="47"/>
      <c r="K124" s="47"/>
      <c r="L124" s="47"/>
      <c r="M124" s="47"/>
      <c r="N124" s="47"/>
    </row>
    <row r="125" spans="1:14">
      <c r="A125" s="109"/>
      <c r="B125" s="49" t="s">
        <v>152</v>
      </c>
      <c r="C125" s="37"/>
      <c r="D125" s="20" t="s">
        <v>447</v>
      </c>
      <c r="E125" s="47"/>
      <c r="F125" s="70"/>
      <c r="G125" s="47"/>
      <c r="H125" s="47"/>
      <c r="I125" s="47"/>
      <c r="J125" s="47"/>
      <c r="K125" s="47"/>
      <c r="L125" s="47"/>
      <c r="M125" s="47"/>
      <c r="N125" s="47"/>
    </row>
    <row r="126" spans="1:14" ht="29.25">
      <c r="A126" s="109"/>
      <c r="B126" s="49" t="s">
        <v>149</v>
      </c>
      <c r="C126" s="37"/>
      <c r="D126" s="20" t="s">
        <v>448</v>
      </c>
      <c r="E126" s="47"/>
      <c r="F126" s="70"/>
      <c r="G126" s="47"/>
      <c r="H126" s="47"/>
      <c r="I126" s="47"/>
      <c r="J126" s="47"/>
      <c r="K126" s="47"/>
      <c r="L126" s="47"/>
      <c r="M126" s="47"/>
      <c r="N126" s="47"/>
    </row>
    <row r="127" spans="1:14">
      <c r="A127" s="109"/>
      <c r="B127" s="49" t="s">
        <v>131</v>
      </c>
      <c r="C127" s="37"/>
      <c r="D127" s="20" t="s">
        <v>449</v>
      </c>
      <c r="E127" s="47"/>
      <c r="F127" s="70"/>
      <c r="G127" s="47"/>
      <c r="H127" s="47"/>
      <c r="I127" s="47"/>
      <c r="J127" s="47"/>
      <c r="K127" s="47"/>
      <c r="L127" s="47"/>
      <c r="M127" s="47"/>
      <c r="N127" s="47"/>
    </row>
    <row r="128" spans="1:14">
      <c r="A128" s="109"/>
      <c r="B128" s="49" t="s">
        <v>450</v>
      </c>
      <c r="C128" s="37"/>
      <c r="D128" s="20" t="s">
        <v>451</v>
      </c>
      <c r="E128" s="47"/>
      <c r="F128" s="70"/>
      <c r="G128" s="47"/>
      <c r="H128" s="47"/>
      <c r="I128" s="47"/>
      <c r="J128" s="47"/>
      <c r="K128" s="47"/>
      <c r="L128" s="47"/>
      <c r="M128" s="47"/>
      <c r="N128" s="47"/>
    </row>
    <row r="129" spans="1:14">
      <c r="A129" s="109"/>
      <c r="B129" s="49" t="s">
        <v>452</v>
      </c>
      <c r="C129" s="37"/>
      <c r="D129" s="20" t="s">
        <v>453</v>
      </c>
      <c r="E129" s="47"/>
      <c r="F129" s="70"/>
      <c r="G129" s="47"/>
      <c r="H129" s="47"/>
      <c r="I129" s="47"/>
      <c r="J129" s="47"/>
      <c r="K129" s="47"/>
      <c r="L129" s="47"/>
      <c r="M129" s="47"/>
      <c r="N129" s="47"/>
    </row>
    <row r="130" spans="1:14">
      <c r="A130" s="109"/>
      <c r="B130" s="49" t="s">
        <v>454</v>
      </c>
      <c r="C130" s="37"/>
      <c r="D130" s="20" t="s">
        <v>455</v>
      </c>
      <c r="E130" s="47"/>
      <c r="F130" s="70"/>
      <c r="G130" s="47"/>
      <c r="H130" s="47"/>
      <c r="I130" s="47"/>
      <c r="J130" s="47"/>
      <c r="K130" s="47"/>
      <c r="L130" s="47"/>
      <c r="M130" s="47"/>
      <c r="N130" s="47"/>
    </row>
    <row r="131" spans="1:14">
      <c r="A131" s="109"/>
      <c r="B131" s="49" t="s">
        <v>456</v>
      </c>
      <c r="C131" s="37"/>
      <c r="D131" s="20" t="s">
        <v>457</v>
      </c>
      <c r="E131" s="47"/>
      <c r="F131" s="70"/>
      <c r="G131" s="47"/>
      <c r="H131" s="47"/>
      <c r="I131" s="47"/>
      <c r="J131" s="47"/>
      <c r="K131" s="47"/>
      <c r="L131" s="47"/>
      <c r="M131" s="47"/>
      <c r="N131" s="47"/>
    </row>
    <row r="132" spans="1:14">
      <c r="A132" s="109"/>
      <c r="B132" s="49" t="s">
        <v>458</v>
      </c>
      <c r="C132" s="37"/>
      <c r="D132" s="20" t="s">
        <v>459</v>
      </c>
      <c r="E132" s="47"/>
      <c r="F132" s="70"/>
      <c r="G132" s="47"/>
      <c r="H132" s="47"/>
      <c r="I132" s="47"/>
      <c r="J132" s="47"/>
      <c r="K132" s="47"/>
      <c r="L132" s="47"/>
      <c r="M132" s="47"/>
      <c r="N132" s="47"/>
    </row>
    <row r="133" spans="1:14">
      <c r="A133" s="109" t="s">
        <v>12</v>
      </c>
      <c r="B133" s="21" t="s">
        <v>460</v>
      </c>
      <c r="C133" s="20"/>
      <c r="D133" s="21" t="s">
        <v>461</v>
      </c>
      <c r="E133" s="47"/>
      <c r="F133" s="70">
        <v>0.16666666666666666</v>
      </c>
      <c r="G133" s="47" t="s">
        <v>950</v>
      </c>
      <c r="H133" s="47"/>
      <c r="I133" s="47"/>
      <c r="J133" s="47"/>
      <c r="K133" s="47"/>
      <c r="L133" s="47"/>
      <c r="M133" s="47"/>
      <c r="N133" s="47"/>
    </row>
    <row r="134" spans="1:14">
      <c r="A134" s="109"/>
      <c r="B134" s="49" t="s">
        <v>154</v>
      </c>
      <c r="C134" s="37"/>
      <c r="D134" s="20" t="s">
        <v>462</v>
      </c>
      <c r="E134" s="47"/>
      <c r="F134" s="70">
        <v>0.5</v>
      </c>
      <c r="G134" s="47" t="s">
        <v>950</v>
      </c>
      <c r="H134" s="47"/>
      <c r="I134" s="47"/>
      <c r="J134" s="47"/>
      <c r="K134" s="47"/>
      <c r="L134" s="47"/>
      <c r="M134" s="47"/>
      <c r="N134" s="47"/>
    </row>
    <row r="135" spans="1:14">
      <c r="A135" s="109"/>
      <c r="B135" s="49" t="s">
        <v>153</v>
      </c>
      <c r="C135" s="37"/>
      <c r="D135" s="20"/>
      <c r="E135" s="47"/>
      <c r="F135" s="70">
        <v>0.5</v>
      </c>
      <c r="G135" s="47" t="s">
        <v>950</v>
      </c>
      <c r="H135" s="47"/>
      <c r="I135" s="47"/>
      <c r="J135" s="47"/>
      <c r="K135" s="47"/>
      <c r="L135" s="47"/>
      <c r="M135" s="47"/>
      <c r="N135" s="47"/>
    </row>
    <row r="136" spans="1:14">
      <c r="A136" s="109"/>
      <c r="B136" s="49" t="s">
        <v>463</v>
      </c>
      <c r="C136" s="37"/>
      <c r="D136" s="20" t="s">
        <v>464</v>
      </c>
      <c r="E136" s="47"/>
      <c r="F136" s="70">
        <v>0.16666666666666666</v>
      </c>
      <c r="G136" s="47" t="s">
        <v>950</v>
      </c>
      <c r="H136" s="47"/>
      <c r="I136" s="47"/>
      <c r="J136" s="47"/>
      <c r="K136" s="47"/>
      <c r="L136" s="47"/>
      <c r="M136" s="47"/>
      <c r="N136" s="47"/>
    </row>
    <row r="137" spans="1:14">
      <c r="A137" s="109"/>
      <c r="B137" s="49" t="s">
        <v>465</v>
      </c>
      <c r="C137" s="37"/>
      <c r="D137" s="20" t="s">
        <v>466</v>
      </c>
      <c r="E137" s="47"/>
      <c r="F137" s="70">
        <v>0.16666666666666666</v>
      </c>
      <c r="G137" s="47" t="s">
        <v>950</v>
      </c>
      <c r="H137" s="47"/>
      <c r="I137" s="47"/>
      <c r="J137" s="47"/>
      <c r="K137" s="47"/>
      <c r="L137" s="47"/>
      <c r="M137" s="47"/>
      <c r="N137" s="47"/>
    </row>
    <row r="138" spans="1:14">
      <c r="A138" s="109" t="s">
        <v>13</v>
      </c>
      <c r="B138" s="49" t="s">
        <v>163</v>
      </c>
      <c r="C138" s="37"/>
      <c r="D138" s="20" t="s">
        <v>467</v>
      </c>
      <c r="E138" s="47"/>
      <c r="F138" s="70"/>
      <c r="G138" s="47"/>
      <c r="H138" s="47"/>
      <c r="I138" s="47"/>
      <c r="J138" s="47"/>
      <c r="K138" s="47"/>
      <c r="L138" s="47"/>
      <c r="M138" s="47"/>
      <c r="N138" s="47"/>
    </row>
    <row r="139" spans="1:14" ht="29.25">
      <c r="A139" s="109"/>
      <c r="B139" s="49" t="s">
        <v>156</v>
      </c>
      <c r="C139" s="37"/>
      <c r="D139" s="20" t="s">
        <v>468</v>
      </c>
      <c r="E139" s="47"/>
      <c r="F139" s="70"/>
      <c r="G139" s="47"/>
      <c r="H139" s="47"/>
      <c r="I139" s="47"/>
      <c r="J139" s="47"/>
      <c r="K139" s="47"/>
      <c r="L139" s="47"/>
      <c r="M139" s="47"/>
      <c r="N139" s="47"/>
    </row>
    <row r="140" spans="1:14">
      <c r="A140" s="109"/>
      <c r="B140" s="49" t="s">
        <v>167</v>
      </c>
      <c r="C140" s="37"/>
      <c r="D140" s="20" t="s">
        <v>469</v>
      </c>
      <c r="E140" s="47"/>
      <c r="F140" s="70"/>
      <c r="G140" s="47"/>
      <c r="H140" s="47"/>
      <c r="I140" s="47"/>
      <c r="J140" s="47"/>
      <c r="K140" s="47"/>
      <c r="L140" s="47"/>
      <c r="M140" s="47"/>
      <c r="N140" s="47"/>
    </row>
    <row r="141" spans="1:14">
      <c r="A141" s="109"/>
      <c r="B141" s="49" t="s">
        <v>166</v>
      </c>
      <c r="C141" s="37"/>
      <c r="D141" s="20" t="s">
        <v>470</v>
      </c>
      <c r="E141" s="47"/>
      <c r="F141" s="70"/>
      <c r="G141" s="47"/>
      <c r="H141" s="47"/>
      <c r="I141" s="47"/>
      <c r="J141" s="47"/>
      <c r="K141" s="47"/>
      <c r="L141" s="47"/>
      <c r="M141" s="47"/>
      <c r="N141" s="47"/>
    </row>
    <row r="142" spans="1:14">
      <c r="A142" s="109"/>
      <c r="B142" s="49" t="s">
        <v>175</v>
      </c>
      <c r="C142" s="37"/>
      <c r="D142" s="20" t="s">
        <v>471</v>
      </c>
      <c r="E142" s="47"/>
      <c r="F142" s="70"/>
      <c r="G142" s="47"/>
      <c r="H142" s="47"/>
      <c r="I142" s="47"/>
      <c r="J142" s="47"/>
      <c r="K142" s="47"/>
      <c r="L142" s="47"/>
      <c r="M142" s="47"/>
      <c r="N142" s="47"/>
    </row>
    <row r="143" spans="1:14">
      <c r="A143" s="109"/>
      <c r="B143" s="49" t="s">
        <v>164</v>
      </c>
      <c r="C143" s="37"/>
      <c r="D143" s="20" t="s">
        <v>472</v>
      </c>
      <c r="E143" s="47"/>
      <c r="F143" s="70"/>
      <c r="G143" s="47"/>
      <c r="H143" s="47"/>
      <c r="I143" s="47"/>
      <c r="J143" s="47"/>
      <c r="K143" s="47"/>
      <c r="L143" s="47"/>
      <c r="M143" s="47"/>
      <c r="N143" s="47"/>
    </row>
    <row r="144" spans="1:14">
      <c r="A144" s="109"/>
      <c r="B144" s="49" t="s">
        <v>171</v>
      </c>
      <c r="C144" s="37"/>
      <c r="D144" s="20" t="s">
        <v>473</v>
      </c>
      <c r="E144" s="47"/>
      <c r="F144" s="70"/>
      <c r="G144" s="47"/>
      <c r="H144" s="47"/>
      <c r="I144" s="47"/>
      <c r="J144" s="47"/>
      <c r="K144" s="47"/>
      <c r="L144" s="47"/>
      <c r="M144" s="47"/>
      <c r="N144" s="47"/>
    </row>
    <row r="145" spans="1:14">
      <c r="A145" s="109"/>
      <c r="B145" s="49" t="s">
        <v>174</v>
      </c>
      <c r="C145" s="53"/>
      <c r="D145" s="20" t="s">
        <v>474</v>
      </c>
      <c r="E145" s="47"/>
      <c r="F145" s="70"/>
      <c r="G145" s="47"/>
      <c r="H145" s="47"/>
      <c r="I145" s="47"/>
      <c r="J145" s="47"/>
      <c r="K145" s="47"/>
      <c r="L145" s="47"/>
      <c r="M145" s="47"/>
      <c r="N145" s="47"/>
    </row>
    <row r="146" spans="1:14">
      <c r="A146" s="109"/>
      <c r="B146" s="49" t="s">
        <v>173</v>
      </c>
      <c r="C146" s="37"/>
      <c r="D146" s="20" t="s">
        <v>475</v>
      </c>
      <c r="E146" s="47"/>
      <c r="F146" s="70"/>
      <c r="G146" s="47"/>
      <c r="H146" s="47"/>
      <c r="I146" s="47"/>
      <c r="J146" s="47"/>
      <c r="K146" s="47"/>
      <c r="L146" s="47"/>
      <c r="M146" s="47"/>
      <c r="N146" s="47"/>
    </row>
    <row r="147" spans="1:14">
      <c r="A147" s="109"/>
      <c r="B147" s="49" t="s">
        <v>172</v>
      </c>
      <c r="C147" s="37"/>
      <c r="D147" s="20" t="s">
        <v>476</v>
      </c>
      <c r="E147" s="47"/>
      <c r="F147" s="70"/>
      <c r="G147" s="47"/>
      <c r="H147" s="47"/>
      <c r="I147" s="47"/>
      <c r="J147" s="47"/>
      <c r="K147" s="47"/>
      <c r="L147" s="47"/>
      <c r="M147" s="47"/>
      <c r="N147" s="47"/>
    </row>
    <row r="148" spans="1:14">
      <c r="A148" s="109"/>
      <c r="B148" s="49" t="s">
        <v>161</v>
      </c>
      <c r="C148" s="53"/>
      <c r="D148" s="20" t="s">
        <v>477</v>
      </c>
      <c r="E148" s="47"/>
      <c r="F148" s="70"/>
      <c r="G148" s="47"/>
      <c r="H148" s="47"/>
      <c r="I148" s="47"/>
      <c r="J148" s="47"/>
      <c r="K148" s="47"/>
      <c r="L148" s="47"/>
      <c r="M148" s="47"/>
      <c r="N148" s="47"/>
    </row>
    <row r="149" spans="1:14">
      <c r="A149" s="109"/>
      <c r="B149" s="49" t="s">
        <v>162</v>
      </c>
      <c r="C149" s="37"/>
      <c r="D149" s="20" t="s">
        <v>478</v>
      </c>
      <c r="E149" s="47"/>
      <c r="F149" s="70"/>
      <c r="G149" s="47"/>
      <c r="H149" s="47"/>
      <c r="I149" s="47"/>
      <c r="J149" s="47"/>
      <c r="K149" s="47"/>
      <c r="L149" s="47"/>
      <c r="M149" s="47"/>
      <c r="N149" s="47"/>
    </row>
    <row r="150" spans="1:14" ht="29.25">
      <c r="A150" s="109"/>
      <c r="B150" s="49" t="s">
        <v>158</v>
      </c>
      <c r="C150" s="37"/>
      <c r="D150" s="20" t="s">
        <v>479</v>
      </c>
      <c r="E150" s="47"/>
      <c r="F150" s="70"/>
      <c r="G150" s="47"/>
      <c r="H150" s="47"/>
      <c r="I150" s="47"/>
      <c r="J150" s="47"/>
      <c r="K150" s="47"/>
      <c r="L150" s="47"/>
      <c r="M150" s="47"/>
      <c r="N150" s="47"/>
    </row>
    <row r="151" spans="1:14" ht="29.25">
      <c r="A151" s="109"/>
      <c r="B151" s="49" t="s">
        <v>159</v>
      </c>
      <c r="C151" s="37"/>
      <c r="D151" s="20" t="s">
        <v>480</v>
      </c>
      <c r="E151" s="47"/>
      <c r="F151" s="70"/>
      <c r="G151" s="47"/>
      <c r="H151" s="47"/>
      <c r="I151" s="47"/>
      <c r="J151" s="47"/>
      <c r="K151" s="47"/>
      <c r="L151" s="47"/>
      <c r="M151" s="47"/>
      <c r="N151" s="47"/>
    </row>
    <row r="152" spans="1:14">
      <c r="A152" s="109"/>
      <c r="B152" s="49" t="s">
        <v>155</v>
      </c>
      <c r="C152" s="53"/>
      <c r="D152" s="20" t="s">
        <v>481</v>
      </c>
      <c r="E152" s="47"/>
      <c r="F152" s="70"/>
      <c r="G152" s="47"/>
      <c r="H152" s="47"/>
      <c r="I152" s="47"/>
      <c r="J152" s="47"/>
      <c r="K152" s="47"/>
      <c r="L152" s="47"/>
      <c r="M152" s="47"/>
      <c r="N152" s="47"/>
    </row>
    <row r="153" spans="1:14">
      <c r="A153" s="109"/>
      <c r="B153" s="49" t="s">
        <v>169</v>
      </c>
      <c r="C153" s="37"/>
      <c r="D153" s="20" t="s">
        <v>482</v>
      </c>
      <c r="E153" s="47"/>
      <c r="F153" s="70"/>
      <c r="G153" s="47"/>
      <c r="H153" s="47"/>
      <c r="I153" s="47"/>
      <c r="J153" s="47"/>
      <c r="K153" s="47"/>
      <c r="L153" s="47"/>
      <c r="M153" s="47"/>
      <c r="N153" s="47"/>
    </row>
    <row r="154" spans="1:14">
      <c r="A154" s="109"/>
      <c r="B154" s="49" t="s">
        <v>170</v>
      </c>
      <c r="C154" s="37" t="s">
        <v>917</v>
      </c>
      <c r="D154" s="20" t="s">
        <v>483</v>
      </c>
      <c r="E154" s="47">
        <v>500</v>
      </c>
      <c r="F154" s="70">
        <f>E154/(E154+E156)</f>
        <v>0.82608695652173914</v>
      </c>
      <c r="G154" s="47"/>
      <c r="H154" s="47"/>
      <c r="I154" s="47"/>
      <c r="J154" s="47"/>
      <c r="K154" s="47"/>
      <c r="L154" s="47"/>
      <c r="M154" s="47"/>
      <c r="N154" s="47"/>
    </row>
    <row r="155" spans="1:14">
      <c r="A155" s="109"/>
      <c r="B155" s="49" t="s">
        <v>160</v>
      </c>
      <c r="C155" s="37"/>
      <c r="D155" s="20" t="s">
        <v>484</v>
      </c>
      <c r="E155" s="47"/>
      <c r="F155" s="70"/>
      <c r="G155" s="47"/>
      <c r="H155" s="47"/>
      <c r="I155" s="47"/>
      <c r="J155" s="47"/>
      <c r="K155" s="47"/>
      <c r="L155" s="47"/>
      <c r="M155" s="47"/>
      <c r="N155" s="47"/>
    </row>
    <row r="156" spans="1:14">
      <c r="A156" s="109"/>
      <c r="B156" s="49" t="s">
        <v>157</v>
      </c>
      <c r="C156" s="37" t="s">
        <v>4984</v>
      </c>
      <c r="D156" s="20" t="s">
        <v>485</v>
      </c>
      <c r="E156" s="47">
        <f>400/1900*E154</f>
        <v>105.26315789473684</v>
      </c>
      <c r="F156" s="70">
        <f>E156/(E154+E156)</f>
        <v>0.17391304347826084</v>
      </c>
      <c r="G156" s="47"/>
      <c r="H156" s="47"/>
      <c r="I156" s="47"/>
      <c r="J156" s="47"/>
      <c r="K156" s="47"/>
      <c r="L156" s="47"/>
      <c r="M156" s="47"/>
      <c r="N156" s="47"/>
    </row>
    <row r="157" spans="1:14">
      <c r="A157" s="109"/>
      <c r="B157" s="49" t="s">
        <v>165</v>
      </c>
      <c r="C157" s="37"/>
      <c r="D157" s="20" t="s">
        <v>486</v>
      </c>
      <c r="E157" s="47"/>
      <c r="F157" s="70"/>
      <c r="G157" s="47"/>
      <c r="H157" s="47"/>
      <c r="I157" s="47"/>
      <c r="J157" s="47"/>
      <c r="K157" s="47"/>
      <c r="L157" s="47"/>
      <c r="M157" s="47"/>
      <c r="N157" s="47"/>
    </row>
    <row r="158" spans="1:14">
      <c r="A158" s="109"/>
      <c r="B158" s="49" t="s">
        <v>168</v>
      </c>
      <c r="C158" s="37"/>
      <c r="D158" s="20" t="s">
        <v>487</v>
      </c>
      <c r="E158" s="47"/>
      <c r="F158" s="70"/>
      <c r="G158" s="47"/>
      <c r="H158" s="47"/>
      <c r="I158" s="47"/>
      <c r="J158" s="47"/>
      <c r="K158" s="47"/>
      <c r="L158" s="47"/>
      <c r="M158" s="47"/>
      <c r="N158" s="47"/>
    </row>
    <row r="159" spans="1:14">
      <c r="A159" s="56" t="s">
        <v>624</v>
      </c>
      <c r="B159" s="49" t="s">
        <v>488</v>
      </c>
      <c r="C159" s="37"/>
      <c r="D159" s="20" t="s">
        <v>489</v>
      </c>
      <c r="E159" s="47"/>
      <c r="F159" s="70">
        <v>1</v>
      </c>
      <c r="G159" s="47" t="s">
        <v>950</v>
      </c>
      <c r="H159" s="47"/>
      <c r="I159" s="47"/>
      <c r="J159" s="47"/>
      <c r="K159" s="47"/>
      <c r="L159" s="47"/>
      <c r="M159" s="47"/>
      <c r="N159" s="47"/>
    </row>
    <row r="160" spans="1:14">
      <c r="A160" s="56" t="s">
        <v>14</v>
      </c>
      <c r="B160" s="49" t="s">
        <v>176</v>
      </c>
      <c r="C160" s="37"/>
      <c r="D160" s="20" t="s">
        <v>490</v>
      </c>
      <c r="E160" s="47"/>
      <c r="F160" s="70">
        <v>1</v>
      </c>
      <c r="G160" s="47" t="s">
        <v>950</v>
      </c>
      <c r="H160" s="47"/>
      <c r="I160" s="47"/>
      <c r="J160" s="47"/>
      <c r="K160" s="47"/>
      <c r="L160" s="47"/>
      <c r="M160" s="47"/>
      <c r="N160" s="47"/>
    </row>
    <row r="161" spans="1:14">
      <c r="A161" s="109" t="s">
        <v>623</v>
      </c>
      <c r="B161" s="49" t="s">
        <v>491</v>
      </c>
      <c r="C161" s="37"/>
      <c r="D161" s="20" t="s">
        <v>492</v>
      </c>
      <c r="E161" s="47"/>
      <c r="F161" s="70"/>
      <c r="G161" s="47"/>
      <c r="H161" s="47"/>
      <c r="I161" s="47"/>
      <c r="J161" s="47"/>
      <c r="K161" s="47"/>
      <c r="L161" s="47"/>
      <c r="M161" s="47"/>
      <c r="N161" s="47"/>
    </row>
    <row r="162" spans="1:14" ht="29.25">
      <c r="A162" s="109"/>
      <c r="B162" s="49" t="s">
        <v>493</v>
      </c>
      <c r="C162" s="37"/>
      <c r="D162" s="20" t="s">
        <v>494</v>
      </c>
      <c r="E162" s="47">
        <v>1118</v>
      </c>
      <c r="F162" s="70">
        <v>1</v>
      </c>
      <c r="G162" s="47"/>
      <c r="H162" s="47"/>
      <c r="I162" s="47"/>
      <c r="J162" s="47"/>
      <c r="K162" s="47"/>
      <c r="L162" s="47"/>
      <c r="M162" s="47"/>
      <c r="N162" s="47"/>
    </row>
    <row r="163" spans="1:14">
      <c r="A163" s="56" t="s">
        <v>15</v>
      </c>
      <c r="B163" s="49" t="s">
        <v>177</v>
      </c>
      <c r="C163" s="37"/>
      <c r="D163" s="20" t="s">
        <v>15</v>
      </c>
      <c r="E163" s="47"/>
      <c r="F163" s="70"/>
      <c r="G163" s="47"/>
      <c r="H163" s="47"/>
      <c r="I163" s="47"/>
      <c r="J163" s="47"/>
      <c r="K163" s="47"/>
      <c r="L163" s="47"/>
      <c r="M163" s="47"/>
      <c r="N163" s="47"/>
    </row>
    <row r="164" spans="1:14">
      <c r="A164" s="109" t="s">
        <v>16</v>
      </c>
      <c r="B164" s="49" t="s">
        <v>182</v>
      </c>
      <c r="C164" s="37"/>
      <c r="D164" s="20" t="s">
        <v>495</v>
      </c>
      <c r="E164" s="47"/>
      <c r="F164" s="70"/>
      <c r="G164" s="47"/>
      <c r="H164" s="47"/>
      <c r="I164" s="47"/>
      <c r="J164" s="47"/>
      <c r="K164" s="47"/>
      <c r="L164" s="47"/>
      <c r="M164" s="47"/>
      <c r="N164" s="47"/>
    </row>
    <row r="165" spans="1:14">
      <c r="A165" s="109"/>
      <c r="B165" s="49" t="s">
        <v>181</v>
      </c>
      <c r="C165" s="37" t="s">
        <v>925</v>
      </c>
      <c r="D165" s="20" t="s">
        <v>496</v>
      </c>
      <c r="E165" s="47">
        <f>383/2</f>
        <v>191.5</v>
      </c>
      <c r="F165" s="70">
        <f t="shared" ref="F165:F166" si="7">E165/SUM(E$164:E$171)</f>
        <v>0.5</v>
      </c>
      <c r="G165" s="47"/>
      <c r="H165" s="47"/>
      <c r="I165" s="47"/>
      <c r="J165" s="47"/>
      <c r="K165" s="47"/>
      <c r="L165" s="47"/>
      <c r="M165" s="47"/>
      <c r="N165" s="47"/>
    </row>
    <row r="166" spans="1:14">
      <c r="A166" s="109"/>
      <c r="B166" s="49" t="s">
        <v>180</v>
      </c>
      <c r="C166" s="37" t="s">
        <v>926</v>
      </c>
      <c r="D166" s="20" t="s">
        <v>497</v>
      </c>
      <c r="E166" s="47">
        <f>383/2</f>
        <v>191.5</v>
      </c>
      <c r="F166" s="70">
        <f t="shared" si="7"/>
        <v>0.5</v>
      </c>
      <c r="G166" s="47"/>
      <c r="H166" s="47"/>
      <c r="I166" s="47"/>
      <c r="J166" s="47"/>
      <c r="K166" s="47"/>
      <c r="L166" s="47"/>
      <c r="M166" s="47"/>
      <c r="N166" s="47"/>
    </row>
    <row r="167" spans="1:14">
      <c r="A167" s="109"/>
      <c r="B167" s="49" t="s">
        <v>179</v>
      </c>
      <c r="C167" s="37"/>
      <c r="D167" s="20" t="s">
        <v>498</v>
      </c>
      <c r="E167" s="47"/>
      <c r="F167" s="70"/>
      <c r="G167" s="47"/>
      <c r="H167" s="47"/>
      <c r="I167" s="47"/>
      <c r="J167" s="47"/>
      <c r="K167" s="47"/>
      <c r="L167" s="47"/>
      <c r="M167" s="47"/>
      <c r="N167" s="47"/>
    </row>
    <row r="168" spans="1:14">
      <c r="A168" s="109"/>
      <c r="B168" s="49" t="s">
        <v>184</v>
      </c>
      <c r="C168" s="37"/>
      <c r="D168" s="20" t="s">
        <v>499</v>
      </c>
      <c r="E168" s="47"/>
      <c r="F168" s="70"/>
      <c r="G168" s="47"/>
      <c r="H168" s="47"/>
      <c r="I168" s="47"/>
      <c r="J168" s="47"/>
      <c r="K168" s="47"/>
      <c r="L168" s="47"/>
      <c r="M168" s="47"/>
      <c r="N168" s="47"/>
    </row>
    <row r="169" spans="1:14">
      <c r="A169" s="109"/>
      <c r="B169" s="49" t="s">
        <v>183</v>
      </c>
      <c r="C169" s="53"/>
      <c r="D169" s="20" t="s">
        <v>500</v>
      </c>
      <c r="E169" s="47"/>
      <c r="F169" s="70"/>
      <c r="G169" s="47"/>
      <c r="H169" s="47"/>
      <c r="I169" s="47"/>
      <c r="J169" s="47"/>
      <c r="K169" s="47"/>
      <c r="L169" s="47"/>
      <c r="M169" s="47"/>
      <c r="N169" s="47"/>
    </row>
    <row r="170" spans="1:14">
      <c r="A170" s="109"/>
      <c r="B170" s="49" t="s">
        <v>178</v>
      </c>
      <c r="C170" s="37"/>
      <c r="D170" s="20" t="s">
        <v>501</v>
      </c>
      <c r="E170" s="47"/>
      <c r="F170" s="70"/>
      <c r="G170" s="47"/>
      <c r="H170" s="47"/>
      <c r="I170" s="47"/>
      <c r="J170" s="47"/>
      <c r="K170" s="47"/>
      <c r="L170" s="47"/>
      <c r="M170" s="47"/>
      <c r="N170" s="47"/>
    </row>
    <row r="171" spans="1:14">
      <c r="A171" s="109"/>
      <c r="B171" s="49" t="s">
        <v>185</v>
      </c>
      <c r="C171" s="37"/>
      <c r="D171" s="20" t="s">
        <v>502</v>
      </c>
      <c r="E171" s="47"/>
      <c r="F171" s="70"/>
      <c r="G171" s="47"/>
      <c r="H171" s="47"/>
      <c r="I171" s="47"/>
      <c r="J171" s="47"/>
      <c r="K171" s="47"/>
      <c r="L171" s="47"/>
      <c r="M171" s="47"/>
      <c r="N171" s="47"/>
    </row>
    <row r="172" spans="1:14">
      <c r="A172" s="56" t="s">
        <v>504</v>
      </c>
      <c r="B172" s="49" t="s">
        <v>503</v>
      </c>
      <c r="C172" s="37"/>
      <c r="D172" s="20" t="s">
        <v>504</v>
      </c>
      <c r="E172" s="47"/>
      <c r="F172" s="70">
        <v>1</v>
      </c>
      <c r="G172" s="47" t="s">
        <v>950</v>
      </c>
      <c r="H172" s="47"/>
      <c r="I172" s="47"/>
      <c r="J172" s="47"/>
      <c r="K172" s="47"/>
      <c r="L172" s="47"/>
      <c r="M172" s="47"/>
      <c r="N172" s="47"/>
    </row>
    <row r="173" spans="1:14">
      <c r="A173" s="109" t="s">
        <v>17</v>
      </c>
      <c r="B173" s="49" t="s">
        <v>193</v>
      </c>
      <c r="C173" s="37"/>
      <c r="D173" s="20" t="s">
        <v>505</v>
      </c>
      <c r="E173" s="47"/>
      <c r="F173" s="70"/>
      <c r="G173" s="47"/>
      <c r="H173" s="47"/>
      <c r="I173" s="47"/>
      <c r="J173" s="47"/>
      <c r="K173" s="47"/>
      <c r="L173" s="47"/>
      <c r="M173" s="47"/>
      <c r="N173" s="47"/>
    </row>
    <row r="174" spans="1:14">
      <c r="A174" s="109"/>
      <c r="B174" s="49" t="s">
        <v>195</v>
      </c>
      <c r="C174" s="37"/>
      <c r="D174" s="20" t="s">
        <v>506</v>
      </c>
      <c r="E174" s="47"/>
      <c r="F174" s="70"/>
      <c r="G174" s="47"/>
      <c r="H174" s="47"/>
      <c r="I174" s="47"/>
      <c r="J174" s="47"/>
      <c r="K174" s="47"/>
      <c r="L174" s="47"/>
      <c r="M174" s="47"/>
      <c r="N174" s="47"/>
    </row>
    <row r="175" spans="1:14">
      <c r="A175" s="109"/>
      <c r="B175" s="49" t="s">
        <v>197</v>
      </c>
      <c r="C175" s="37"/>
      <c r="D175" s="20" t="s">
        <v>507</v>
      </c>
      <c r="E175" s="47"/>
      <c r="F175" s="70"/>
      <c r="G175" s="47"/>
      <c r="H175" s="47"/>
      <c r="I175" s="47"/>
      <c r="J175" s="47"/>
      <c r="K175" s="47"/>
      <c r="L175" s="47"/>
      <c r="M175" s="47"/>
      <c r="N175" s="47"/>
    </row>
    <row r="176" spans="1:14">
      <c r="A176" s="109"/>
      <c r="B176" s="49" t="s">
        <v>188</v>
      </c>
      <c r="C176" s="37"/>
      <c r="D176" s="20" t="s">
        <v>508</v>
      </c>
      <c r="E176" s="47"/>
      <c r="F176" s="70"/>
      <c r="G176" s="47"/>
      <c r="H176" s="47"/>
      <c r="I176" s="47"/>
      <c r="J176" s="47"/>
      <c r="K176" s="47"/>
      <c r="L176" s="47"/>
      <c r="M176" s="47"/>
      <c r="N176" s="47"/>
    </row>
    <row r="177" spans="1:14">
      <c r="A177" s="109"/>
      <c r="B177" s="49" t="s">
        <v>194</v>
      </c>
      <c r="C177" s="37"/>
      <c r="D177" s="20" t="s">
        <v>509</v>
      </c>
      <c r="E177" s="47"/>
      <c r="F177" s="70"/>
      <c r="G177" s="47"/>
      <c r="H177" s="47"/>
      <c r="I177" s="47"/>
      <c r="J177" s="47"/>
      <c r="K177" s="47"/>
      <c r="L177" s="47"/>
      <c r="M177" s="47"/>
      <c r="N177" s="47"/>
    </row>
    <row r="178" spans="1:14">
      <c r="A178" s="109"/>
      <c r="B178" s="49" t="s">
        <v>196</v>
      </c>
      <c r="C178" s="37"/>
      <c r="D178" s="20" t="s">
        <v>510</v>
      </c>
      <c r="E178" s="47"/>
      <c r="F178" s="70"/>
      <c r="G178" s="47"/>
      <c r="H178" s="47"/>
      <c r="I178" s="47"/>
      <c r="J178" s="47"/>
      <c r="K178" s="47"/>
      <c r="L178" s="47"/>
      <c r="M178" s="47"/>
      <c r="N178" s="47"/>
    </row>
    <row r="179" spans="1:14">
      <c r="A179" s="109"/>
      <c r="B179" s="49" t="s">
        <v>190</v>
      </c>
      <c r="C179" s="37"/>
      <c r="D179" s="20" t="s">
        <v>511</v>
      </c>
      <c r="E179" s="47"/>
      <c r="F179" s="70"/>
      <c r="G179" s="47"/>
      <c r="H179" s="47"/>
      <c r="I179" s="47"/>
      <c r="J179" s="47"/>
      <c r="K179" s="47"/>
      <c r="L179" s="47"/>
      <c r="M179" s="47"/>
      <c r="N179" s="47"/>
    </row>
    <row r="180" spans="1:14">
      <c r="A180" s="109"/>
      <c r="B180" s="49" t="s">
        <v>189</v>
      </c>
      <c r="C180" s="37"/>
      <c r="D180" s="20" t="s">
        <v>512</v>
      </c>
      <c r="E180" s="47"/>
      <c r="F180" s="70"/>
      <c r="G180" s="47"/>
      <c r="H180" s="47"/>
      <c r="I180" s="47"/>
      <c r="J180" s="47"/>
      <c r="K180" s="47"/>
      <c r="L180" s="47"/>
      <c r="M180" s="47"/>
      <c r="N180" s="47"/>
    </row>
    <row r="181" spans="1:14">
      <c r="A181" s="109"/>
      <c r="B181" s="49" t="s">
        <v>186</v>
      </c>
      <c r="C181" s="37"/>
      <c r="D181" s="20" t="s">
        <v>513</v>
      </c>
      <c r="E181" s="47"/>
      <c r="F181" s="70"/>
      <c r="G181" s="47"/>
      <c r="H181" s="47"/>
      <c r="I181" s="47"/>
      <c r="J181" s="47"/>
      <c r="K181" s="47"/>
      <c r="L181" s="47"/>
      <c r="M181" s="47"/>
      <c r="N181" s="47"/>
    </row>
    <row r="182" spans="1:14">
      <c r="A182" s="109"/>
      <c r="B182" s="49" t="s">
        <v>187</v>
      </c>
      <c r="C182" s="53" t="s">
        <v>914</v>
      </c>
      <c r="D182" s="20" t="s">
        <v>514</v>
      </c>
      <c r="E182" s="47">
        <v>1700</v>
      </c>
      <c r="F182" s="70">
        <f t="shared" ref="F182:F184" si="8">E182/SUM(E$173:E$184)</f>
        <v>0.63670411985018727</v>
      </c>
      <c r="G182" s="47"/>
      <c r="H182" s="47"/>
      <c r="I182" s="47"/>
      <c r="J182" s="47"/>
      <c r="K182" s="47"/>
      <c r="L182" s="47"/>
      <c r="M182" s="47"/>
      <c r="N182" s="47"/>
    </row>
    <row r="183" spans="1:14">
      <c r="A183" s="109"/>
      <c r="B183" s="49" t="s">
        <v>191</v>
      </c>
      <c r="C183" s="53"/>
      <c r="D183" s="20" t="s">
        <v>515</v>
      </c>
      <c r="E183" s="47"/>
      <c r="F183" s="70"/>
      <c r="G183" s="47"/>
      <c r="H183" s="47"/>
      <c r="I183" s="47"/>
      <c r="J183" s="47"/>
      <c r="K183" s="47"/>
      <c r="L183" s="47"/>
      <c r="M183" s="47"/>
      <c r="N183" s="47"/>
    </row>
    <row r="184" spans="1:14">
      <c r="A184" s="109"/>
      <c r="B184" s="49" t="s">
        <v>192</v>
      </c>
      <c r="C184" s="53" t="s">
        <v>677</v>
      </c>
      <c r="D184" s="20" t="s">
        <v>516</v>
      </c>
      <c r="E184" s="47">
        <v>970</v>
      </c>
      <c r="F184" s="70">
        <f t="shared" si="8"/>
        <v>0.36329588014981273</v>
      </c>
      <c r="G184" s="47"/>
      <c r="H184" s="47"/>
      <c r="I184" s="47"/>
      <c r="J184" s="47"/>
      <c r="K184" s="47"/>
      <c r="L184" s="47"/>
      <c r="M184" s="47"/>
      <c r="N184" s="47"/>
    </row>
    <row r="185" spans="1:14">
      <c r="A185" s="109" t="s">
        <v>18</v>
      </c>
      <c r="B185" s="49" t="s">
        <v>206</v>
      </c>
      <c r="C185" s="37"/>
      <c r="D185" s="20" t="s">
        <v>517</v>
      </c>
      <c r="E185" s="47"/>
      <c r="F185" s="70"/>
      <c r="G185" s="47"/>
      <c r="H185" s="47"/>
      <c r="I185" s="47"/>
      <c r="J185" s="47"/>
      <c r="K185" s="47"/>
      <c r="L185" s="47"/>
      <c r="M185" s="47"/>
      <c r="N185" s="47"/>
    </row>
    <row r="186" spans="1:14">
      <c r="A186" s="109"/>
      <c r="B186" s="49" t="s">
        <v>204</v>
      </c>
      <c r="C186" s="37"/>
      <c r="D186" s="20" t="s">
        <v>518</v>
      </c>
      <c r="E186" s="47"/>
      <c r="F186" s="70"/>
      <c r="G186" s="47"/>
      <c r="H186" s="47"/>
      <c r="I186" s="47"/>
      <c r="J186" s="47"/>
      <c r="K186" s="47"/>
      <c r="L186" s="47"/>
      <c r="M186" s="47"/>
      <c r="N186" s="47"/>
    </row>
    <row r="187" spans="1:14">
      <c r="A187" s="109"/>
      <c r="B187" s="49" t="s">
        <v>203</v>
      </c>
      <c r="C187" s="37"/>
      <c r="D187" s="20" t="s">
        <v>519</v>
      </c>
      <c r="E187" s="47"/>
      <c r="F187" s="70"/>
      <c r="G187" s="47"/>
      <c r="H187" s="47"/>
      <c r="I187" s="47"/>
      <c r="J187" s="47"/>
      <c r="K187" s="47"/>
      <c r="L187" s="47"/>
      <c r="M187" s="47"/>
      <c r="N187" s="47"/>
    </row>
    <row r="188" spans="1:14">
      <c r="A188" s="109"/>
      <c r="B188" s="49" t="s">
        <v>205</v>
      </c>
      <c r="C188" s="37"/>
      <c r="D188" s="20" t="s">
        <v>520</v>
      </c>
      <c r="E188" s="47"/>
      <c r="F188" s="70"/>
      <c r="G188" s="47"/>
      <c r="H188" s="47"/>
      <c r="I188" s="47"/>
      <c r="J188" s="47"/>
      <c r="K188" s="47"/>
      <c r="L188" s="47"/>
      <c r="M188" s="47"/>
      <c r="N188" s="47"/>
    </row>
    <row r="189" spans="1:14">
      <c r="A189" s="109"/>
      <c r="B189" s="49" t="s">
        <v>200</v>
      </c>
      <c r="C189" s="37"/>
      <c r="D189" s="20" t="s">
        <v>521</v>
      </c>
      <c r="E189" s="47"/>
      <c r="F189" s="70"/>
      <c r="G189" s="47"/>
      <c r="H189" s="47"/>
      <c r="I189" s="47"/>
      <c r="J189" s="47"/>
      <c r="K189" s="47"/>
      <c r="L189" s="47"/>
      <c r="M189" s="47"/>
      <c r="N189" s="47"/>
    </row>
    <row r="190" spans="1:14">
      <c r="A190" s="109"/>
      <c r="B190" s="49" t="s">
        <v>202</v>
      </c>
      <c r="C190" s="37" t="s">
        <v>829</v>
      </c>
      <c r="D190" s="20" t="s">
        <v>522</v>
      </c>
      <c r="E190" s="47">
        <v>500</v>
      </c>
      <c r="F190" s="70">
        <v>1</v>
      </c>
      <c r="G190" s="47"/>
      <c r="H190" s="47"/>
      <c r="I190" s="47"/>
      <c r="J190" s="47"/>
      <c r="K190" s="47"/>
      <c r="L190" s="47"/>
      <c r="M190" s="47"/>
      <c r="N190" s="47"/>
    </row>
    <row r="191" spans="1:14">
      <c r="A191" s="109"/>
      <c r="B191" s="49" t="s">
        <v>201</v>
      </c>
      <c r="C191" s="37"/>
      <c r="D191" s="20" t="s">
        <v>523</v>
      </c>
      <c r="E191" s="47"/>
      <c r="F191" s="70"/>
      <c r="G191" s="47"/>
      <c r="H191" s="47"/>
      <c r="I191" s="47"/>
      <c r="J191" s="47"/>
      <c r="K191" s="47"/>
      <c r="L191" s="47"/>
      <c r="M191" s="47"/>
      <c r="N191" s="47"/>
    </row>
    <row r="192" spans="1:14">
      <c r="A192" s="109"/>
      <c r="B192" s="49" t="s">
        <v>199</v>
      </c>
      <c r="C192" s="37"/>
      <c r="D192" s="20" t="s">
        <v>524</v>
      </c>
      <c r="E192" s="47"/>
      <c r="F192" s="70"/>
      <c r="G192" s="47"/>
      <c r="H192" s="47"/>
      <c r="I192" s="47"/>
      <c r="J192" s="47"/>
      <c r="K192" s="47"/>
      <c r="L192" s="47"/>
      <c r="M192" s="47"/>
      <c r="N192" s="47"/>
    </row>
    <row r="193" spans="1:14">
      <c r="A193" s="109"/>
      <c r="B193" s="49" t="s">
        <v>198</v>
      </c>
      <c r="C193" s="37"/>
      <c r="D193" s="20" t="s">
        <v>525</v>
      </c>
      <c r="E193" s="47"/>
      <c r="F193" s="70"/>
      <c r="G193" s="47"/>
      <c r="H193" s="47"/>
      <c r="I193" s="47"/>
      <c r="J193" s="47"/>
      <c r="K193" s="47"/>
      <c r="L193" s="47"/>
      <c r="M193" s="47"/>
      <c r="N193" s="47"/>
    </row>
    <row r="194" spans="1:14">
      <c r="A194" s="109" t="s">
        <v>19</v>
      </c>
      <c r="B194" s="49" t="s">
        <v>219</v>
      </c>
      <c r="C194" s="37"/>
      <c r="D194" s="20" t="s">
        <v>526</v>
      </c>
      <c r="E194" s="47"/>
      <c r="F194" s="70"/>
      <c r="G194" s="47"/>
      <c r="H194" s="47"/>
      <c r="I194" s="47"/>
      <c r="J194" s="47"/>
      <c r="K194" s="47"/>
      <c r="L194" s="47"/>
      <c r="M194" s="47"/>
      <c r="N194" s="47"/>
    </row>
    <row r="195" spans="1:14">
      <c r="A195" s="109"/>
      <c r="B195" s="49" t="s">
        <v>210</v>
      </c>
      <c r="C195" s="37"/>
      <c r="D195" s="20" t="s">
        <v>527</v>
      </c>
      <c r="E195" s="47"/>
      <c r="F195" s="70"/>
      <c r="G195" s="47"/>
      <c r="H195" s="47"/>
      <c r="I195" s="47"/>
      <c r="J195" s="47"/>
      <c r="K195" s="47"/>
      <c r="L195" s="47"/>
      <c r="M195" s="47"/>
      <c r="N195" s="47"/>
    </row>
    <row r="196" spans="1:14">
      <c r="A196" s="109"/>
      <c r="B196" s="49" t="s">
        <v>221</v>
      </c>
      <c r="C196" s="37" t="s">
        <v>934</v>
      </c>
      <c r="D196" s="20" t="s">
        <v>528</v>
      </c>
      <c r="E196" s="47">
        <f>(1*3210)/5</f>
        <v>642</v>
      </c>
      <c r="F196" s="70">
        <f t="shared" ref="F196:F204" si="9">E196/SUM(E$194:E$210)</f>
        <v>0.2</v>
      </c>
      <c r="G196" s="47"/>
      <c r="H196" s="47"/>
      <c r="I196" s="47"/>
      <c r="J196" s="47"/>
      <c r="K196" s="47"/>
      <c r="L196" s="47"/>
      <c r="M196" s="47"/>
      <c r="N196" s="47"/>
    </row>
    <row r="197" spans="1:14">
      <c r="A197" s="109"/>
      <c r="B197" s="49" t="s">
        <v>207</v>
      </c>
      <c r="C197" s="37"/>
      <c r="D197" s="20" t="s">
        <v>529</v>
      </c>
      <c r="E197" s="47"/>
      <c r="F197" s="70"/>
      <c r="G197" s="47"/>
      <c r="H197" s="47"/>
      <c r="I197" s="47"/>
      <c r="J197" s="47"/>
      <c r="K197" s="47"/>
      <c r="L197" s="47"/>
      <c r="M197" s="47"/>
      <c r="N197" s="47"/>
    </row>
    <row r="198" spans="1:14">
      <c r="A198" s="109"/>
      <c r="B198" s="49" t="s">
        <v>216</v>
      </c>
      <c r="C198" s="37"/>
      <c r="D198" s="20" t="s">
        <v>530</v>
      </c>
      <c r="E198" s="47"/>
      <c r="F198" s="70"/>
      <c r="G198" s="47"/>
      <c r="H198" s="47"/>
      <c r="I198" s="47"/>
      <c r="J198" s="47"/>
      <c r="K198" s="47"/>
      <c r="L198" s="47"/>
      <c r="M198" s="47"/>
      <c r="N198" s="47"/>
    </row>
    <row r="199" spans="1:14">
      <c r="A199" s="109"/>
      <c r="B199" s="49" t="s">
        <v>218</v>
      </c>
      <c r="C199" s="37"/>
      <c r="D199" s="20" t="s">
        <v>531</v>
      </c>
      <c r="E199" s="47"/>
      <c r="F199" s="70"/>
      <c r="G199" s="47"/>
      <c r="H199" s="47"/>
      <c r="I199" s="47"/>
      <c r="J199" s="47"/>
      <c r="K199" s="47"/>
      <c r="L199" s="47"/>
      <c r="M199" s="47"/>
      <c r="N199" s="47"/>
    </row>
    <row r="200" spans="1:14">
      <c r="A200" s="109"/>
      <c r="B200" s="49" t="s">
        <v>213</v>
      </c>
      <c r="C200" s="37"/>
      <c r="D200" s="20" t="s">
        <v>532</v>
      </c>
      <c r="E200" s="47"/>
      <c r="F200" s="70"/>
      <c r="G200" s="47"/>
      <c r="H200" s="47"/>
      <c r="I200" s="47"/>
      <c r="J200" s="47"/>
      <c r="K200" s="47"/>
      <c r="L200" s="47"/>
      <c r="M200" s="47"/>
      <c r="N200" s="47"/>
    </row>
    <row r="201" spans="1:14">
      <c r="A201" s="109"/>
      <c r="B201" s="49" t="s">
        <v>220</v>
      </c>
      <c r="C201" s="37" t="s">
        <v>932</v>
      </c>
      <c r="D201" s="20" t="s">
        <v>533</v>
      </c>
      <c r="E201" s="47">
        <f>(2*3210)/5</f>
        <v>1284</v>
      </c>
      <c r="F201" s="70">
        <f t="shared" si="9"/>
        <v>0.4</v>
      </c>
      <c r="G201" s="47"/>
      <c r="H201" s="47"/>
      <c r="I201" s="47"/>
      <c r="J201" s="47"/>
      <c r="K201" s="47"/>
      <c r="L201" s="47"/>
      <c r="M201" s="47"/>
      <c r="N201" s="47"/>
    </row>
    <row r="202" spans="1:14">
      <c r="A202" s="109"/>
      <c r="B202" s="49" t="s">
        <v>208</v>
      </c>
      <c r="C202" s="37"/>
      <c r="D202" s="20" t="s">
        <v>534</v>
      </c>
      <c r="E202" s="47"/>
      <c r="F202" s="70"/>
      <c r="G202" s="47"/>
      <c r="H202" s="47"/>
      <c r="I202" s="47"/>
      <c r="J202" s="47"/>
      <c r="K202" s="47"/>
      <c r="L202" s="47"/>
      <c r="M202" s="47"/>
      <c r="N202" s="47"/>
    </row>
    <row r="203" spans="1:14">
      <c r="A203" s="109"/>
      <c r="B203" s="49" t="s">
        <v>211</v>
      </c>
      <c r="C203" s="37"/>
      <c r="D203" s="20" t="s">
        <v>535</v>
      </c>
      <c r="E203" s="47"/>
      <c r="F203" s="70"/>
      <c r="G203" s="47"/>
      <c r="H203" s="47"/>
      <c r="I203" s="47"/>
      <c r="J203" s="47"/>
      <c r="K203" s="47"/>
      <c r="L203" s="47"/>
      <c r="M203" s="47"/>
      <c r="N203" s="47"/>
    </row>
    <row r="204" spans="1:14">
      <c r="A204" s="109"/>
      <c r="B204" s="49" t="s">
        <v>223</v>
      </c>
      <c r="C204" s="37" t="s">
        <v>933</v>
      </c>
      <c r="D204" s="20" t="s">
        <v>536</v>
      </c>
      <c r="E204" s="47">
        <f>(2*3210)/5</f>
        <v>1284</v>
      </c>
      <c r="F204" s="70">
        <f t="shared" si="9"/>
        <v>0.4</v>
      </c>
      <c r="G204" s="47"/>
      <c r="H204" s="47"/>
      <c r="I204" s="47"/>
      <c r="J204" s="47"/>
      <c r="K204" s="47"/>
      <c r="L204" s="47"/>
      <c r="M204" s="47"/>
      <c r="N204" s="47"/>
    </row>
    <row r="205" spans="1:14">
      <c r="A205" s="109"/>
      <c r="B205" s="49" t="s">
        <v>222</v>
      </c>
      <c r="C205" s="37"/>
      <c r="D205" s="20" t="s">
        <v>537</v>
      </c>
      <c r="E205" s="47"/>
      <c r="F205" s="70"/>
      <c r="G205" s="47"/>
      <c r="H205" s="47"/>
      <c r="I205" s="47"/>
      <c r="J205" s="47"/>
      <c r="K205" s="47"/>
      <c r="L205" s="47"/>
      <c r="M205" s="47"/>
      <c r="N205" s="47"/>
    </row>
    <row r="206" spans="1:14">
      <c r="A206" s="109"/>
      <c r="B206" s="49" t="s">
        <v>217</v>
      </c>
      <c r="C206" s="37"/>
      <c r="D206" s="20" t="s">
        <v>538</v>
      </c>
      <c r="E206" s="47"/>
      <c r="F206" s="70"/>
      <c r="G206" s="47"/>
      <c r="H206" s="47"/>
      <c r="I206" s="47"/>
      <c r="J206" s="47"/>
      <c r="K206" s="47"/>
      <c r="L206" s="47"/>
      <c r="M206" s="47"/>
      <c r="N206" s="47"/>
    </row>
    <row r="207" spans="1:14">
      <c r="A207" s="109"/>
      <c r="B207" s="49" t="s">
        <v>209</v>
      </c>
      <c r="C207" s="37"/>
      <c r="D207" s="20" t="s">
        <v>539</v>
      </c>
      <c r="E207" s="47"/>
      <c r="F207" s="70"/>
      <c r="G207" s="47"/>
      <c r="H207" s="47"/>
      <c r="I207" s="47"/>
      <c r="J207" s="47"/>
      <c r="K207" s="47"/>
      <c r="L207" s="47"/>
      <c r="M207" s="47"/>
      <c r="N207" s="47"/>
    </row>
    <row r="208" spans="1:14">
      <c r="A208" s="109"/>
      <c r="B208" s="49" t="s">
        <v>212</v>
      </c>
      <c r="C208" s="37"/>
      <c r="D208" s="20" t="s">
        <v>540</v>
      </c>
      <c r="E208" s="47"/>
      <c r="F208" s="70"/>
      <c r="G208" s="47"/>
      <c r="H208" s="47"/>
      <c r="I208" s="47"/>
      <c r="J208" s="47"/>
      <c r="K208" s="47"/>
      <c r="L208" s="47"/>
      <c r="M208" s="47"/>
      <c r="N208" s="47"/>
    </row>
    <row r="209" spans="1:14">
      <c r="A209" s="109"/>
      <c r="B209" s="49" t="s">
        <v>214</v>
      </c>
      <c r="C209" s="37"/>
      <c r="D209" s="20" t="s">
        <v>541</v>
      </c>
      <c r="E209" s="47"/>
      <c r="F209" s="70"/>
      <c r="G209" s="47"/>
      <c r="H209" s="47"/>
      <c r="I209" s="47"/>
      <c r="J209" s="47"/>
      <c r="K209" s="47"/>
      <c r="L209" s="47"/>
      <c r="M209" s="47"/>
      <c r="N209" s="47"/>
    </row>
    <row r="210" spans="1:14">
      <c r="A210" s="109"/>
      <c r="B210" s="49" t="s">
        <v>215</v>
      </c>
      <c r="C210" s="53"/>
      <c r="D210" s="20" t="s">
        <v>542</v>
      </c>
      <c r="E210" s="47"/>
      <c r="F210" s="70"/>
      <c r="G210" s="47"/>
      <c r="H210" s="47"/>
      <c r="I210" s="47"/>
      <c r="J210" s="47"/>
      <c r="K210" s="47"/>
      <c r="L210" s="47"/>
      <c r="M210" s="47"/>
      <c r="N210" s="47"/>
    </row>
    <row r="211" spans="1:14">
      <c r="A211" s="109" t="s">
        <v>20</v>
      </c>
      <c r="B211" s="49" t="s">
        <v>226</v>
      </c>
      <c r="C211" s="37"/>
      <c r="D211" s="20" t="s">
        <v>543</v>
      </c>
      <c r="E211" s="47"/>
      <c r="F211" s="70"/>
      <c r="G211" s="47"/>
      <c r="H211" s="47"/>
      <c r="I211" s="47"/>
      <c r="J211" s="47"/>
      <c r="K211" s="47"/>
      <c r="L211" s="47"/>
      <c r="M211" s="47"/>
      <c r="N211" s="47"/>
    </row>
    <row r="212" spans="1:14">
      <c r="A212" s="109"/>
      <c r="B212" s="49" t="s">
        <v>225</v>
      </c>
      <c r="C212" s="37"/>
      <c r="D212" s="20" t="s">
        <v>544</v>
      </c>
      <c r="E212" s="47"/>
      <c r="F212" s="70"/>
      <c r="G212" s="47"/>
      <c r="H212" s="47"/>
      <c r="I212" s="47"/>
      <c r="J212" s="47"/>
      <c r="K212" s="47"/>
      <c r="L212" s="47"/>
      <c r="M212" s="47"/>
      <c r="N212" s="47"/>
    </row>
    <row r="213" spans="1:14">
      <c r="A213" s="109"/>
      <c r="B213" s="49" t="s">
        <v>228</v>
      </c>
      <c r="C213" s="37"/>
      <c r="D213" s="20" t="s">
        <v>545</v>
      </c>
      <c r="E213" s="47"/>
      <c r="F213" s="70"/>
      <c r="G213" s="47"/>
      <c r="H213" s="47"/>
      <c r="I213" s="47"/>
      <c r="J213" s="47"/>
      <c r="K213" s="47"/>
      <c r="L213" s="47"/>
      <c r="M213" s="47"/>
      <c r="N213" s="47"/>
    </row>
    <row r="214" spans="1:14" ht="29.25">
      <c r="A214" s="109"/>
      <c r="B214" s="49" t="s">
        <v>224</v>
      </c>
      <c r="C214" s="37" t="s">
        <v>899</v>
      </c>
      <c r="D214" s="20" t="s">
        <v>546</v>
      </c>
      <c r="E214" s="47">
        <v>300</v>
      </c>
      <c r="F214" s="70">
        <v>1</v>
      </c>
      <c r="G214" s="47"/>
      <c r="H214" s="47"/>
      <c r="I214" s="47"/>
      <c r="J214" s="47"/>
      <c r="K214" s="47"/>
      <c r="L214" s="47"/>
      <c r="M214" s="47"/>
      <c r="N214" s="47"/>
    </row>
    <row r="215" spans="1:14">
      <c r="A215" s="109"/>
      <c r="B215" s="49" t="s">
        <v>227</v>
      </c>
      <c r="C215" s="53"/>
      <c r="D215" s="20" t="s">
        <v>547</v>
      </c>
      <c r="E215" s="47"/>
      <c r="F215" s="70"/>
      <c r="G215" s="47"/>
      <c r="H215" s="47"/>
      <c r="I215" s="47"/>
      <c r="J215" s="47"/>
      <c r="K215" s="47"/>
      <c r="L215" s="47"/>
      <c r="M215" s="47"/>
      <c r="N215" s="47"/>
    </row>
    <row r="216" spans="1:14" ht="29.25">
      <c r="A216" s="109"/>
      <c r="B216" s="49" t="s">
        <v>548</v>
      </c>
      <c r="C216" s="37"/>
      <c r="D216" s="20" t="s">
        <v>549</v>
      </c>
      <c r="E216" s="47"/>
      <c r="F216" s="70"/>
      <c r="G216" s="47"/>
      <c r="H216" s="47"/>
      <c r="I216" s="47"/>
      <c r="J216" s="47"/>
      <c r="K216" s="47"/>
      <c r="L216" s="47"/>
      <c r="M216" s="47"/>
      <c r="N216" s="47"/>
    </row>
    <row r="217" spans="1:14" ht="29.25">
      <c r="A217" s="109"/>
      <c r="B217" s="49" t="s">
        <v>550</v>
      </c>
      <c r="C217" s="37"/>
      <c r="D217" s="20" t="s">
        <v>551</v>
      </c>
      <c r="E217" s="47"/>
      <c r="F217" s="70"/>
      <c r="G217" s="47"/>
      <c r="H217" s="47"/>
      <c r="I217" s="47"/>
      <c r="J217" s="47"/>
      <c r="K217" s="47"/>
      <c r="L217" s="47"/>
      <c r="M217" s="47"/>
      <c r="N217" s="47"/>
    </row>
    <row r="218" spans="1:14">
      <c r="A218" s="109" t="s">
        <v>21</v>
      </c>
      <c r="B218" s="49" t="s">
        <v>231</v>
      </c>
      <c r="C218" s="37"/>
      <c r="D218" s="20" t="s">
        <v>552</v>
      </c>
      <c r="E218" s="47"/>
      <c r="F218" s="70"/>
      <c r="G218" s="47"/>
      <c r="H218" s="47"/>
      <c r="I218" s="47"/>
      <c r="J218" s="47"/>
      <c r="K218" s="47"/>
      <c r="L218" s="47"/>
      <c r="M218" s="47"/>
      <c r="N218" s="47"/>
    </row>
    <row r="219" spans="1:14">
      <c r="A219" s="109"/>
      <c r="B219" s="49" t="s">
        <v>236</v>
      </c>
      <c r="C219" s="37" t="s">
        <v>931</v>
      </c>
      <c r="D219" s="20" t="s">
        <v>553</v>
      </c>
      <c r="E219" s="47">
        <f>(3*2176)/6</f>
        <v>1088</v>
      </c>
      <c r="F219" s="70">
        <f t="shared" ref="F219:F225" si="10">E219/SUM(E$218:E$225)</f>
        <v>0.5</v>
      </c>
      <c r="G219" s="47"/>
      <c r="H219" s="47"/>
      <c r="I219" s="47"/>
      <c r="J219" s="47"/>
      <c r="K219" s="47"/>
      <c r="L219" s="47"/>
      <c r="M219" s="47"/>
      <c r="N219" s="47"/>
    </row>
    <row r="220" spans="1:14">
      <c r="A220" s="109"/>
      <c r="B220" s="49" t="s">
        <v>232</v>
      </c>
      <c r="C220" s="37"/>
      <c r="D220" s="20" t="s">
        <v>554</v>
      </c>
      <c r="E220" s="47"/>
      <c r="F220" s="70"/>
      <c r="G220" s="47"/>
      <c r="H220" s="47"/>
      <c r="I220" s="47"/>
      <c r="J220" s="47"/>
      <c r="K220" s="47"/>
      <c r="L220" s="47"/>
      <c r="M220" s="47"/>
      <c r="N220" s="47"/>
    </row>
    <row r="221" spans="1:14">
      <c r="A221" s="109"/>
      <c r="B221" s="49" t="s">
        <v>230</v>
      </c>
      <c r="C221" s="37" t="s">
        <v>723</v>
      </c>
      <c r="D221" s="20" t="s">
        <v>555</v>
      </c>
      <c r="E221" s="47">
        <f>(1*2176)/6</f>
        <v>362.66666666666669</v>
      </c>
      <c r="F221" s="70">
        <f t="shared" si="10"/>
        <v>0.16666666666666669</v>
      </c>
      <c r="G221" s="47"/>
      <c r="H221" s="47"/>
      <c r="I221" s="47"/>
      <c r="J221" s="47"/>
      <c r="K221" s="47"/>
      <c r="L221" s="47"/>
      <c r="M221" s="47"/>
      <c r="N221" s="47"/>
    </row>
    <row r="222" spans="1:14">
      <c r="A222" s="109"/>
      <c r="B222" s="49" t="s">
        <v>234</v>
      </c>
      <c r="C222" s="37"/>
      <c r="D222" s="20" t="s">
        <v>556</v>
      </c>
      <c r="E222" s="47"/>
      <c r="F222" s="70"/>
      <c r="G222" s="47"/>
      <c r="H222" s="47"/>
      <c r="I222" s="47"/>
      <c r="J222" s="47"/>
      <c r="K222" s="47"/>
      <c r="L222" s="47"/>
      <c r="M222" s="47"/>
      <c r="N222" s="47"/>
    </row>
    <row r="223" spans="1:14">
      <c r="A223" s="109"/>
      <c r="B223" s="49" t="s">
        <v>233</v>
      </c>
      <c r="C223" s="37" t="s">
        <v>930</v>
      </c>
      <c r="D223" s="20" t="s">
        <v>557</v>
      </c>
      <c r="E223" s="47">
        <f>(2*2176)/6</f>
        <v>725.33333333333337</v>
      </c>
      <c r="F223" s="70">
        <f t="shared" si="10"/>
        <v>0.33333333333333337</v>
      </c>
      <c r="G223" s="47"/>
      <c r="H223" s="47"/>
      <c r="I223" s="47"/>
      <c r="J223" s="47"/>
      <c r="K223" s="47"/>
      <c r="L223" s="47"/>
      <c r="M223" s="47"/>
      <c r="N223" s="47"/>
    </row>
    <row r="224" spans="1:14">
      <c r="A224" s="109"/>
      <c r="B224" s="49" t="s">
        <v>229</v>
      </c>
      <c r="C224" s="37"/>
      <c r="D224" s="20" t="s">
        <v>558</v>
      </c>
      <c r="E224" s="47"/>
      <c r="F224" s="70"/>
      <c r="G224" s="47"/>
      <c r="H224" s="47"/>
      <c r="I224" s="47"/>
      <c r="J224" s="47"/>
      <c r="K224" s="47"/>
      <c r="L224" s="47"/>
      <c r="M224" s="47"/>
      <c r="N224" s="47"/>
    </row>
    <row r="225" spans="1:14">
      <c r="A225" s="109"/>
      <c r="B225" s="49" t="s">
        <v>235</v>
      </c>
      <c r="C225" s="37"/>
      <c r="D225" s="20" t="s">
        <v>559</v>
      </c>
      <c r="E225" s="47"/>
      <c r="F225" s="70">
        <f t="shared" si="10"/>
        <v>0</v>
      </c>
      <c r="G225" s="47"/>
      <c r="H225" s="47"/>
      <c r="I225" s="47"/>
      <c r="J225" s="47"/>
      <c r="K225" s="47"/>
      <c r="L225" s="47"/>
      <c r="M225" s="47"/>
      <c r="N225" s="47"/>
    </row>
    <row r="226" spans="1:14">
      <c r="A226" s="109" t="s">
        <v>22</v>
      </c>
      <c r="B226" s="49" t="s">
        <v>237</v>
      </c>
      <c r="C226" s="37"/>
      <c r="D226" s="20" t="s">
        <v>560</v>
      </c>
      <c r="E226" s="47"/>
      <c r="F226" s="70">
        <v>0.5</v>
      </c>
      <c r="G226" s="47" t="s">
        <v>950</v>
      </c>
      <c r="H226" s="47"/>
      <c r="I226" s="47"/>
      <c r="J226" s="47"/>
      <c r="K226" s="47"/>
      <c r="L226" s="47"/>
      <c r="M226" s="47"/>
      <c r="N226" s="47"/>
    </row>
    <row r="227" spans="1:14">
      <c r="A227" s="109"/>
      <c r="B227" s="49" t="s">
        <v>238</v>
      </c>
      <c r="C227" s="37"/>
      <c r="D227" s="20" t="s">
        <v>561</v>
      </c>
      <c r="E227" s="47"/>
      <c r="F227" s="70">
        <v>0.5</v>
      </c>
      <c r="G227" s="47" t="s">
        <v>950</v>
      </c>
      <c r="H227" s="47"/>
      <c r="I227" s="47"/>
      <c r="J227" s="47"/>
      <c r="K227" s="47"/>
      <c r="L227" s="47"/>
      <c r="M227" s="47"/>
      <c r="N227" s="47"/>
    </row>
    <row r="228" spans="1:14">
      <c r="A228" s="109" t="s">
        <v>23</v>
      </c>
      <c r="B228" s="49" t="s">
        <v>241</v>
      </c>
      <c r="C228" s="37" t="s">
        <v>674</v>
      </c>
      <c r="D228" s="20" t="s">
        <v>562</v>
      </c>
      <c r="E228" s="47">
        <v>429</v>
      </c>
      <c r="F228" s="70">
        <v>1</v>
      </c>
      <c r="G228" s="47"/>
      <c r="H228" s="47"/>
      <c r="I228" s="47"/>
      <c r="J228" s="47"/>
      <c r="K228" s="47"/>
      <c r="L228" s="47"/>
      <c r="M228" s="47"/>
      <c r="N228" s="47"/>
    </row>
    <row r="229" spans="1:14">
      <c r="A229" s="109"/>
      <c r="B229" s="49" t="s">
        <v>239</v>
      </c>
      <c r="C229" s="37"/>
      <c r="D229" s="20" t="s">
        <v>563</v>
      </c>
      <c r="E229" s="47"/>
      <c r="F229" s="70"/>
      <c r="G229" s="47"/>
      <c r="H229" s="47"/>
      <c r="I229" s="47"/>
      <c r="J229" s="47"/>
      <c r="K229" s="47"/>
      <c r="L229" s="47"/>
      <c r="M229" s="47"/>
      <c r="N229" s="47"/>
    </row>
    <row r="230" spans="1:14">
      <c r="A230" s="109"/>
      <c r="B230" s="49" t="s">
        <v>242</v>
      </c>
      <c r="C230" s="37"/>
      <c r="D230" s="20" t="s">
        <v>564</v>
      </c>
      <c r="E230" s="47"/>
      <c r="F230" s="70"/>
      <c r="G230" s="47"/>
      <c r="H230" s="47"/>
      <c r="I230" s="47"/>
      <c r="J230" s="47"/>
      <c r="K230" s="47"/>
      <c r="L230" s="47"/>
      <c r="M230" s="47"/>
      <c r="N230" s="47"/>
    </row>
    <row r="231" spans="1:14">
      <c r="A231" s="109"/>
      <c r="B231" s="49" t="s">
        <v>240</v>
      </c>
      <c r="C231" s="37"/>
      <c r="D231" s="20" t="s">
        <v>565</v>
      </c>
      <c r="E231" s="47"/>
      <c r="F231" s="70"/>
      <c r="G231" s="47"/>
      <c r="H231" s="47"/>
      <c r="I231" s="47"/>
      <c r="J231" s="47"/>
      <c r="K231" s="47"/>
      <c r="L231" s="47"/>
      <c r="M231" s="47"/>
      <c r="N231" s="47"/>
    </row>
    <row r="232" spans="1:14">
      <c r="A232" s="109" t="s">
        <v>24</v>
      </c>
      <c r="B232" s="49" t="s">
        <v>243</v>
      </c>
      <c r="C232" s="37"/>
      <c r="D232" s="20" t="s">
        <v>566</v>
      </c>
      <c r="E232" s="47"/>
      <c r="F232" s="70">
        <f xml:space="preserve"> 1/ROWS(B232:B236)</f>
        <v>0.2</v>
      </c>
      <c r="G232" s="47" t="s">
        <v>950</v>
      </c>
      <c r="H232" s="47"/>
      <c r="I232" s="47"/>
      <c r="J232" s="47"/>
      <c r="K232" s="47"/>
      <c r="L232" s="47"/>
      <c r="M232" s="47"/>
      <c r="N232" s="47"/>
    </row>
    <row r="233" spans="1:14">
      <c r="A233" s="109"/>
      <c r="B233" s="49" t="s">
        <v>245</v>
      </c>
      <c r="C233" s="37"/>
      <c r="D233" s="20" t="s">
        <v>567</v>
      </c>
      <c r="E233" s="47"/>
      <c r="F233" s="70">
        <f t="shared" ref="F233:F236" si="11" xml:space="preserve"> 1/ROWS(B233:B237)</f>
        <v>0.2</v>
      </c>
      <c r="G233" s="47" t="s">
        <v>950</v>
      </c>
      <c r="H233" s="47"/>
      <c r="I233" s="47"/>
      <c r="J233" s="47"/>
      <c r="K233" s="47"/>
      <c r="L233" s="47"/>
      <c r="M233" s="47"/>
      <c r="N233" s="47"/>
    </row>
    <row r="234" spans="1:14">
      <c r="A234" s="109"/>
      <c r="B234" s="49" t="s">
        <v>244</v>
      </c>
      <c r="C234" s="37"/>
      <c r="D234" s="20" t="s">
        <v>568</v>
      </c>
      <c r="E234" s="47"/>
      <c r="F234" s="70">
        <f t="shared" si="11"/>
        <v>0.2</v>
      </c>
      <c r="G234" s="47" t="s">
        <v>950</v>
      </c>
      <c r="H234" s="47"/>
      <c r="I234" s="47"/>
      <c r="J234" s="47"/>
      <c r="K234" s="47"/>
      <c r="L234" s="47"/>
      <c r="M234" s="47"/>
      <c r="N234" s="47"/>
    </row>
    <row r="235" spans="1:14">
      <c r="A235" s="109"/>
      <c r="B235" s="49" t="s">
        <v>246</v>
      </c>
      <c r="C235" s="37"/>
      <c r="D235" s="20" t="s">
        <v>569</v>
      </c>
      <c r="E235" s="47"/>
      <c r="F235" s="70">
        <f t="shared" si="11"/>
        <v>0.2</v>
      </c>
      <c r="G235" s="47" t="s">
        <v>950</v>
      </c>
      <c r="H235" s="47"/>
      <c r="I235" s="47"/>
      <c r="J235" s="47"/>
      <c r="K235" s="47"/>
      <c r="L235" s="47"/>
      <c r="M235" s="47"/>
      <c r="N235" s="47"/>
    </row>
    <row r="236" spans="1:14">
      <c r="A236" s="109"/>
      <c r="B236" s="49" t="s">
        <v>570</v>
      </c>
      <c r="C236" s="37"/>
      <c r="D236" s="20" t="s">
        <v>571</v>
      </c>
      <c r="E236" s="47"/>
      <c r="F236" s="70">
        <f t="shared" si="11"/>
        <v>0.2</v>
      </c>
      <c r="G236" s="47" t="s">
        <v>950</v>
      </c>
      <c r="H236" s="47"/>
      <c r="I236" s="47"/>
      <c r="J236" s="47"/>
      <c r="K236" s="47"/>
      <c r="L236" s="47"/>
      <c r="M236" s="47"/>
      <c r="N236" s="47"/>
    </row>
    <row r="237" spans="1:14">
      <c r="A237" s="109" t="s">
        <v>25</v>
      </c>
      <c r="B237" s="49" t="s">
        <v>247</v>
      </c>
      <c r="C237" s="37"/>
      <c r="D237" s="20" t="s">
        <v>572</v>
      </c>
      <c r="E237" s="47"/>
      <c r="F237" s="70">
        <f xml:space="preserve"> 1/ROWS(B237:B244)</f>
        <v>0.125</v>
      </c>
      <c r="G237" s="47" t="s">
        <v>950</v>
      </c>
      <c r="H237" s="47"/>
      <c r="I237" s="47"/>
      <c r="J237" s="47"/>
      <c r="K237" s="47"/>
      <c r="L237" s="47"/>
      <c r="M237" s="47"/>
      <c r="N237" s="47"/>
    </row>
    <row r="238" spans="1:14">
      <c r="A238" s="109"/>
      <c r="B238" s="49" t="s">
        <v>248</v>
      </c>
      <c r="C238" s="37"/>
      <c r="D238" s="20" t="s">
        <v>573</v>
      </c>
      <c r="E238" s="47"/>
      <c r="F238" s="70">
        <f t="shared" ref="F238:F244" si="12" xml:space="preserve"> 1/ROWS(B238:B245)</f>
        <v>0.125</v>
      </c>
      <c r="G238" s="47" t="s">
        <v>950</v>
      </c>
      <c r="H238" s="47"/>
      <c r="I238" s="47"/>
      <c r="J238" s="47"/>
      <c r="K238" s="47"/>
      <c r="L238" s="47"/>
      <c r="M238" s="47"/>
      <c r="N238" s="47"/>
    </row>
    <row r="239" spans="1:14">
      <c r="A239" s="109"/>
      <c r="B239" s="49" t="s">
        <v>252</v>
      </c>
      <c r="C239" s="37"/>
      <c r="D239" s="20" t="s">
        <v>574</v>
      </c>
      <c r="E239" s="47"/>
      <c r="F239" s="70">
        <f t="shared" si="12"/>
        <v>0.125</v>
      </c>
      <c r="G239" s="47" t="s">
        <v>950</v>
      </c>
      <c r="H239" s="47"/>
      <c r="I239" s="47"/>
      <c r="J239" s="47"/>
      <c r="K239" s="47"/>
      <c r="L239" s="47"/>
      <c r="M239" s="47"/>
      <c r="N239" s="47"/>
    </row>
    <row r="240" spans="1:14">
      <c r="A240" s="109"/>
      <c r="B240" s="49" t="s">
        <v>254</v>
      </c>
      <c r="C240" s="37"/>
      <c r="D240" s="20" t="s">
        <v>575</v>
      </c>
      <c r="E240" s="47"/>
      <c r="F240" s="70">
        <f t="shared" si="12"/>
        <v>0.125</v>
      </c>
      <c r="G240" s="47" t="s">
        <v>950</v>
      </c>
      <c r="H240" s="47"/>
      <c r="I240" s="47"/>
      <c r="J240" s="47"/>
      <c r="K240" s="47"/>
      <c r="L240" s="47"/>
      <c r="M240" s="47"/>
      <c r="N240" s="47"/>
    </row>
    <row r="241" spans="1:14">
      <c r="A241" s="109"/>
      <c r="B241" s="49" t="s">
        <v>251</v>
      </c>
      <c r="C241" s="53"/>
      <c r="D241" s="20" t="s">
        <v>576</v>
      </c>
      <c r="E241" s="47"/>
      <c r="F241" s="70">
        <f t="shared" si="12"/>
        <v>0.125</v>
      </c>
      <c r="G241" s="47" t="s">
        <v>950</v>
      </c>
      <c r="H241" s="47"/>
      <c r="I241" s="47"/>
      <c r="J241" s="47"/>
      <c r="K241" s="47"/>
      <c r="L241" s="47"/>
      <c r="M241" s="47"/>
      <c r="N241" s="47"/>
    </row>
    <row r="242" spans="1:14">
      <c r="A242" s="109"/>
      <c r="B242" s="49" t="s">
        <v>253</v>
      </c>
      <c r="C242" s="37"/>
      <c r="D242" s="20" t="s">
        <v>577</v>
      </c>
      <c r="E242" s="47"/>
      <c r="F242" s="70">
        <f t="shared" si="12"/>
        <v>0.125</v>
      </c>
      <c r="G242" s="47" t="s">
        <v>950</v>
      </c>
      <c r="H242" s="47"/>
      <c r="I242" s="47"/>
      <c r="J242" s="47"/>
      <c r="K242" s="47"/>
      <c r="L242" s="47"/>
      <c r="M242" s="47"/>
      <c r="N242" s="47"/>
    </row>
    <row r="243" spans="1:14">
      <c r="A243" s="109"/>
      <c r="B243" s="49" t="s">
        <v>250</v>
      </c>
      <c r="C243" s="37"/>
      <c r="D243" s="20" t="s">
        <v>578</v>
      </c>
      <c r="E243" s="47"/>
      <c r="F243" s="70">
        <f t="shared" si="12"/>
        <v>0.125</v>
      </c>
      <c r="G243" s="47" t="s">
        <v>950</v>
      </c>
      <c r="H243" s="47"/>
      <c r="I243" s="47"/>
      <c r="J243" s="47"/>
      <c r="K243" s="47"/>
      <c r="L243" s="47"/>
      <c r="M243" s="47"/>
      <c r="N243" s="47"/>
    </row>
    <row r="244" spans="1:14">
      <c r="A244" s="109"/>
      <c r="B244" s="49" t="s">
        <v>249</v>
      </c>
      <c r="C244" s="37"/>
      <c r="D244" s="20" t="s">
        <v>579</v>
      </c>
      <c r="E244" s="47"/>
      <c r="F244" s="70">
        <f t="shared" si="12"/>
        <v>0.125</v>
      </c>
      <c r="G244" s="47" t="s">
        <v>950</v>
      </c>
      <c r="H244" s="47"/>
      <c r="I244" s="47"/>
      <c r="J244" s="47"/>
      <c r="K244" s="47"/>
      <c r="L244" s="47"/>
      <c r="M244" s="47"/>
      <c r="N244" s="47"/>
    </row>
    <row r="245" spans="1:14" ht="29.25">
      <c r="A245" s="109" t="s">
        <v>26</v>
      </c>
      <c r="B245" s="49" t="s">
        <v>294</v>
      </c>
      <c r="C245" s="53" t="s">
        <v>919</v>
      </c>
      <c r="D245" s="20" t="s">
        <v>580</v>
      </c>
      <c r="E245" s="47">
        <v>530</v>
      </c>
      <c r="F245" s="70">
        <f>E245/SUM(E$245:E$285)</f>
        <v>0.44166666666666665</v>
      </c>
      <c r="G245" s="47"/>
      <c r="H245" s="47"/>
      <c r="I245" s="47"/>
      <c r="J245" s="47"/>
      <c r="K245" s="47"/>
      <c r="L245" s="47"/>
      <c r="M245" s="47"/>
      <c r="N245" s="47"/>
    </row>
    <row r="246" spans="1:14" ht="29.25">
      <c r="A246" s="109"/>
      <c r="B246" s="49" t="s">
        <v>268</v>
      </c>
      <c r="C246" s="37"/>
      <c r="D246" s="20" t="s">
        <v>581</v>
      </c>
      <c r="E246" s="47"/>
      <c r="F246" s="70"/>
      <c r="G246" s="47"/>
      <c r="H246" s="47"/>
      <c r="I246" s="47"/>
      <c r="J246" s="47"/>
      <c r="K246" s="47"/>
      <c r="L246" s="47"/>
      <c r="M246" s="47"/>
      <c r="N246" s="47"/>
    </row>
    <row r="247" spans="1:14">
      <c r="A247" s="109"/>
      <c r="B247" s="49" t="s">
        <v>280</v>
      </c>
      <c r="C247" s="37"/>
      <c r="D247" s="20" t="s">
        <v>582</v>
      </c>
      <c r="E247" s="47"/>
      <c r="F247" s="70"/>
      <c r="G247" s="47"/>
      <c r="H247" s="47"/>
      <c r="I247" s="47"/>
      <c r="J247" s="47"/>
      <c r="K247" s="47"/>
      <c r="L247" s="47"/>
      <c r="M247" s="47"/>
      <c r="N247" s="47"/>
    </row>
    <row r="248" spans="1:14">
      <c r="A248" s="109"/>
      <c r="B248" s="49" t="s">
        <v>270</v>
      </c>
      <c r="C248" s="37"/>
      <c r="D248" s="20" t="s">
        <v>583</v>
      </c>
      <c r="E248" s="47"/>
      <c r="F248" s="70"/>
      <c r="G248" s="47"/>
      <c r="H248" s="47"/>
      <c r="I248" s="47"/>
      <c r="J248" s="47"/>
      <c r="K248" s="47"/>
      <c r="L248" s="47"/>
      <c r="M248" s="47"/>
      <c r="N248" s="47"/>
    </row>
    <row r="249" spans="1:14">
      <c r="A249" s="109"/>
      <c r="B249" s="49" t="s">
        <v>285</v>
      </c>
      <c r="C249" s="37"/>
      <c r="D249" s="20" t="s">
        <v>584</v>
      </c>
      <c r="E249" s="47"/>
      <c r="F249" s="70"/>
      <c r="G249" s="47"/>
      <c r="H249" s="47"/>
      <c r="I249" s="47"/>
      <c r="J249" s="47"/>
      <c r="K249" s="47"/>
      <c r="L249" s="47"/>
      <c r="M249" s="47"/>
      <c r="N249" s="47"/>
    </row>
    <row r="250" spans="1:14">
      <c r="A250" s="109"/>
      <c r="B250" s="49" t="s">
        <v>264</v>
      </c>
      <c r="C250" s="37" t="s">
        <v>920</v>
      </c>
      <c r="D250" s="20" t="s">
        <v>585</v>
      </c>
      <c r="E250" s="47">
        <v>400</v>
      </c>
      <c r="F250" s="70">
        <f t="shared" ref="F250:F252" si="13">E250/SUM(E$245:E$285)</f>
        <v>0.33333333333333331</v>
      </c>
      <c r="G250" s="47"/>
      <c r="H250" s="47"/>
      <c r="I250" s="47"/>
      <c r="J250" s="47"/>
      <c r="K250" s="47"/>
      <c r="L250" s="47"/>
      <c r="M250" s="47"/>
      <c r="N250" s="47"/>
    </row>
    <row r="251" spans="1:14">
      <c r="A251" s="109"/>
      <c r="B251" s="49" t="s">
        <v>269</v>
      </c>
      <c r="C251" s="37"/>
      <c r="D251" s="20" t="s">
        <v>586</v>
      </c>
      <c r="E251" s="47"/>
      <c r="F251" s="70"/>
      <c r="G251" s="47"/>
      <c r="H251" s="47"/>
      <c r="I251" s="47"/>
      <c r="J251" s="47"/>
      <c r="K251" s="47"/>
      <c r="L251" s="47"/>
      <c r="M251" s="47"/>
      <c r="N251" s="47"/>
    </row>
    <row r="252" spans="1:14" ht="29.25">
      <c r="A252" s="109"/>
      <c r="B252" s="49" t="s">
        <v>277</v>
      </c>
      <c r="C252" s="37" t="s">
        <v>921</v>
      </c>
      <c r="D252" s="20" t="s">
        <v>587</v>
      </c>
      <c r="E252" s="47">
        <v>270</v>
      </c>
      <c r="F252" s="70">
        <f t="shared" si="13"/>
        <v>0.22500000000000001</v>
      </c>
      <c r="G252" s="47"/>
      <c r="H252" s="47"/>
      <c r="I252" s="47"/>
      <c r="J252" s="47"/>
      <c r="K252" s="47"/>
      <c r="L252" s="47"/>
      <c r="M252" s="47"/>
      <c r="N252" s="47"/>
    </row>
    <row r="253" spans="1:14">
      <c r="A253" s="109"/>
      <c r="B253" s="49" t="s">
        <v>295</v>
      </c>
      <c r="C253" s="37"/>
      <c r="D253" s="20" t="s">
        <v>588</v>
      </c>
      <c r="E253" s="47"/>
      <c r="F253" s="70"/>
      <c r="G253" s="47"/>
      <c r="H253" s="47"/>
      <c r="I253" s="47"/>
      <c r="J253" s="47"/>
      <c r="K253" s="47"/>
      <c r="L253" s="47"/>
      <c r="M253" s="47"/>
      <c r="N253" s="47"/>
    </row>
    <row r="254" spans="1:14">
      <c r="A254" s="109"/>
      <c r="B254" s="49" t="s">
        <v>266</v>
      </c>
      <c r="C254" s="37"/>
      <c r="D254" s="20" t="s">
        <v>589</v>
      </c>
      <c r="E254" s="47"/>
      <c r="F254" s="70"/>
      <c r="G254" s="47"/>
      <c r="H254" s="47"/>
      <c r="I254" s="47"/>
      <c r="J254" s="47"/>
      <c r="K254" s="47"/>
      <c r="L254" s="47"/>
      <c r="M254" s="47"/>
      <c r="N254" s="47"/>
    </row>
    <row r="255" spans="1:14">
      <c r="A255" s="109"/>
      <c r="B255" s="49" t="s">
        <v>263</v>
      </c>
      <c r="C255" s="37"/>
      <c r="D255" s="20" t="s">
        <v>590</v>
      </c>
      <c r="E255" s="47"/>
      <c r="F255" s="70"/>
      <c r="G255" s="47"/>
      <c r="H255" s="47"/>
      <c r="I255" s="47"/>
      <c r="J255" s="47"/>
      <c r="K255" s="47"/>
      <c r="L255" s="47"/>
      <c r="M255" s="47"/>
      <c r="N255" s="47"/>
    </row>
    <row r="256" spans="1:14" ht="29.25">
      <c r="A256" s="109"/>
      <c r="B256" s="49" t="s">
        <v>279</v>
      </c>
      <c r="C256" s="37"/>
      <c r="D256" s="20" t="s">
        <v>591</v>
      </c>
      <c r="E256" s="47"/>
      <c r="F256" s="70"/>
      <c r="G256" s="47"/>
      <c r="H256" s="47"/>
      <c r="I256" s="47"/>
      <c r="J256" s="47"/>
      <c r="K256" s="47"/>
      <c r="L256" s="47"/>
      <c r="M256" s="47"/>
      <c r="N256" s="47"/>
    </row>
    <row r="257" spans="1:14" ht="29.25">
      <c r="A257" s="109"/>
      <c r="B257" s="49" t="s">
        <v>272</v>
      </c>
      <c r="C257" s="37"/>
      <c r="D257" s="20" t="s">
        <v>592</v>
      </c>
      <c r="E257" s="47"/>
      <c r="F257" s="70"/>
      <c r="G257" s="47"/>
      <c r="H257" s="47"/>
      <c r="I257" s="47"/>
      <c r="J257" s="47"/>
      <c r="K257" s="47"/>
      <c r="L257" s="47"/>
      <c r="M257" s="47"/>
      <c r="N257" s="47"/>
    </row>
    <row r="258" spans="1:14">
      <c r="A258" s="109"/>
      <c r="B258" s="49" t="s">
        <v>271</v>
      </c>
      <c r="C258" s="37"/>
      <c r="D258" s="20" t="s">
        <v>593</v>
      </c>
      <c r="E258" s="47"/>
      <c r="F258" s="70"/>
      <c r="G258" s="47"/>
      <c r="H258" s="47"/>
      <c r="I258" s="47"/>
      <c r="J258" s="47"/>
      <c r="K258" s="47"/>
      <c r="L258" s="47"/>
      <c r="M258" s="47"/>
      <c r="N258" s="47"/>
    </row>
    <row r="259" spans="1:14" ht="43.5">
      <c r="A259" s="109"/>
      <c r="B259" s="49" t="s">
        <v>275</v>
      </c>
      <c r="C259" s="37"/>
      <c r="D259" s="20" t="s">
        <v>594</v>
      </c>
      <c r="E259" s="47"/>
      <c r="F259" s="70"/>
      <c r="G259" s="47"/>
      <c r="H259" s="47"/>
      <c r="I259" s="47"/>
      <c r="J259" s="47"/>
      <c r="K259" s="47"/>
      <c r="L259" s="47"/>
      <c r="M259" s="47"/>
      <c r="N259" s="47"/>
    </row>
    <row r="260" spans="1:14" ht="29.25">
      <c r="A260" s="109"/>
      <c r="B260" s="49" t="s">
        <v>267</v>
      </c>
      <c r="C260" s="37"/>
      <c r="D260" s="20" t="s">
        <v>595</v>
      </c>
      <c r="E260" s="47"/>
      <c r="F260" s="70"/>
      <c r="G260" s="47"/>
      <c r="H260" s="47"/>
      <c r="I260" s="47"/>
      <c r="J260" s="47"/>
      <c r="K260" s="47"/>
      <c r="L260" s="47"/>
      <c r="M260" s="47"/>
      <c r="N260" s="47"/>
    </row>
    <row r="261" spans="1:14">
      <c r="A261" s="109"/>
      <c r="B261" s="49" t="s">
        <v>274</v>
      </c>
      <c r="C261" s="37"/>
      <c r="D261" s="20" t="s">
        <v>596</v>
      </c>
      <c r="E261" s="47"/>
      <c r="F261" s="70"/>
      <c r="G261" s="47"/>
      <c r="H261" s="47"/>
      <c r="I261" s="47"/>
      <c r="J261" s="47"/>
      <c r="K261" s="47"/>
      <c r="L261" s="47"/>
      <c r="M261" s="47"/>
      <c r="N261" s="47"/>
    </row>
    <row r="262" spans="1:14">
      <c r="A262" s="109"/>
      <c r="B262" s="49" t="s">
        <v>282</v>
      </c>
      <c r="C262" s="37"/>
      <c r="D262" s="20" t="s">
        <v>597</v>
      </c>
      <c r="E262" s="47"/>
      <c r="F262" s="70"/>
      <c r="G262" s="47"/>
      <c r="H262" s="47"/>
      <c r="I262" s="47"/>
      <c r="J262" s="47"/>
      <c r="K262" s="47"/>
      <c r="L262" s="47"/>
      <c r="M262" s="47"/>
      <c r="N262" s="47"/>
    </row>
    <row r="263" spans="1:14" ht="29.25">
      <c r="A263" s="109"/>
      <c r="B263" s="49" t="s">
        <v>287</v>
      </c>
      <c r="C263" s="37"/>
      <c r="D263" s="20" t="s">
        <v>598</v>
      </c>
      <c r="E263" s="47"/>
      <c r="F263" s="70"/>
      <c r="G263" s="47"/>
      <c r="H263" s="47"/>
      <c r="I263" s="47"/>
      <c r="J263" s="47"/>
      <c r="K263" s="47"/>
      <c r="L263" s="47"/>
      <c r="M263" s="47"/>
      <c r="N263" s="47"/>
    </row>
    <row r="264" spans="1:14">
      <c r="A264" s="109"/>
      <c r="B264" s="49" t="s">
        <v>265</v>
      </c>
      <c r="C264" s="37"/>
      <c r="D264" s="20" t="s">
        <v>599</v>
      </c>
      <c r="E264" s="47"/>
      <c r="F264" s="70"/>
      <c r="G264" s="47"/>
      <c r="H264" s="47"/>
      <c r="I264" s="47"/>
      <c r="J264" s="47"/>
      <c r="K264" s="47"/>
      <c r="L264" s="47"/>
      <c r="M264" s="47"/>
      <c r="N264" s="47"/>
    </row>
    <row r="265" spans="1:14">
      <c r="A265" s="109"/>
      <c r="B265" s="49" t="s">
        <v>293</v>
      </c>
      <c r="C265" s="37"/>
      <c r="D265" s="20" t="s">
        <v>600</v>
      </c>
      <c r="E265" s="47"/>
      <c r="F265" s="70"/>
      <c r="G265" s="47"/>
      <c r="H265" s="47"/>
      <c r="I265" s="47"/>
      <c r="J265" s="47"/>
      <c r="K265" s="47"/>
      <c r="L265" s="47"/>
      <c r="M265" s="47"/>
      <c r="N265" s="47"/>
    </row>
    <row r="266" spans="1:14">
      <c r="A266" s="109"/>
      <c r="B266" s="49" t="s">
        <v>292</v>
      </c>
      <c r="C266" s="37"/>
      <c r="D266" s="20" t="s">
        <v>601</v>
      </c>
      <c r="E266" s="47"/>
      <c r="F266" s="70"/>
      <c r="G266" s="47"/>
      <c r="H266" s="47"/>
      <c r="I266" s="47"/>
      <c r="J266" s="47"/>
      <c r="K266" s="47"/>
      <c r="L266" s="47"/>
      <c r="M266" s="47"/>
      <c r="N266" s="47"/>
    </row>
    <row r="267" spans="1:14" ht="29.25">
      <c r="A267" s="109"/>
      <c r="B267" s="49" t="s">
        <v>291</v>
      </c>
      <c r="C267" s="37"/>
      <c r="D267" s="20" t="s">
        <v>602</v>
      </c>
      <c r="E267" s="47"/>
      <c r="F267" s="70"/>
      <c r="G267" s="47"/>
      <c r="H267" s="47"/>
      <c r="I267" s="47"/>
      <c r="J267" s="47"/>
      <c r="K267" s="47"/>
      <c r="L267" s="47"/>
      <c r="M267" s="47"/>
      <c r="N267" s="47"/>
    </row>
    <row r="268" spans="1:14">
      <c r="A268" s="109"/>
      <c r="B268" s="49" t="s">
        <v>290</v>
      </c>
      <c r="C268" s="37"/>
      <c r="D268" s="20" t="s">
        <v>603</v>
      </c>
      <c r="E268" s="47"/>
      <c r="F268" s="70"/>
      <c r="G268" s="47"/>
      <c r="H268" s="47"/>
      <c r="I268" s="47"/>
      <c r="J268" s="47"/>
      <c r="K268" s="47"/>
      <c r="L268" s="47"/>
      <c r="M268" s="47"/>
      <c r="N268" s="47"/>
    </row>
    <row r="269" spans="1:14" ht="29.25">
      <c r="A269" s="109"/>
      <c r="B269" s="49" t="s">
        <v>289</v>
      </c>
      <c r="C269" s="37"/>
      <c r="D269" s="20" t="s">
        <v>604</v>
      </c>
      <c r="E269" s="47"/>
      <c r="F269" s="70"/>
      <c r="G269" s="47"/>
      <c r="H269" s="47"/>
      <c r="I269" s="47"/>
      <c r="J269" s="47"/>
      <c r="K269" s="47"/>
      <c r="L269" s="47"/>
      <c r="M269" s="47"/>
      <c r="N269" s="47"/>
    </row>
    <row r="270" spans="1:14" ht="43.5">
      <c r="A270" s="109"/>
      <c r="B270" s="49" t="s">
        <v>286</v>
      </c>
      <c r="C270" s="37"/>
      <c r="D270" s="20" t="s">
        <v>605</v>
      </c>
      <c r="E270" s="47"/>
      <c r="F270" s="70"/>
      <c r="G270" s="47"/>
      <c r="H270" s="47"/>
      <c r="I270" s="47"/>
      <c r="J270" s="47"/>
      <c r="K270" s="47"/>
      <c r="L270" s="47"/>
      <c r="M270" s="47"/>
      <c r="N270" s="47"/>
    </row>
    <row r="271" spans="1:14" ht="29.25">
      <c r="A271" s="109"/>
      <c r="B271" s="49" t="s">
        <v>283</v>
      </c>
      <c r="C271" s="37"/>
      <c r="D271" s="20" t="s">
        <v>606</v>
      </c>
      <c r="E271" s="47"/>
      <c r="F271" s="70"/>
      <c r="G271" s="47"/>
      <c r="H271" s="47"/>
      <c r="I271" s="47"/>
      <c r="J271" s="47"/>
      <c r="K271" s="47"/>
      <c r="L271" s="47"/>
      <c r="M271" s="47"/>
      <c r="N271" s="47"/>
    </row>
    <row r="272" spans="1:14" ht="29.25">
      <c r="A272" s="109"/>
      <c r="B272" s="49" t="s">
        <v>276</v>
      </c>
      <c r="C272" s="37"/>
      <c r="D272" s="20" t="s">
        <v>607</v>
      </c>
      <c r="E272" s="47"/>
      <c r="F272" s="70"/>
      <c r="G272" s="47"/>
      <c r="H272" s="47"/>
      <c r="I272" s="47"/>
      <c r="J272" s="47"/>
      <c r="K272" s="47"/>
      <c r="L272" s="47"/>
      <c r="M272" s="47"/>
      <c r="N272" s="47"/>
    </row>
    <row r="273" spans="1:14">
      <c r="A273" s="109"/>
      <c r="B273" s="49" t="s">
        <v>273</v>
      </c>
      <c r="C273" s="37"/>
      <c r="D273" s="20" t="s">
        <v>608</v>
      </c>
      <c r="E273" s="47"/>
      <c r="F273" s="70"/>
      <c r="G273" s="47"/>
      <c r="H273" s="47"/>
      <c r="I273" s="47"/>
      <c r="J273" s="47"/>
      <c r="K273" s="47"/>
      <c r="L273" s="47"/>
      <c r="M273" s="47"/>
      <c r="N273" s="47"/>
    </row>
    <row r="274" spans="1:14" ht="43.5">
      <c r="A274" s="109"/>
      <c r="B274" s="49" t="s">
        <v>288</v>
      </c>
      <c r="C274" s="37"/>
      <c r="D274" s="20" t="s">
        <v>609</v>
      </c>
      <c r="E274" s="47"/>
      <c r="F274" s="70"/>
      <c r="G274" s="47"/>
      <c r="H274" s="47"/>
      <c r="I274" s="47"/>
      <c r="J274" s="47"/>
      <c r="K274" s="47"/>
      <c r="L274" s="47"/>
      <c r="M274" s="47"/>
      <c r="N274" s="47"/>
    </row>
    <row r="275" spans="1:14">
      <c r="A275" s="109"/>
      <c r="B275" s="49" t="s">
        <v>284</v>
      </c>
      <c r="C275" s="37"/>
      <c r="D275" s="20" t="s">
        <v>610</v>
      </c>
      <c r="E275" s="47"/>
      <c r="F275" s="70"/>
      <c r="G275" s="47"/>
      <c r="H275" s="47"/>
      <c r="I275" s="47"/>
      <c r="J275" s="47"/>
      <c r="K275" s="47"/>
      <c r="L275" s="47"/>
      <c r="M275" s="47"/>
      <c r="N275" s="47"/>
    </row>
    <row r="276" spans="1:14" ht="29.25">
      <c r="A276" s="109"/>
      <c r="B276" s="49" t="s">
        <v>281</v>
      </c>
      <c r="C276" s="37"/>
      <c r="D276" s="20" t="s">
        <v>611</v>
      </c>
      <c r="E276" s="47"/>
      <c r="F276" s="70"/>
      <c r="G276" s="47"/>
      <c r="H276" s="47"/>
      <c r="I276" s="47"/>
      <c r="J276" s="47"/>
      <c r="K276" s="47"/>
      <c r="L276" s="47"/>
      <c r="M276" s="47"/>
      <c r="N276" s="47"/>
    </row>
    <row r="277" spans="1:14">
      <c r="A277" s="109"/>
      <c r="B277" s="49" t="s">
        <v>278</v>
      </c>
      <c r="C277" s="37"/>
      <c r="D277" s="20" t="s">
        <v>612</v>
      </c>
      <c r="E277" s="47"/>
      <c r="F277" s="70"/>
      <c r="G277" s="47"/>
      <c r="H277" s="47"/>
      <c r="I277" s="47"/>
      <c r="J277" s="47"/>
      <c r="K277" s="47"/>
      <c r="L277" s="47"/>
      <c r="M277" s="47"/>
      <c r="N277" s="47"/>
    </row>
    <row r="278" spans="1:14" ht="29.25">
      <c r="A278" s="109"/>
      <c r="B278" s="49" t="s">
        <v>255</v>
      </c>
      <c r="C278" s="37"/>
      <c r="D278" s="20" t="s">
        <v>613</v>
      </c>
      <c r="E278" s="47"/>
      <c r="F278" s="70"/>
      <c r="G278" s="47"/>
      <c r="H278" s="47"/>
      <c r="I278" s="47"/>
      <c r="J278" s="47"/>
      <c r="K278" s="47"/>
      <c r="L278" s="47"/>
      <c r="M278" s="47"/>
      <c r="N278" s="47"/>
    </row>
    <row r="279" spans="1:14">
      <c r="A279" s="109"/>
      <c r="B279" s="49" t="s">
        <v>256</v>
      </c>
      <c r="C279" s="37"/>
      <c r="D279" s="20" t="s">
        <v>614</v>
      </c>
      <c r="E279" s="47"/>
      <c r="F279" s="70"/>
      <c r="G279" s="47"/>
      <c r="H279" s="47"/>
      <c r="I279" s="47"/>
      <c r="J279" s="47"/>
      <c r="K279" s="47"/>
      <c r="L279" s="47"/>
      <c r="M279" s="47"/>
      <c r="N279" s="47"/>
    </row>
    <row r="280" spans="1:14">
      <c r="A280" s="109"/>
      <c r="B280" s="49" t="s">
        <v>261</v>
      </c>
      <c r="C280" s="37"/>
      <c r="D280" s="20" t="s">
        <v>615</v>
      </c>
      <c r="E280" s="47"/>
      <c r="F280" s="70"/>
      <c r="G280" s="47"/>
      <c r="H280" s="47"/>
      <c r="I280" s="47"/>
      <c r="J280" s="47"/>
      <c r="K280" s="47"/>
      <c r="L280" s="47"/>
      <c r="M280" s="47"/>
      <c r="N280" s="47"/>
    </row>
    <row r="281" spans="1:14">
      <c r="A281" s="109"/>
      <c r="B281" s="49" t="s">
        <v>259</v>
      </c>
      <c r="C281" s="37"/>
      <c r="D281" s="20" t="s">
        <v>616</v>
      </c>
      <c r="E281" s="47"/>
      <c r="F281" s="70"/>
      <c r="G281" s="47"/>
      <c r="H281" s="47"/>
      <c r="I281" s="47"/>
      <c r="J281" s="47"/>
      <c r="K281" s="47"/>
      <c r="L281" s="47"/>
      <c r="M281" s="47"/>
      <c r="N281" s="47"/>
    </row>
    <row r="282" spans="1:14">
      <c r="A282" s="109"/>
      <c r="B282" s="49" t="s">
        <v>260</v>
      </c>
      <c r="C282" s="54"/>
      <c r="D282" s="20" t="s">
        <v>617</v>
      </c>
      <c r="E282" s="47"/>
      <c r="F282" s="70"/>
      <c r="G282" s="47"/>
      <c r="H282" s="47"/>
      <c r="I282" s="47"/>
      <c r="J282" s="47"/>
      <c r="K282" s="47"/>
      <c r="L282" s="47"/>
      <c r="M282" s="47"/>
      <c r="N282" s="47"/>
    </row>
    <row r="283" spans="1:14">
      <c r="A283" s="109"/>
      <c r="B283" s="49" t="s">
        <v>258</v>
      </c>
      <c r="C283" s="37"/>
      <c r="D283" s="20" t="s">
        <v>618</v>
      </c>
      <c r="E283" s="47"/>
      <c r="F283" s="70"/>
      <c r="G283" s="47"/>
      <c r="H283" s="47"/>
      <c r="I283" s="47"/>
      <c r="J283" s="47"/>
      <c r="K283" s="47"/>
      <c r="L283" s="47"/>
      <c r="M283" s="47"/>
      <c r="N283" s="47"/>
    </row>
    <row r="284" spans="1:14">
      <c r="A284" s="109"/>
      <c r="B284" s="49" t="s">
        <v>257</v>
      </c>
      <c r="C284" s="37"/>
      <c r="D284" s="20" t="s">
        <v>619</v>
      </c>
      <c r="E284" s="47"/>
      <c r="F284" s="70"/>
      <c r="G284" s="47"/>
      <c r="H284" s="47"/>
      <c r="I284" s="47"/>
      <c r="J284" s="47"/>
      <c r="K284" s="47"/>
      <c r="L284" s="47"/>
      <c r="M284" s="47"/>
      <c r="N284" s="47"/>
    </row>
    <row r="285" spans="1:14">
      <c r="A285" s="109"/>
      <c r="B285" s="49" t="s">
        <v>262</v>
      </c>
      <c r="C285" s="37"/>
      <c r="D285" s="20" t="s">
        <v>620</v>
      </c>
      <c r="E285" s="47"/>
      <c r="F285" s="70"/>
      <c r="G285" s="47"/>
      <c r="H285" s="47"/>
      <c r="I285" s="47"/>
      <c r="J285" s="47"/>
      <c r="K285" s="47"/>
      <c r="L285" s="47"/>
      <c r="M285" s="47"/>
      <c r="N285" s="47"/>
    </row>
    <row r="286" spans="1:14">
      <c r="A286" s="109" t="s">
        <v>27</v>
      </c>
      <c r="B286" s="21" t="s">
        <v>298</v>
      </c>
      <c r="C286" s="47"/>
      <c r="D286" s="21" t="s">
        <v>629</v>
      </c>
      <c r="E286" s="47"/>
      <c r="F286" s="70"/>
      <c r="G286" s="47"/>
      <c r="H286" s="47"/>
      <c r="I286" s="47"/>
      <c r="J286" s="47"/>
      <c r="K286" s="47"/>
      <c r="L286" s="47"/>
      <c r="M286" s="47"/>
      <c r="N286" s="47"/>
    </row>
    <row r="287" spans="1:14">
      <c r="A287" s="109"/>
      <c r="B287" s="21" t="s">
        <v>297</v>
      </c>
      <c r="C287" s="47"/>
      <c r="D287" s="21" t="s">
        <v>630</v>
      </c>
      <c r="E287" s="47"/>
      <c r="F287" s="70"/>
      <c r="G287" s="47"/>
      <c r="H287" s="47"/>
      <c r="I287" s="47"/>
      <c r="J287" s="47"/>
      <c r="K287" s="47"/>
      <c r="L287" s="47"/>
      <c r="M287" s="47"/>
      <c r="N287" s="47"/>
    </row>
    <row r="288" spans="1:14">
      <c r="A288" s="109"/>
      <c r="B288" s="21" t="s">
        <v>299</v>
      </c>
      <c r="C288" s="47"/>
      <c r="D288" s="21" t="s">
        <v>631</v>
      </c>
      <c r="E288" s="47"/>
      <c r="F288" s="70"/>
      <c r="G288" s="47"/>
      <c r="H288" s="47"/>
      <c r="I288" s="47"/>
      <c r="J288" s="47"/>
      <c r="K288" s="47"/>
      <c r="L288" s="47"/>
      <c r="M288" s="47"/>
      <c r="N288" s="47"/>
    </row>
    <row r="289" spans="1:14">
      <c r="A289" s="109"/>
      <c r="B289" s="49" t="s">
        <v>625</v>
      </c>
      <c r="C289" s="47"/>
      <c r="D289" s="21" t="s">
        <v>632</v>
      </c>
      <c r="E289" s="47"/>
      <c r="F289" s="70"/>
      <c r="G289" s="47"/>
      <c r="H289" s="47"/>
      <c r="I289" s="47"/>
      <c r="J289" s="47"/>
      <c r="K289" s="47"/>
      <c r="L289" s="47"/>
      <c r="M289" s="47"/>
      <c r="N289" s="47"/>
    </row>
    <row r="290" spans="1:14">
      <c r="A290" s="109"/>
      <c r="B290" s="21" t="s">
        <v>626</v>
      </c>
      <c r="C290" s="47" t="s">
        <v>916</v>
      </c>
      <c r="D290" s="21" t="s">
        <v>633</v>
      </c>
      <c r="E290" s="47">
        <v>500</v>
      </c>
      <c r="F290" s="70">
        <v>1</v>
      </c>
      <c r="G290" s="47"/>
      <c r="H290" s="47"/>
      <c r="I290" s="47"/>
      <c r="J290" s="47"/>
      <c r="K290" s="47"/>
      <c r="L290" s="47"/>
      <c r="M290" s="47"/>
      <c r="N290" s="47"/>
    </row>
    <row r="291" spans="1:14">
      <c r="A291" s="109"/>
      <c r="B291" s="21" t="s">
        <v>627</v>
      </c>
      <c r="C291" s="47"/>
      <c r="D291" s="21" t="s">
        <v>634</v>
      </c>
      <c r="E291" s="47"/>
      <c r="F291" s="70"/>
      <c r="G291" s="47"/>
      <c r="H291" s="47"/>
      <c r="I291" s="47"/>
      <c r="J291" s="47"/>
      <c r="K291" s="47"/>
      <c r="L291" s="47"/>
      <c r="M291" s="47"/>
      <c r="N291" s="47"/>
    </row>
    <row r="292" spans="1:14">
      <c r="A292" s="109"/>
      <c r="B292" s="21" t="s">
        <v>628</v>
      </c>
      <c r="C292" s="47"/>
      <c r="D292" s="21" t="s">
        <v>635</v>
      </c>
      <c r="E292" s="47"/>
      <c r="F292" s="70"/>
      <c r="G292" s="47"/>
      <c r="H292" s="47"/>
      <c r="I292" s="47"/>
      <c r="J292" s="47"/>
      <c r="K292" s="47"/>
      <c r="L292" s="47"/>
      <c r="M292" s="47"/>
      <c r="N292" s="47"/>
    </row>
    <row r="293" spans="1:14">
      <c r="A293" s="109"/>
      <c r="B293" s="12" t="s">
        <v>302</v>
      </c>
      <c r="C293" s="47"/>
      <c r="D293" s="21"/>
      <c r="E293" s="47"/>
      <c r="F293" s="8">
        <f>F289*1.3/2.3</f>
        <v>0</v>
      </c>
      <c r="G293" s="47"/>
      <c r="H293" s="47"/>
      <c r="I293" s="47"/>
      <c r="J293" s="47"/>
      <c r="K293" s="47"/>
      <c r="L293" s="47"/>
      <c r="M293" s="47"/>
      <c r="N293" s="47"/>
    </row>
    <row r="294" spans="1:14">
      <c r="A294" s="109"/>
      <c r="B294" s="12" t="s">
        <v>301</v>
      </c>
      <c r="C294" s="47"/>
      <c r="D294" s="21"/>
      <c r="E294" s="47"/>
      <c r="F294" s="8">
        <f>F289*1/2.3</f>
        <v>0</v>
      </c>
      <c r="G294" s="47"/>
      <c r="H294" s="47"/>
      <c r="I294" s="47"/>
      <c r="J294" s="47"/>
      <c r="K294" s="47"/>
      <c r="L294" s="47"/>
      <c r="M294" s="47"/>
      <c r="N294" s="47"/>
    </row>
    <row r="295" spans="1:14">
      <c r="A295" s="109"/>
      <c r="B295" s="12" t="s">
        <v>300</v>
      </c>
      <c r="C295" s="47"/>
      <c r="D295" s="21"/>
      <c r="E295" s="47"/>
      <c r="F295" s="8">
        <f>F290</f>
        <v>1</v>
      </c>
      <c r="G295" s="47"/>
      <c r="H295" s="47"/>
      <c r="I295" s="47"/>
      <c r="J295" s="47"/>
      <c r="K295" s="47"/>
      <c r="L295" s="47"/>
      <c r="M295" s="47"/>
      <c r="N295" s="47"/>
    </row>
    <row r="296" spans="1:14">
      <c r="A296" s="109"/>
      <c r="B296" s="12" t="s">
        <v>296</v>
      </c>
      <c r="C296" s="47"/>
      <c r="D296" s="21"/>
      <c r="E296" s="47"/>
      <c r="F296" s="8">
        <f>F291</f>
        <v>0</v>
      </c>
      <c r="G296" s="47"/>
      <c r="H296" s="47"/>
      <c r="I296" s="47"/>
      <c r="J296" s="47"/>
      <c r="K296" s="47"/>
      <c r="L296" s="47"/>
      <c r="M296" s="47"/>
      <c r="N296" s="47"/>
    </row>
    <row r="297" spans="1:14">
      <c r="A297" s="109" t="s">
        <v>636</v>
      </c>
      <c r="B297" s="21" t="s">
        <v>305</v>
      </c>
      <c r="C297" s="20"/>
      <c r="D297" s="21" t="s">
        <v>637</v>
      </c>
      <c r="E297" s="47"/>
      <c r="F297" s="70">
        <f xml:space="preserve"> 1/ ROWS(B297:B303)</f>
        <v>0.14285714285714285</v>
      </c>
      <c r="G297" s="47" t="s">
        <v>950</v>
      </c>
      <c r="H297" s="47"/>
      <c r="I297" s="47"/>
      <c r="J297" s="47"/>
      <c r="K297" s="47"/>
      <c r="L297" s="47"/>
      <c r="M297" s="47"/>
      <c r="N297" s="47"/>
    </row>
    <row r="298" spans="1:14">
      <c r="A298" s="109"/>
      <c r="B298" s="21" t="s">
        <v>307</v>
      </c>
      <c r="C298" s="20"/>
      <c r="D298" s="21" t="s">
        <v>638</v>
      </c>
      <c r="E298" s="47"/>
      <c r="F298" s="70">
        <f t="shared" ref="F298:F303" si="14" xml:space="preserve"> 1/ ROWS(B298:B304)</f>
        <v>0.14285714285714285</v>
      </c>
      <c r="G298" s="47" t="s">
        <v>950</v>
      </c>
      <c r="H298" s="47"/>
      <c r="I298" s="47"/>
      <c r="J298" s="47"/>
      <c r="K298" s="47"/>
      <c r="L298" s="47"/>
      <c r="M298" s="47"/>
      <c r="N298" s="47"/>
    </row>
    <row r="299" spans="1:14">
      <c r="A299" s="109"/>
      <c r="B299" s="21" t="s">
        <v>309</v>
      </c>
      <c r="C299" s="20"/>
      <c r="D299" s="21" t="s">
        <v>639</v>
      </c>
      <c r="E299" s="47"/>
      <c r="F299" s="70">
        <f t="shared" si="14"/>
        <v>0.14285714285714285</v>
      </c>
      <c r="G299" s="47" t="s">
        <v>950</v>
      </c>
      <c r="H299" s="47"/>
      <c r="I299" s="47"/>
      <c r="J299" s="47"/>
      <c r="K299" s="47"/>
      <c r="L299" s="47"/>
      <c r="M299" s="47"/>
      <c r="N299" s="47"/>
    </row>
    <row r="300" spans="1:14">
      <c r="A300" s="109"/>
      <c r="B300" s="21" t="s">
        <v>303</v>
      </c>
      <c r="C300" s="20"/>
      <c r="D300" s="21" t="s">
        <v>640</v>
      </c>
      <c r="E300" s="47"/>
      <c r="F300" s="70">
        <f t="shared" si="14"/>
        <v>0.14285714285714285</v>
      </c>
      <c r="G300" s="47" t="s">
        <v>950</v>
      </c>
      <c r="H300" s="47"/>
      <c r="I300" s="47"/>
      <c r="J300" s="47"/>
      <c r="K300" s="47"/>
      <c r="L300" s="47"/>
      <c r="M300" s="47"/>
      <c r="N300" s="47"/>
    </row>
    <row r="301" spans="1:14">
      <c r="A301" s="109"/>
      <c r="B301" s="21" t="s">
        <v>308</v>
      </c>
      <c r="C301" s="20"/>
      <c r="D301" s="21" t="s">
        <v>641</v>
      </c>
      <c r="E301" s="47"/>
      <c r="F301" s="70">
        <f t="shared" si="14"/>
        <v>0.14285714285714285</v>
      </c>
      <c r="G301" s="47" t="s">
        <v>950</v>
      </c>
      <c r="H301" s="47"/>
      <c r="I301" s="47"/>
      <c r="J301" s="47"/>
      <c r="K301" s="47"/>
      <c r="L301" s="47"/>
      <c r="M301" s="47"/>
      <c r="N301" s="47"/>
    </row>
    <row r="302" spans="1:14">
      <c r="A302" s="109"/>
      <c r="B302" s="21" t="s">
        <v>304</v>
      </c>
      <c r="C302" s="20"/>
      <c r="D302" s="21" t="s">
        <v>642</v>
      </c>
      <c r="E302" s="47"/>
      <c r="F302" s="70">
        <f t="shared" si="14"/>
        <v>0.14285714285714285</v>
      </c>
      <c r="G302" s="47" t="s">
        <v>950</v>
      </c>
      <c r="H302" s="47"/>
      <c r="I302" s="47"/>
      <c r="J302" s="47"/>
      <c r="K302" s="47"/>
      <c r="L302" s="47"/>
      <c r="M302" s="47"/>
      <c r="N302" s="47"/>
    </row>
    <row r="303" spans="1:14">
      <c r="A303" s="109"/>
      <c r="B303" s="21" t="s">
        <v>306</v>
      </c>
      <c r="C303" s="20"/>
      <c r="D303" s="21" t="s">
        <v>643</v>
      </c>
      <c r="E303" s="47"/>
      <c r="F303" s="70">
        <f t="shared" si="14"/>
        <v>0.14285714285714285</v>
      </c>
      <c r="G303" s="47" t="s">
        <v>950</v>
      </c>
      <c r="H303" s="47"/>
      <c r="I303" s="47"/>
      <c r="J303" s="47"/>
      <c r="K303" s="47"/>
      <c r="L303" s="47"/>
      <c r="M303" s="47"/>
      <c r="N303" s="47"/>
    </row>
    <row r="304" spans="1:14">
      <c r="A304" s="56" t="s">
        <v>28</v>
      </c>
      <c r="B304" s="57" t="s">
        <v>310</v>
      </c>
      <c r="C304" s="58"/>
      <c r="D304" s="57" t="s">
        <v>644</v>
      </c>
      <c r="E304" s="47"/>
      <c r="F304" s="70">
        <v>1</v>
      </c>
      <c r="G304" s="47" t="s">
        <v>950</v>
      </c>
      <c r="H304" s="47"/>
      <c r="I304" s="47"/>
      <c r="J304" s="47"/>
      <c r="K304" s="47"/>
      <c r="L304" s="47"/>
      <c r="M304" s="47"/>
      <c r="N304" s="47"/>
    </row>
    <row r="305" spans="1:14">
      <c r="A305" s="48" t="s">
        <v>29</v>
      </c>
      <c r="B305" s="21" t="s">
        <v>311</v>
      </c>
      <c r="C305" s="20"/>
      <c r="D305" s="20" t="s">
        <v>645</v>
      </c>
      <c r="E305" s="47"/>
      <c r="F305" s="70">
        <v>1</v>
      </c>
      <c r="G305" s="47" t="s">
        <v>950</v>
      </c>
      <c r="H305" s="47"/>
      <c r="I305" s="47"/>
      <c r="J305" s="47"/>
      <c r="K305" s="47"/>
      <c r="L305" s="47"/>
      <c r="M305" s="47"/>
      <c r="N305" s="47"/>
    </row>
    <row r="306" spans="1:14">
      <c r="A306" s="109" t="s">
        <v>30</v>
      </c>
      <c r="B306" s="21" t="s">
        <v>33</v>
      </c>
      <c r="C306" s="20"/>
      <c r="D306" s="21" t="s">
        <v>646</v>
      </c>
      <c r="E306" s="47"/>
      <c r="F306" s="70">
        <f xml:space="preserve"> 1/ ROWS(B306:B308)</f>
        <v>0.33333333333333331</v>
      </c>
      <c r="G306" s="47" t="s">
        <v>950</v>
      </c>
      <c r="H306" s="47"/>
      <c r="I306" s="47"/>
      <c r="J306" s="47"/>
      <c r="K306" s="47"/>
      <c r="L306" s="47"/>
      <c r="M306" s="47"/>
      <c r="N306" s="47"/>
    </row>
    <row r="307" spans="1:14">
      <c r="A307" s="109"/>
      <c r="B307" s="21" t="s">
        <v>34</v>
      </c>
      <c r="C307" s="20"/>
      <c r="D307" s="21" t="s">
        <v>647</v>
      </c>
      <c r="E307" s="47"/>
      <c r="F307" s="70">
        <f t="shared" ref="F307:F308" si="15" xml:space="preserve"> 1/ ROWS(B307:B309)</f>
        <v>0.33333333333333331</v>
      </c>
      <c r="G307" s="47" t="s">
        <v>950</v>
      </c>
      <c r="H307" s="47"/>
      <c r="I307" s="47"/>
      <c r="J307" s="47"/>
      <c r="K307" s="47"/>
      <c r="L307" s="47"/>
      <c r="M307" s="47"/>
      <c r="N307" s="47"/>
    </row>
    <row r="308" spans="1:14">
      <c r="A308" s="109"/>
      <c r="B308" s="21" t="s">
        <v>35</v>
      </c>
      <c r="C308" s="20"/>
      <c r="D308" s="21" t="s">
        <v>648</v>
      </c>
      <c r="E308" s="47"/>
      <c r="F308" s="70">
        <f t="shared" si="15"/>
        <v>0.33333333333333331</v>
      </c>
      <c r="G308" s="47" t="s">
        <v>950</v>
      </c>
      <c r="H308" s="47"/>
      <c r="I308" s="47"/>
      <c r="J308" s="47"/>
      <c r="K308" s="47"/>
      <c r="L308" s="47"/>
      <c r="M308" s="47"/>
      <c r="N308" s="47"/>
    </row>
    <row r="309" spans="1:14">
      <c r="A309" s="109" t="s">
        <v>31</v>
      </c>
      <c r="B309" s="21" t="s">
        <v>315</v>
      </c>
      <c r="C309" s="20"/>
      <c r="D309" s="21" t="s">
        <v>649</v>
      </c>
      <c r="E309" s="47"/>
      <c r="F309" s="70">
        <f xml:space="preserve"> 1/ ROWS(B309:B312)</f>
        <v>0.25</v>
      </c>
      <c r="G309" s="47" t="s">
        <v>950</v>
      </c>
      <c r="H309" s="47"/>
      <c r="I309" s="47"/>
      <c r="J309" s="47"/>
      <c r="K309" s="47"/>
      <c r="L309" s="47"/>
      <c r="M309" s="47"/>
      <c r="N309" s="47"/>
    </row>
    <row r="310" spans="1:14">
      <c r="A310" s="109"/>
      <c r="B310" s="21" t="s">
        <v>314</v>
      </c>
      <c r="C310" s="20"/>
      <c r="D310" s="21" t="s">
        <v>650</v>
      </c>
      <c r="E310" s="47"/>
      <c r="F310" s="70">
        <f t="shared" ref="F310:F312" si="16" xml:space="preserve"> 1/ ROWS(B310:B313)</f>
        <v>0.25</v>
      </c>
      <c r="G310" s="47" t="s">
        <v>950</v>
      </c>
      <c r="H310" s="47"/>
      <c r="I310" s="47"/>
      <c r="J310" s="47"/>
      <c r="K310" s="47"/>
      <c r="L310" s="47"/>
      <c r="M310" s="47"/>
      <c r="N310" s="47"/>
    </row>
    <row r="311" spans="1:14" ht="29.25">
      <c r="A311" s="109"/>
      <c r="B311" s="21" t="s">
        <v>313</v>
      </c>
      <c r="C311" s="20"/>
      <c r="D311" s="20" t="s">
        <v>651</v>
      </c>
      <c r="E311" s="47"/>
      <c r="F311" s="70">
        <f t="shared" si="16"/>
        <v>0.25</v>
      </c>
      <c r="G311" s="47" t="s">
        <v>950</v>
      </c>
      <c r="H311" s="47"/>
      <c r="I311" s="47"/>
      <c r="J311" s="47"/>
      <c r="K311" s="47"/>
      <c r="L311" s="47"/>
      <c r="M311" s="47"/>
      <c r="N311" s="47"/>
    </row>
    <row r="312" spans="1:14" ht="29.25">
      <c r="A312" s="109"/>
      <c r="B312" s="21" t="s">
        <v>312</v>
      </c>
      <c r="C312" s="20"/>
      <c r="D312" s="20" t="s">
        <v>652</v>
      </c>
      <c r="E312" s="47"/>
      <c r="F312" s="70">
        <f t="shared" si="16"/>
        <v>0.25</v>
      </c>
      <c r="G312" s="47" t="s">
        <v>950</v>
      </c>
      <c r="H312" s="47"/>
      <c r="I312" s="47"/>
      <c r="J312" s="47"/>
      <c r="K312" s="47"/>
      <c r="L312" s="47"/>
      <c r="M312" s="47"/>
      <c r="N312" s="47"/>
    </row>
    <row r="313" spans="1:14">
      <c r="A313" s="56" t="s">
        <v>32</v>
      </c>
      <c r="B313" s="21" t="s">
        <v>5018</v>
      </c>
      <c r="C313" s="47"/>
      <c r="D313" s="47"/>
      <c r="E313" s="47"/>
      <c r="F313" s="70">
        <v>1</v>
      </c>
      <c r="G313" s="47" t="s">
        <v>950</v>
      </c>
      <c r="H313" s="47"/>
      <c r="I313" s="47"/>
      <c r="J313" s="47"/>
      <c r="K313" s="47"/>
      <c r="L313" s="47"/>
      <c r="M313" s="47"/>
      <c r="N313" s="47"/>
    </row>
    <row r="314" spans="1:14">
      <c r="A314" s="56" t="s">
        <v>654</v>
      </c>
      <c r="B314" s="21" t="s">
        <v>656</v>
      </c>
      <c r="C314" s="47"/>
      <c r="D314" s="47" t="s">
        <v>654</v>
      </c>
      <c r="E314" s="47"/>
      <c r="F314" s="70">
        <v>1</v>
      </c>
      <c r="G314" s="47" t="s">
        <v>950</v>
      </c>
      <c r="H314" s="47"/>
      <c r="I314" s="47"/>
      <c r="J314" s="47"/>
      <c r="K314" s="47"/>
      <c r="L314" s="47"/>
      <c r="M314" s="47"/>
      <c r="N314" s="47"/>
    </row>
    <row r="315" spans="1:14">
      <c r="A315" s="56" t="s">
        <v>2150</v>
      </c>
      <c r="B315" s="21" t="s">
        <v>655</v>
      </c>
      <c r="C315" s="47"/>
      <c r="D315" s="47" t="s">
        <v>653</v>
      </c>
      <c r="E315" s="47"/>
      <c r="F315" s="70">
        <v>1</v>
      </c>
      <c r="G315" s="47" t="s">
        <v>950</v>
      </c>
      <c r="H315" s="47"/>
      <c r="I315" s="47"/>
      <c r="J315" s="47"/>
      <c r="K315" s="47"/>
      <c r="L315" s="47"/>
      <c r="M315" s="47"/>
      <c r="N315" s="47"/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5"/>
  <sheetViews>
    <sheetView topLeftCell="A239" zoomScale="85" zoomScaleNormal="85" workbookViewId="0">
      <selection activeCell="G171" sqref="G171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18.125" style="3" bestFit="1" customWidth="1"/>
    <col min="5" max="5" width="29.875" style="3" bestFit="1" customWidth="1"/>
    <col min="6" max="6" width="22.625" style="3" bestFit="1" customWidth="1"/>
    <col min="7" max="7" width="10.375" style="8" bestFit="1" customWidth="1"/>
    <col min="8" max="8" width="24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1">
      <c r="A1" s="22" t="s">
        <v>0</v>
      </c>
      <c r="B1" s="22" t="s">
        <v>657</v>
      </c>
      <c r="C1" s="22" t="s">
        <v>1</v>
      </c>
      <c r="D1" s="22" t="s">
        <v>2</v>
      </c>
      <c r="E1" s="22" t="s">
        <v>658</v>
      </c>
      <c r="F1" s="22" t="s">
        <v>725</v>
      </c>
      <c r="G1" s="23" t="s">
        <v>726</v>
      </c>
      <c r="H1" s="1" t="s">
        <v>952</v>
      </c>
      <c r="I1" s="1"/>
      <c r="J1" s="1"/>
    </row>
    <row r="2" spans="1:11" ht="29.25">
      <c r="A2" s="108" t="s">
        <v>3</v>
      </c>
      <c r="B2" s="3" t="s">
        <v>37</v>
      </c>
      <c r="C2" s="29" t="s">
        <v>36</v>
      </c>
      <c r="D2" s="15"/>
      <c r="E2" s="16" t="s">
        <v>621</v>
      </c>
      <c r="G2" s="8">
        <f>1/ROWS(C2:C12)</f>
        <v>9.0909090909090912E-2</v>
      </c>
      <c r="H2" s="73" t="s">
        <v>950</v>
      </c>
      <c r="K2" s="14"/>
    </row>
    <row r="3" spans="1:11">
      <c r="A3" s="108"/>
      <c r="B3" s="3" t="s">
        <v>38</v>
      </c>
      <c r="C3" s="29" t="s">
        <v>46</v>
      </c>
      <c r="D3" s="15"/>
      <c r="E3" s="16" t="s">
        <v>316</v>
      </c>
      <c r="G3" s="8">
        <f t="shared" ref="G3:G12" si="0">1/ROWS(C3:C13)</f>
        <v>9.0909090909090912E-2</v>
      </c>
      <c r="H3" s="73" t="s">
        <v>950</v>
      </c>
      <c r="I3" s="17"/>
      <c r="K3" s="14"/>
    </row>
    <row r="4" spans="1:11">
      <c r="A4" s="108"/>
      <c r="B4" s="3" t="s">
        <v>39</v>
      </c>
      <c r="C4" s="29" t="s">
        <v>40</v>
      </c>
      <c r="D4" s="15"/>
      <c r="E4" s="16" t="s">
        <v>317</v>
      </c>
      <c r="G4" s="8">
        <f t="shared" si="0"/>
        <v>9.0909090909090912E-2</v>
      </c>
      <c r="H4" s="73" t="s">
        <v>950</v>
      </c>
      <c r="K4" s="14"/>
    </row>
    <row r="5" spans="1:11">
      <c r="A5" s="108"/>
      <c r="B5" s="3" t="s">
        <v>40</v>
      </c>
      <c r="C5" s="29" t="s">
        <v>44</v>
      </c>
      <c r="D5" s="15"/>
      <c r="E5" s="16" t="s">
        <v>318</v>
      </c>
      <c r="G5" s="8">
        <f t="shared" si="0"/>
        <v>9.0909090909090912E-2</v>
      </c>
      <c r="H5" s="73" t="s">
        <v>950</v>
      </c>
      <c r="K5" s="14"/>
    </row>
    <row r="6" spans="1:11">
      <c r="A6" s="108"/>
      <c r="B6" s="3" t="s">
        <v>41</v>
      </c>
      <c r="C6" s="29" t="s">
        <v>45</v>
      </c>
      <c r="D6" s="15"/>
      <c r="E6" s="16" t="s">
        <v>319</v>
      </c>
      <c r="G6" s="8">
        <f t="shared" si="0"/>
        <v>9.0909090909090912E-2</v>
      </c>
      <c r="H6" s="73" t="s">
        <v>950</v>
      </c>
      <c r="K6" s="14"/>
    </row>
    <row r="7" spans="1:11">
      <c r="A7" s="108"/>
      <c r="B7" s="3" t="s">
        <v>42</v>
      </c>
      <c r="C7" s="29" t="s">
        <v>37</v>
      </c>
      <c r="D7" s="15"/>
      <c r="E7" s="16" t="s">
        <v>320</v>
      </c>
      <c r="G7" s="8">
        <f t="shared" si="0"/>
        <v>9.0909090909090912E-2</v>
      </c>
      <c r="H7" s="73" t="s">
        <v>950</v>
      </c>
      <c r="K7" s="14"/>
    </row>
    <row r="8" spans="1:11">
      <c r="A8" s="108"/>
      <c r="B8" s="3" t="s">
        <v>43</v>
      </c>
      <c r="C8" s="29" t="s">
        <v>43</v>
      </c>
      <c r="D8" s="15"/>
      <c r="E8" s="16" t="s">
        <v>321</v>
      </c>
      <c r="G8" s="8">
        <f t="shared" si="0"/>
        <v>9.0909090909090912E-2</v>
      </c>
      <c r="H8" s="73" t="s">
        <v>950</v>
      </c>
      <c r="K8" s="14"/>
    </row>
    <row r="9" spans="1:11">
      <c r="A9" s="108"/>
      <c r="B9" s="3" t="s">
        <v>44</v>
      </c>
      <c r="C9" s="29" t="s">
        <v>42</v>
      </c>
      <c r="D9" s="15"/>
      <c r="E9" s="16" t="s">
        <v>322</v>
      </c>
      <c r="G9" s="8">
        <f t="shared" si="0"/>
        <v>9.0909090909090912E-2</v>
      </c>
      <c r="H9" s="73" t="s">
        <v>950</v>
      </c>
      <c r="K9" s="14"/>
    </row>
    <row r="10" spans="1:11">
      <c r="A10" s="108"/>
      <c r="B10" s="3" t="s">
        <v>45</v>
      </c>
      <c r="C10" s="29" t="s">
        <v>41</v>
      </c>
      <c r="D10" s="15"/>
      <c r="E10" s="16" t="s">
        <v>323</v>
      </c>
      <c r="G10" s="8">
        <f t="shared" si="0"/>
        <v>9.0909090909090912E-2</v>
      </c>
      <c r="H10" s="73" t="s">
        <v>950</v>
      </c>
      <c r="K10" s="14"/>
    </row>
    <row r="11" spans="1:11">
      <c r="A11" s="108"/>
      <c r="B11" s="3" t="s">
        <v>36</v>
      </c>
      <c r="C11" s="29" t="s">
        <v>39</v>
      </c>
      <c r="D11" s="15"/>
      <c r="E11" s="16" t="s">
        <v>324</v>
      </c>
      <c r="G11" s="8">
        <f t="shared" si="0"/>
        <v>9.0909090909090912E-2</v>
      </c>
      <c r="H11" s="73" t="s">
        <v>950</v>
      </c>
      <c r="K11" s="14"/>
    </row>
    <row r="12" spans="1:11">
      <c r="A12" s="108"/>
      <c r="B12" s="3" t="s">
        <v>46</v>
      </c>
      <c r="C12" s="29" t="s">
        <v>38</v>
      </c>
      <c r="D12" s="15"/>
      <c r="E12" s="16" t="s">
        <v>325</v>
      </c>
      <c r="G12" s="8">
        <f t="shared" si="0"/>
        <v>9.0909090909090912E-2</v>
      </c>
      <c r="H12" s="73" t="s">
        <v>950</v>
      </c>
      <c r="K12" s="14"/>
    </row>
    <row r="13" spans="1:11">
      <c r="A13" s="108" t="s">
        <v>4</v>
      </c>
      <c r="B13" s="3" t="s">
        <v>47</v>
      </c>
      <c r="C13" s="29" t="s">
        <v>47</v>
      </c>
      <c r="D13" s="15"/>
      <c r="E13" s="16" t="s">
        <v>326</v>
      </c>
      <c r="G13" s="8">
        <f>1/ROWS(C13:C18)</f>
        <v>0.16666666666666666</v>
      </c>
      <c r="H13" s="73" t="s">
        <v>950</v>
      </c>
      <c r="K13" s="14"/>
    </row>
    <row r="14" spans="1:11">
      <c r="A14" s="108"/>
      <c r="B14" s="3" t="s">
        <v>48</v>
      </c>
      <c r="C14" s="29" t="s">
        <v>49</v>
      </c>
      <c r="D14" s="15"/>
      <c r="E14" s="16" t="s">
        <v>327</v>
      </c>
      <c r="G14" s="8">
        <f t="shared" ref="G14:G18" si="1">1/ROWS(C14:C19)</f>
        <v>0.16666666666666666</v>
      </c>
      <c r="H14" s="73" t="s">
        <v>950</v>
      </c>
      <c r="K14" s="14"/>
    </row>
    <row r="15" spans="1:11">
      <c r="A15" s="108"/>
      <c r="B15" s="3" t="s">
        <v>49</v>
      </c>
      <c r="C15" s="29" t="s">
        <v>50</v>
      </c>
      <c r="D15" s="15"/>
      <c r="E15" s="16" t="s">
        <v>328</v>
      </c>
      <c r="G15" s="8">
        <f t="shared" si="1"/>
        <v>0.16666666666666666</v>
      </c>
      <c r="H15" s="73" t="s">
        <v>950</v>
      </c>
      <c r="K15" s="14"/>
    </row>
    <row r="16" spans="1:11">
      <c r="A16" s="108"/>
      <c r="B16" s="3" t="s">
        <v>50</v>
      </c>
      <c r="C16" s="29" t="s">
        <v>51</v>
      </c>
      <c r="D16" s="15"/>
      <c r="E16" s="16" t="s">
        <v>329</v>
      </c>
      <c r="G16" s="8">
        <f t="shared" si="1"/>
        <v>0.16666666666666666</v>
      </c>
      <c r="H16" s="73" t="s">
        <v>950</v>
      </c>
      <c r="K16" s="14"/>
    </row>
    <row r="17" spans="1:11">
      <c r="A17" s="108"/>
      <c r="B17" s="3" t="s">
        <v>51</v>
      </c>
      <c r="C17" s="29" t="s">
        <v>52</v>
      </c>
      <c r="D17" s="15"/>
      <c r="E17" s="16" t="s">
        <v>330</v>
      </c>
      <c r="G17" s="8">
        <f t="shared" si="1"/>
        <v>0.16666666666666666</v>
      </c>
      <c r="H17" s="73" t="s">
        <v>950</v>
      </c>
      <c r="K17" s="14"/>
    </row>
    <row r="18" spans="1:11">
      <c r="A18" s="108"/>
      <c r="B18" s="3" t="s">
        <v>52</v>
      </c>
      <c r="C18" s="29" t="s">
        <v>48</v>
      </c>
      <c r="D18" s="15"/>
      <c r="E18" s="16" t="s">
        <v>331</v>
      </c>
      <c r="G18" s="8">
        <f t="shared" si="1"/>
        <v>0.16666666666666666</v>
      </c>
      <c r="H18" s="73" t="s">
        <v>950</v>
      </c>
      <c r="K18" s="14"/>
    </row>
    <row r="19" spans="1:11">
      <c r="A19" s="108" t="s">
        <v>5</v>
      </c>
      <c r="B19" s="3" t="s">
        <v>53</v>
      </c>
      <c r="C19" s="29" t="s">
        <v>54</v>
      </c>
      <c r="D19" s="15"/>
      <c r="E19" s="16" t="s">
        <v>332</v>
      </c>
      <c r="G19" s="8">
        <f>1/ROWS(C19:C26)</f>
        <v>0.125</v>
      </c>
      <c r="H19" s="73" t="s">
        <v>950</v>
      </c>
      <c r="K19" s="14"/>
    </row>
    <row r="20" spans="1:11">
      <c r="A20" s="108"/>
      <c r="B20" s="3" t="s">
        <v>54</v>
      </c>
      <c r="C20" s="29" t="s">
        <v>53</v>
      </c>
      <c r="D20" s="15"/>
      <c r="E20" s="16" t="s">
        <v>333</v>
      </c>
      <c r="G20" s="8">
        <f t="shared" ref="G20:G26" si="2">1/ROWS(C20:C27)</f>
        <v>0.125</v>
      </c>
      <c r="H20" s="73" t="s">
        <v>950</v>
      </c>
      <c r="K20" s="14"/>
    </row>
    <row r="21" spans="1:11">
      <c r="A21" s="108"/>
      <c r="B21" s="3" t="s">
        <v>55</v>
      </c>
      <c r="C21" s="29" t="s">
        <v>60</v>
      </c>
      <c r="D21" s="15"/>
      <c r="E21" s="16" t="s">
        <v>334</v>
      </c>
      <c r="G21" s="8">
        <f t="shared" si="2"/>
        <v>0.125</v>
      </c>
      <c r="H21" s="73" t="s">
        <v>950</v>
      </c>
      <c r="K21" s="14"/>
    </row>
    <row r="22" spans="1:11">
      <c r="A22" s="108"/>
      <c r="B22" s="3" t="s">
        <v>56</v>
      </c>
      <c r="C22" s="29" t="s">
        <v>58</v>
      </c>
      <c r="D22" s="18"/>
      <c r="E22" s="16" t="s">
        <v>335</v>
      </c>
      <c r="G22" s="8">
        <f t="shared" si="2"/>
        <v>0.125</v>
      </c>
      <c r="H22" s="73" t="s">
        <v>950</v>
      </c>
      <c r="K22" s="14"/>
    </row>
    <row r="23" spans="1:11">
      <c r="A23" s="108"/>
      <c r="B23" s="3" t="s">
        <v>57</v>
      </c>
      <c r="C23" s="29" t="s">
        <v>57</v>
      </c>
      <c r="D23" s="15"/>
      <c r="E23" s="16" t="s">
        <v>336</v>
      </c>
      <c r="G23" s="8">
        <f t="shared" si="2"/>
        <v>0.125</v>
      </c>
      <c r="H23" s="73" t="s">
        <v>950</v>
      </c>
      <c r="K23" s="14"/>
    </row>
    <row r="24" spans="1:11">
      <c r="A24" s="108"/>
      <c r="B24" s="3" t="s">
        <v>58</v>
      </c>
      <c r="C24" s="29" t="s">
        <v>59</v>
      </c>
      <c r="D24" s="15"/>
      <c r="E24" s="16" t="s">
        <v>337</v>
      </c>
      <c r="G24" s="8">
        <f t="shared" si="2"/>
        <v>0.125</v>
      </c>
      <c r="H24" s="73" t="s">
        <v>950</v>
      </c>
      <c r="K24" s="14"/>
    </row>
    <row r="25" spans="1:11">
      <c r="A25" s="108"/>
      <c r="B25" s="3" t="s">
        <v>59</v>
      </c>
      <c r="C25" s="29" t="s">
        <v>55</v>
      </c>
      <c r="D25" s="15"/>
      <c r="E25" s="16" t="s">
        <v>338</v>
      </c>
      <c r="G25" s="8">
        <f t="shared" si="2"/>
        <v>0.125</v>
      </c>
      <c r="H25" s="73" t="s">
        <v>950</v>
      </c>
      <c r="K25" s="14"/>
    </row>
    <row r="26" spans="1:11">
      <c r="A26" s="108"/>
      <c r="B26" s="3" t="s">
        <v>60</v>
      </c>
      <c r="C26" s="29" t="s">
        <v>56</v>
      </c>
      <c r="D26" s="15"/>
      <c r="E26" s="16" t="s">
        <v>339</v>
      </c>
      <c r="G26" s="8">
        <f t="shared" si="2"/>
        <v>0.125</v>
      </c>
      <c r="H26" s="73" t="s">
        <v>950</v>
      </c>
      <c r="K26" s="14"/>
    </row>
    <row r="27" spans="1:11">
      <c r="A27" s="108" t="s">
        <v>6</v>
      </c>
      <c r="B27" s="3" t="s">
        <v>61</v>
      </c>
      <c r="C27" s="29" t="s">
        <v>64</v>
      </c>
      <c r="D27" s="15"/>
      <c r="E27" s="16" t="s">
        <v>340</v>
      </c>
      <c r="G27" s="8">
        <f>1/ROWS(C27:C31)</f>
        <v>0.2</v>
      </c>
      <c r="H27" s="73" t="s">
        <v>950</v>
      </c>
      <c r="K27" s="14"/>
    </row>
    <row r="28" spans="1:11">
      <c r="A28" s="108"/>
      <c r="B28" s="3" t="s">
        <v>62</v>
      </c>
      <c r="C28" s="29" t="s">
        <v>61</v>
      </c>
      <c r="D28" s="15"/>
      <c r="E28" s="16" t="s">
        <v>341</v>
      </c>
      <c r="G28" s="8">
        <f t="shared" ref="G28:G31" si="3">1/ROWS(C28:C32)</f>
        <v>0.2</v>
      </c>
      <c r="H28" s="73" t="s">
        <v>950</v>
      </c>
      <c r="K28" s="14"/>
    </row>
    <row r="29" spans="1:11">
      <c r="A29" s="108"/>
      <c r="B29" s="3" t="s">
        <v>63</v>
      </c>
      <c r="C29" s="29" t="s">
        <v>63</v>
      </c>
      <c r="D29" s="15"/>
      <c r="E29" s="16" t="s">
        <v>342</v>
      </c>
      <c r="G29" s="8">
        <f t="shared" si="3"/>
        <v>0.2</v>
      </c>
      <c r="H29" s="73" t="s">
        <v>950</v>
      </c>
      <c r="K29" s="14"/>
    </row>
    <row r="30" spans="1:11">
      <c r="A30" s="108"/>
      <c r="B30" s="3" t="s">
        <v>64</v>
      </c>
      <c r="C30" s="29" t="s">
        <v>65</v>
      </c>
      <c r="D30" s="15"/>
      <c r="E30" s="16" t="s">
        <v>343</v>
      </c>
      <c r="G30" s="8">
        <f t="shared" si="3"/>
        <v>0.2</v>
      </c>
      <c r="H30" s="73" t="s">
        <v>950</v>
      </c>
      <c r="K30" s="14"/>
    </row>
    <row r="31" spans="1:11">
      <c r="A31" s="108"/>
      <c r="B31" s="3" t="s">
        <v>65</v>
      </c>
      <c r="C31" s="29" t="s">
        <v>62</v>
      </c>
      <c r="D31" s="15"/>
      <c r="E31" s="16" t="s">
        <v>344</v>
      </c>
      <c r="G31" s="8">
        <f t="shared" si="3"/>
        <v>0.2</v>
      </c>
      <c r="H31" s="73" t="s">
        <v>950</v>
      </c>
      <c r="K31" s="14"/>
    </row>
    <row r="32" spans="1:11">
      <c r="A32" s="108" t="s">
        <v>7</v>
      </c>
      <c r="B32" s="3" t="s">
        <v>66</v>
      </c>
      <c r="C32" s="29" t="s">
        <v>101</v>
      </c>
      <c r="D32" s="15"/>
      <c r="E32" s="16" t="s">
        <v>345</v>
      </c>
      <c r="K32" s="14"/>
    </row>
    <row r="33" spans="1:11">
      <c r="A33" s="108"/>
      <c r="B33" s="3" t="s">
        <v>67</v>
      </c>
      <c r="C33" s="29" t="s">
        <v>102</v>
      </c>
      <c r="D33" s="15"/>
      <c r="E33" s="16" t="s">
        <v>346</v>
      </c>
      <c r="K33" s="14"/>
    </row>
    <row r="34" spans="1:11">
      <c r="A34" s="108"/>
      <c r="B34" s="3" t="s">
        <v>68</v>
      </c>
      <c r="C34" s="29" t="s">
        <v>103</v>
      </c>
      <c r="D34" s="15"/>
      <c r="E34" s="16" t="s">
        <v>347</v>
      </c>
      <c r="K34" s="14"/>
    </row>
    <row r="35" spans="1:11">
      <c r="A35" s="108"/>
      <c r="B35" s="3" t="s">
        <v>69</v>
      </c>
      <c r="C35" s="29" t="s">
        <v>100</v>
      </c>
      <c r="D35" s="15"/>
      <c r="E35" s="16" t="s">
        <v>348</v>
      </c>
      <c r="K35" s="14"/>
    </row>
    <row r="36" spans="1:11">
      <c r="A36" s="108"/>
      <c r="B36" s="3" t="s">
        <v>70</v>
      </c>
      <c r="C36" s="29" t="s">
        <v>97</v>
      </c>
      <c r="D36" s="31"/>
      <c r="E36" s="16" t="s">
        <v>349</v>
      </c>
      <c r="K36" s="14"/>
    </row>
    <row r="37" spans="1:11">
      <c r="A37" s="108"/>
      <c r="B37" s="3" t="s">
        <v>71</v>
      </c>
      <c r="C37" s="29" t="s">
        <v>98</v>
      </c>
      <c r="D37" s="15"/>
      <c r="E37" s="16" t="s">
        <v>350</v>
      </c>
      <c r="K37" s="14"/>
    </row>
    <row r="38" spans="1:11">
      <c r="A38" s="108"/>
      <c r="B38" s="3" t="s">
        <v>72</v>
      </c>
      <c r="C38" s="29" t="s">
        <v>95</v>
      </c>
      <c r="D38" s="15"/>
      <c r="E38" s="16" t="s">
        <v>351</v>
      </c>
      <c r="K38" s="14"/>
    </row>
    <row r="39" spans="1:11">
      <c r="A39" s="108"/>
      <c r="B39" s="3" t="s">
        <v>73</v>
      </c>
      <c r="C39" s="29" t="s">
        <v>96</v>
      </c>
      <c r="D39" s="15"/>
      <c r="E39" s="16" t="s">
        <v>352</v>
      </c>
      <c r="K39" s="14"/>
    </row>
    <row r="40" spans="1:11">
      <c r="A40" s="108"/>
      <c r="B40" s="3" t="s">
        <v>74</v>
      </c>
      <c r="C40" s="29" t="s">
        <v>99</v>
      </c>
      <c r="D40" s="15"/>
      <c r="E40" s="16" t="s">
        <v>353</v>
      </c>
      <c r="K40" s="14"/>
    </row>
    <row r="41" spans="1:11">
      <c r="A41" s="108"/>
      <c r="B41" s="3" t="s">
        <v>75</v>
      </c>
      <c r="C41" s="29" t="s">
        <v>93</v>
      </c>
      <c r="D41" s="15"/>
      <c r="E41" s="16" t="s">
        <v>354</v>
      </c>
      <c r="K41" s="14"/>
    </row>
    <row r="42" spans="1:11">
      <c r="A42" s="108"/>
      <c r="B42" s="3" t="s">
        <v>76</v>
      </c>
      <c r="C42" s="29" t="s">
        <v>94</v>
      </c>
      <c r="D42" s="15"/>
      <c r="E42" s="16" t="s">
        <v>355</v>
      </c>
      <c r="K42" s="14"/>
    </row>
    <row r="43" spans="1:11">
      <c r="A43" s="108"/>
      <c r="B43" s="3" t="s">
        <v>77</v>
      </c>
      <c r="C43" s="29" t="s">
        <v>92</v>
      </c>
      <c r="D43" s="15"/>
      <c r="E43" s="16" t="s">
        <v>356</v>
      </c>
      <c r="K43" s="14"/>
    </row>
    <row r="44" spans="1:11">
      <c r="A44" s="108"/>
      <c r="B44" s="3" t="s">
        <v>78</v>
      </c>
      <c r="C44" s="29" t="s">
        <v>91</v>
      </c>
      <c r="D44" s="15"/>
      <c r="E44" s="16" t="s">
        <v>357</v>
      </c>
      <c r="K44" s="14"/>
    </row>
    <row r="45" spans="1:11">
      <c r="A45" s="108"/>
      <c r="B45" s="3" t="s">
        <v>79</v>
      </c>
      <c r="C45" s="29" t="s">
        <v>90</v>
      </c>
      <c r="D45" s="15"/>
      <c r="E45" s="16" t="s">
        <v>358</v>
      </c>
      <c r="K45" s="14"/>
    </row>
    <row r="46" spans="1:11">
      <c r="A46" s="108"/>
      <c r="B46" s="3" t="s">
        <v>80</v>
      </c>
      <c r="C46" s="29" t="s">
        <v>89</v>
      </c>
      <c r="D46" s="15"/>
      <c r="E46" s="16" t="s">
        <v>359</v>
      </c>
      <c r="K46" s="14"/>
    </row>
    <row r="47" spans="1:11">
      <c r="A47" s="108"/>
      <c r="B47" s="3" t="s">
        <v>81</v>
      </c>
      <c r="C47" s="29" t="s">
        <v>88</v>
      </c>
      <c r="D47" s="15"/>
      <c r="E47" s="16" t="s">
        <v>360</v>
      </c>
      <c r="K47" s="14"/>
    </row>
    <row r="48" spans="1:11">
      <c r="A48" s="108"/>
      <c r="B48" s="3" t="s">
        <v>82</v>
      </c>
      <c r="C48" s="29" t="s">
        <v>87</v>
      </c>
      <c r="D48" s="15"/>
      <c r="E48" s="16" t="s">
        <v>361</v>
      </c>
      <c r="K48" s="14"/>
    </row>
    <row r="49" spans="1:11">
      <c r="A49" s="108"/>
      <c r="B49" s="3" t="s">
        <v>83</v>
      </c>
      <c r="C49" s="29" t="s">
        <v>86</v>
      </c>
      <c r="D49" s="15"/>
      <c r="E49" s="16" t="s">
        <v>362</v>
      </c>
      <c r="K49" s="14"/>
    </row>
    <row r="50" spans="1:11">
      <c r="A50" s="108"/>
      <c r="B50" s="3" t="s">
        <v>84</v>
      </c>
      <c r="C50" s="29" t="s">
        <v>85</v>
      </c>
      <c r="D50" s="15"/>
      <c r="E50" s="16" t="s">
        <v>363</v>
      </c>
      <c r="K50" s="14"/>
    </row>
    <row r="51" spans="1:11">
      <c r="A51" s="108"/>
      <c r="B51" s="3" t="s">
        <v>85</v>
      </c>
      <c r="C51" s="29" t="s">
        <v>84</v>
      </c>
      <c r="D51" s="15"/>
      <c r="E51" s="16" t="s">
        <v>364</v>
      </c>
      <c r="K51" s="14"/>
    </row>
    <row r="52" spans="1:11">
      <c r="A52" s="108"/>
      <c r="B52" s="3" t="s">
        <v>86</v>
      </c>
      <c r="C52" s="29" t="s">
        <v>83</v>
      </c>
      <c r="D52" s="15"/>
      <c r="E52" s="16" t="s">
        <v>365</v>
      </c>
      <c r="K52" s="14"/>
    </row>
    <row r="53" spans="1:11">
      <c r="A53" s="108"/>
      <c r="B53" s="3" t="s">
        <v>87</v>
      </c>
      <c r="C53" s="29" t="s">
        <v>82</v>
      </c>
      <c r="D53" s="15"/>
      <c r="E53" s="16" t="s">
        <v>366</v>
      </c>
      <c r="K53" s="14"/>
    </row>
    <row r="54" spans="1:11">
      <c r="A54" s="108"/>
      <c r="B54" s="3" t="s">
        <v>88</v>
      </c>
      <c r="C54" s="29" t="s">
        <v>81</v>
      </c>
      <c r="D54" s="15"/>
      <c r="E54" s="16" t="s">
        <v>367</v>
      </c>
      <c r="K54" s="14"/>
    </row>
    <row r="55" spans="1:11">
      <c r="A55" s="108"/>
      <c r="B55" s="3" t="s">
        <v>89</v>
      </c>
      <c r="C55" s="29" t="s">
        <v>78</v>
      </c>
      <c r="D55" s="32" t="s">
        <v>686</v>
      </c>
      <c r="E55" s="16" t="s">
        <v>368</v>
      </c>
      <c r="F55" s="3">
        <v>300</v>
      </c>
      <c r="G55" s="8">
        <f t="shared" ref="G55:G62" si="4">F55/SUM($F$55:$F$67)</f>
        <v>0.16304347826086957</v>
      </c>
      <c r="K55" s="14"/>
    </row>
    <row r="56" spans="1:11">
      <c r="A56" s="108"/>
      <c r="B56" s="3" t="s">
        <v>90</v>
      </c>
      <c r="C56" s="29" t="s">
        <v>77</v>
      </c>
      <c r="D56" s="31" t="s">
        <v>701</v>
      </c>
      <c r="E56" s="16" t="s">
        <v>369</v>
      </c>
      <c r="F56" s="3">
        <v>400</v>
      </c>
      <c r="G56" s="8">
        <f t="shared" si="4"/>
        <v>0.21739130434782608</v>
      </c>
      <c r="K56" s="14"/>
    </row>
    <row r="57" spans="1:11">
      <c r="A57" s="108"/>
      <c r="B57" s="3" t="s">
        <v>91</v>
      </c>
      <c r="C57" s="29" t="s">
        <v>76</v>
      </c>
      <c r="D57" s="15"/>
      <c r="E57" s="16" t="s">
        <v>370</v>
      </c>
      <c r="K57" s="14"/>
    </row>
    <row r="58" spans="1:11">
      <c r="A58" s="108"/>
      <c r="B58" s="3" t="s">
        <v>92</v>
      </c>
      <c r="C58" s="29" t="s">
        <v>79</v>
      </c>
      <c r="D58" s="15"/>
      <c r="E58" s="16" t="s">
        <v>371</v>
      </c>
      <c r="K58" s="14"/>
    </row>
    <row r="59" spans="1:11">
      <c r="A59" s="108"/>
      <c r="B59" s="3" t="s">
        <v>93</v>
      </c>
      <c r="C59" s="29" t="s">
        <v>80</v>
      </c>
      <c r="D59" s="15"/>
      <c r="E59" s="16" t="s">
        <v>372</v>
      </c>
      <c r="K59" s="14"/>
    </row>
    <row r="60" spans="1:11">
      <c r="A60" s="108"/>
      <c r="B60" s="3" t="s">
        <v>94</v>
      </c>
      <c r="C60" s="29" t="s">
        <v>75</v>
      </c>
      <c r="D60" s="15"/>
      <c r="E60" s="16" t="s">
        <v>373</v>
      </c>
      <c r="K60" s="14"/>
    </row>
    <row r="61" spans="1:11">
      <c r="A61" s="108"/>
      <c r="B61" s="3" t="s">
        <v>95</v>
      </c>
      <c r="C61" s="29" t="s">
        <v>73</v>
      </c>
      <c r="D61" s="15"/>
      <c r="E61" s="16" t="s">
        <v>374</v>
      </c>
      <c r="K61" s="14"/>
    </row>
    <row r="62" spans="1:11">
      <c r="A62" s="108"/>
      <c r="B62" s="3" t="s">
        <v>96</v>
      </c>
      <c r="C62" s="29" t="s">
        <v>74</v>
      </c>
      <c r="D62" s="32" t="s">
        <v>688</v>
      </c>
      <c r="E62" s="16" t="s">
        <v>375</v>
      </c>
      <c r="F62" s="3">
        <v>480</v>
      </c>
      <c r="G62" s="8">
        <f t="shared" si="4"/>
        <v>0.2608695652173913</v>
      </c>
      <c r="K62" s="14"/>
    </row>
    <row r="63" spans="1:11">
      <c r="A63" s="108"/>
      <c r="B63" s="3" t="s">
        <v>97</v>
      </c>
      <c r="C63" s="29" t="s">
        <v>72</v>
      </c>
      <c r="D63" s="15"/>
      <c r="E63" s="16" t="s">
        <v>376</v>
      </c>
      <c r="K63" s="14"/>
    </row>
    <row r="64" spans="1:11">
      <c r="A64" s="108"/>
      <c r="B64" s="3" t="s">
        <v>98</v>
      </c>
      <c r="C64" s="29" t="s">
        <v>69</v>
      </c>
      <c r="D64" s="15"/>
      <c r="E64" s="16" t="s">
        <v>377</v>
      </c>
      <c r="K64" s="14"/>
    </row>
    <row r="65" spans="1:11">
      <c r="A65" s="108"/>
      <c r="B65" s="3" t="s">
        <v>99</v>
      </c>
      <c r="C65" s="29" t="s">
        <v>70</v>
      </c>
      <c r="D65" s="15"/>
      <c r="E65" s="16" t="s">
        <v>378</v>
      </c>
      <c r="K65" s="14"/>
    </row>
    <row r="66" spans="1:11">
      <c r="A66" s="108"/>
      <c r="B66" s="3" t="s">
        <v>100</v>
      </c>
      <c r="C66" s="29" t="s">
        <v>68</v>
      </c>
      <c r="D66" s="32"/>
      <c r="E66" s="16" t="s">
        <v>379</v>
      </c>
      <c r="K66" s="14"/>
    </row>
    <row r="67" spans="1:11">
      <c r="A67" s="108"/>
      <c r="B67" s="3" t="s">
        <v>101</v>
      </c>
      <c r="C67" s="29" t="s">
        <v>71</v>
      </c>
      <c r="D67" s="15" t="s">
        <v>727</v>
      </c>
      <c r="E67" s="16" t="s">
        <v>380</v>
      </c>
      <c r="F67" s="3">
        <v>660</v>
      </c>
      <c r="G67" s="8">
        <f>F67/SUM($F$55:$F$67)</f>
        <v>0.35869565217391303</v>
      </c>
      <c r="K67" s="14"/>
    </row>
    <row r="68" spans="1:11">
      <c r="A68" s="108"/>
      <c r="B68" s="3" t="s">
        <v>102</v>
      </c>
      <c r="C68" s="29" t="s">
        <v>67</v>
      </c>
      <c r="D68" s="32"/>
      <c r="E68" s="16" t="s">
        <v>381</v>
      </c>
      <c r="K68" s="14"/>
    </row>
    <row r="69" spans="1:11">
      <c r="A69" s="108"/>
      <c r="B69" s="3" t="s">
        <v>103</v>
      </c>
      <c r="C69" s="29" t="s">
        <v>66</v>
      </c>
      <c r="D69" s="15"/>
      <c r="E69" s="16" t="s">
        <v>382</v>
      </c>
      <c r="K69" s="14"/>
    </row>
    <row r="70" spans="1:11">
      <c r="A70" s="24" t="s">
        <v>622</v>
      </c>
      <c r="B70" s="3" t="s">
        <v>383</v>
      </c>
      <c r="C70" s="29" t="s">
        <v>383</v>
      </c>
      <c r="D70" s="15"/>
      <c r="E70" s="16" t="s">
        <v>384</v>
      </c>
      <c r="G70" s="8">
        <v>1</v>
      </c>
      <c r="H70" s="73" t="s">
        <v>950</v>
      </c>
      <c r="K70" s="14"/>
    </row>
    <row r="71" spans="1:11">
      <c r="A71" s="108" t="s">
        <v>8</v>
      </c>
      <c r="B71" s="3" t="s">
        <v>104</v>
      </c>
      <c r="C71" s="29" t="s">
        <v>106</v>
      </c>
      <c r="D71" s="15"/>
      <c r="E71" s="16" t="s">
        <v>385</v>
      </c>
      <c r="G71" s="8">
        <v>0.33329999999999999</v>
      </c>
      <c r="H71" s="73" t="s">
        <v>950</v>
      </c>
      <c r="K71" s="14"/>
    </row>
    <row r="72" spans="1:11">
      <c r="A72" s="108"/>
      <c r="B72" s="3" t="s">
        <v>105</v>
      </c>
      <c r="C72" s="29" t="s">
        <v>105</v>
      </c>
      <c r="D72" s="15"/>
      <c r="E72" s="16" t="s">
        <v>386</v>
      </c>
      <c r="G72" s="8">
        <v>0.33329999999999999</v>
      </c>
      <c r="H72" s="73" t="s">
        <v>950</v>
      </c>
      <c r="K72" s="14"/>
    </row>
    <row r="73" spans="1:11">
      <c r="A73" s="108"/>
      <c r="B73" s="3" t="s">
        <v>106</v>
      </c>
      <c r="C73" s="29" t="s">
        <v>104</v>
      </c>
      <c r="D73" s="15"/>
      <c r="E73" s="16" t="s">
        <v>387</v>
      </c>
      <c r="G73" s="8">
        <v>0.33329999999999999</v>
      </c>
      <c r="H73" s="73" t="s">
        <v>950</v>
      </c>
      <c r="K73" s="14"/>
    </row>
    <row r="74" spans="1:11">
      <c r="A74" s="108" t="s">
        <v>9</v>
      </c>
      <c r="B74" s="3" t="s">
        <v>107</v>
      </c>
      <c r="C74" s="29" t="s">
        <v>114</v>
      </c>
      <c r="D74" s="15"/>
      <c r="E74" s="16" t="s">
        <v>388</v>
      </c>
      <c r="G74" s="8">
        <f xml:space="preserve"> 1/ROWS(C74:C86)</f>
        <v>7.6923076923076927E-2</v>
      </c>
      <c r="H74" s="73" t="s">
        <v>950</v>
      </c>
      <c r="K74" s="14"/>
    </row>
    <row r="75" spans="1:11">
      <c r="A75" s="108"/>
      <c r="B75" s="3" t="s">
        <v>108</v>
      </c>
      <c r="C75" s="29" t="s">
        <v>389</v>
      </c>
      <c r="D75" s="15"/>
      <c r="E75" s="16" t="s">
        <v>390</v>
      </c>
      <c r="G75" s="8">
        <f t="shared" ref="G75:G86" si="5" xml:space="preserve"> 1/ROWS(C75:C87)</f>
        <v>7.6923076923076927E-2</v>
      </c>
      <c r="H75" s="73" t="s">
        <v>950</v>
      </c>
      <c r="K75" s="14"/>
    </row>
    <row r="76" spans="1:11">
      <c r="A76" s="108"/>
      <c r="B76" s="3" t="s">
        <v>109</v>
      </c>
      <c r="C76" s="29" t="s">
        <v>391</v>
      </c>
      <c r="D76" s="15"/>
      <c r="E76" s="16" t="s">
        <v>392</v>
      </c>
      <c r="G76" s="8">
        <f t="shared" si="5"/>
        <v>7.6923076923076927E-2</v>
      </c>
      <c r="H76" s="73" t="s">
        <v>950</v>
      </c>
    </row>
    <row r="77" spans="1:11">
      <c r="A77" s="108"/>
      <c r="B77" s="3" t="s">
        <v>110</v>
      </c>
      <c r="C77" s="29" t="s">
        <v>393</v>
      </c>
      <c r="D77" s="15"/>
      <c r="E77" s="16" t="s">
        <v>394</v>
      </c>
      <c r="G77" s="8">
        <f t="shared" si="5"/>
        <v>7.6923076923076927E-2</v>
      </c>
      <c r="H77" s="73" t="s">
        <v>950</v>
      </c>
    </row>
    <row r="78" spans="1:11">
      <c r="A78" s="108"/>
      <c r="B78" s="3" t="s">
        <v>111</v>
      </c>
      <c r="C78" s="29" t="s">
        <v>115</v>
      </c>
      <c r="D78" s="15"/>
      <c r="E78" s="16" t="s">
        <v>395</v>
      </c>
      <c r="G78" s="8">
        <f t="shared" si="5"/>
        <v>7.6923076923076927E-2</v>
      </c>
      <c r="H78" s="73" t="s">
        <v>950</v>
      </c>
    </row>
    <row r="79" spans="1:11">
      <c r="A79" s="108"/>
      <c r="B79" s="3" t="s">
        <v>112</v>
      </c>
      <c r="C79" s="29" t="s">
        <v>110</v>
      </c>
      <c r="D79" s="15"/>
      <c r="E79" s="16" t="s">
        <v>396</v>
      </c>
      <c r="G79" s="8">
        <f t="shared" si="5"/>
        <v>7.6923076923076927E-2</v>
      </c>
      <c r="H79" s="73" t="s">
        <v>950</v>
      </c>
    </row>
    <row r="80" spans="1:11">
      <c r="A80" s="108"/>
      <c r="B80" s="3" t="s">
        <v>113</v>
      </c>
      <c r="C80" s="29" t="s">
        <v>112</v>
      </c>
      <c r="D80" s="15"/>
      <c r="E80" s="16" t="s">
        <v>397</v>
      </c>
      <c r="G80" s="8">
        <f t="shared" si="5"/>
        <v>7.6923076923076927E-2</v>
      </c>
      <c r="H80" s="73" t="s">
        <v>950</v>
      </c>
    </row>
    <row r="81" spans="1:8">
      <c r="A81" s="108"/>
      <c r="B81" s="3" t="s">
        <v>114</v>
      </c>
      <c r="C81" s="29" t="s">
        <v>111</v>
      </c>
      <c r="D81" s="15"/>
      <c r="E81" s="16" t="s">
        <v>398</v>
      </c>
      <c r="G81" s="8">
        <f t="shared" si="5"/>
        <v>7.6923076923076927E-2</v>
      </c>
      <c r="H81" s="73" t="s">
        <v>950</v>
      </c>
    </row>
    <row r="82" spans="1:8">
      <c r="A82" s="108"/>
      <c r="B82" s="3" t="s">
        <v>115</v>
      </c>
      <c r="C82" s="29" t="s">
        <v>107</v>
      </c>
      <c r="D82" s="15"/>
      <c r="E82" s="16" t="s">
        <v>399</v>
      </c>
      <c r="G82" s="8">
        <f t="shared" si="5"/>
        <v>7.6923076923076927E-2</v>
      </c>
      <c r="H82" s="73" t="s">
        <v>950</v>
      </c>
    </row>
    <row r="83" spans="1:8">
      <c r="A83" s="108"/>
      <c r="C83" s="29" t="s">
        <v>400</v>
      </c>
      <c r="D83" s="15"/>
      <c r="E83" s="16" t="s">
        <v>401</v>
      </c>
      <c r="G83" s="8">
        <f t="shared" si="5"/>
        <v>7.6923076923076927E-2</v>
      </c>
      <c r="H83" s="73" t="s">
        <v>950</v>
      </c>
    </row>
    <row r="84" spans="1:8">
      <c r="A84" s="108"/>
      <c r="C84" s="29" t="s">
        <v>113</v>
      </c>
      <c r="D84" s="15"/>
      <c r="E84" s="16" t="s">
        <v>402</v>
      </c>
      <c r="G84" s="8">
        <f t="shared" si="5"/>
        <v>7.6923076923076927E-2</v>
      </c>
      <c r="H84" s="73" t="s">
        <v>950</v>
      </c>
    </row>
    <row r="85" spans="1:8">
      <c r="A85" s="108"/>
      <c r="C85" s="29" t="s">
        <v>108</v>
      </c>
      <c r="D85" s="15"/>
      <c r="E85" s="16" t="s">
        <v>403</v>
      </c>
      <c r="G85" s="8">
        <f t="shared" si="5"/>
        <v>7.6923076923076927E-2</v>
      </c>
      <c r="H85" s="73" t="s">
        <v>950</v>
      </c>
    </row>
    <row r="86" spans="1:8">
      <c r="A86" s="108"/>
      <c r="C86" s="29" t="s">
        <v>109</v>
      </c>
      <c r="D86" s="15"/>
      <c r="E86" s="16" t="s">
        <v>404</v>
      </c>
      <c r="G86" s="8">
        <f t="shared" si="5"/>
        <v>7.6923076923076927E-2</v>
      </c>
      <c r="H86" s="73" t="s">
        <v>950</v>
      </c>
    </row>
    <row r="87" spans="1:8">
      <c r="A87" s="108" t="s">
        <v>10</v>
      </c>
      <c r="B87" s="3" t="s">
        <v>116</v>
      </c>
      <c r="C87" s="29" t="s">
        <v>120</v>
      </c>
      <c r="D87" s="15"/>
      <c r="E87" s="16" t="s">
        <v>405</v>
      </c>
      <c r="G87" s="8">
        <f xml:space="preserve"> 1/ROWS(C87:C105)</f>
        <v>5.2631578947368418E-2</v>
      </c>
      <c r="H87" s="73" t="s">
        <v>950</v>
      </c>
    </row>
    <row r="88" spans="1:8">
      <c r="A88" s="108"/>
      <c r="B88" s="3" t="s">
        <v>117</v>
      </c>
      <c r="C88" s="29" t="s">
        <v>117</v>
      </c>
      <c r="D88" s="15"/>
      <c r="E88" s="16" t="s">
        <v>406</v>
      </c>
      <c r="G88" s="8">
        <f t="shared" ref="G88:G105" si="6" xml:space="preserve"> 1/ROWS(C88:C106)</f>
        <v>5.2631578947368418E-2</v>
      </c>
      <c r="H88" s="73" t="s">
        <v>950</v>
      </c>
    </row>
    <row r="89" spans="1:8">
      <c r="A89" s="108"/>
      <c r="B89" s="3" t="s">
        <v>118</v>
      </c>
      <c r="C89" s="29" t="s">
        <v>128</v>
      </c>
      <c r="D89" s="15"/>
      <c r="E89" s="16" t="s">
        <v>407</v>
      </c>
      <c r="G89" s="8">
        <f t="shared" si="6"/>
        <v>5.2631578947368418E-2</v>
      </c>
      <c r="H89" s="73" t="s">
        <v>950</v>
      </c>
    </row>
    <row r="90" spans="1:8">
      <c r="A90" s="108"/>
      <c r="B90" s="3" t="s">
        <v>119</v>
      </c>
      <c r="C90" s="29" t="s">
        <v>118</v>
      </c>
      <c r="D90" s="15"/>
      <c r="E90" s="16" t="s">
        <v>408</v>
      </c>
      <c r="G90" s="8">
        <f t="shared" si="6"/>
        <v>5.2631578947368418E-2</v>
      </c>
      <c r="H90" s="73" t="s">
        <v>950</v>
      </c>
    </row>
    <row r="91" spans="1:8">
      <c r="A91" s="108"/>
      <c r="B91" s="3" t="s">
        <v>120</v>
      </c>
      <c r="C91" s="29" t="s">
        <v>123</v>
      </c>
      <c r="D91" s="15"/>
      <c r="E91" s="16" t="s">
        <v>409</v>
      </c>
      <c r="G91" s="8">
        <f t="shared" si="6"/>
        <v>5.2631578947368418E-2</v>
      </c>
      <c r="H91" s="73" t="s">
        <v>950</v>
      </c>
    </row>
    <row r="92" spans="1:8">
      <c r="A92" s="108"/>
      <c r="B92" s="3" t="s">
        <v>121</v>
      </c>
      <c r="C92" s="29" t="s">
        <v>119</v>
      </c>
      <c r="D92" s="15"/>
      <c r="E92" s="16" t="s">
        <v>410</v>
      </c>
      <c r="G92" s="8">
        <f t="shared" si="6"/>
        <v>5.2631578947368418E-2</v>
      </c>
      <c r="H92" s="73" t="s">
        <v>950</v>
      </c>
    </row>
    <row r="93" spans="1:8">
      <c r="A93" s="108"/>
      <c r="B93" s="3" t="s">
        <v>122</v>
      </c>
      <c r="C93" s="29" t="s">
        <v>129</v>
      </c>
      <c r="D93" s="15"/>
      <c r="E93" s="16" t="s">
        <v>411</v>
      </c>
      <c r="G93" s="8">
        <f t="shared" si="6"/>
        <v>5.2631578947368418E-2</v>
      </c>
      <c r="H93" s="73" t="s">
        <v>950</v>
      </c>
    </row>
    <row r="94" spans="1:8">
      <c r="A94" s="108"/>
      <c r="B94" s="3" t="s">
        <v>123</v>
      </c>
      <c r="C94" s="29" t="s">
        <v>124</v>
      </c>
      <c r="D94" s="15"/>
      <c r="E94" s="16" t="s">
        <v>412</v>
      </c>
      <c r="G94" s="8">
        <f t="shared" si="6"/>
        <v>5.2631578947368418E-2</v>
      </c>
      <c r="H94" s="73" t="s">
        <v>950</v>
      </c>
    </row>
    <row r="95" spans="1:8">
      <c r="A95" s="108"/>
      <c r="B95" s="3" t="s">
        <v>124</v>
      </c>
      <c r="C95" s="29" t="s">
        <v>126</v>
      </c>
      <c r="D95" s="15"/>
      <c r="E95" s="16" t="s">
        <v>413</v>
      </c>
      <c r="G95" s="8">
        <f t="shared" si="6"/>
        <v>5.2631578947368418E-2</v>
      </c>
      <c r="H95" s="73" t="s">
        <v>950</v>
      </c>
    </row>
    <row r="96" spans="1:8">
      <c r="A96" s="108"/>
      <c r="B96" s="3" t="s">
        <v>125</v>
      </c>
      <c r="C96" s="29" t="s">
        <v>127</v>
      </c>
      <c r="D96" s="15"/>
      <c r="E96" s="16" t="s">
        <v>414</v>
      </c>
      <c r="G96" s="8">
        <f t="shared" si="6"/>
        <v>5.2631578947368418E-2</v>
      </c>
      <c r="H96" s="73" t="s">
        <v>950</v>
      </c>
    </row>
    <row r="97" spans="1:8">
      <c r="A97" s="108"/>
      <c r="B97" s="3" t="s">
        <v>126</v>
      </c>
      <c r="C97" s="29" t="s">
        <v>121</v>
      </c>
      <c r="D97" s="15"/>
      <c r="E97" s="16" t="s">
        <v>415</v>
      </c>
      <c r="G97" s="8">
        <f t="shared" si="6"/>
        <v>5.2631578947368418E-2</v>
      </c>
      <c r="H97" s="73" t="s">
        <v>950</v>
      </c>
    </row>
    <row r="98" spans="1:8">
      <c r="A98" s="108"/>
      <c r="B98" s="3" t="s">
        <v>127</v>
      </c>
      <c r="C98" s="29" t="s">
        <v>125</v>
      </c>
      <c r="D98" s="15"/>
      <c r="E98" s="16" t="s">
        <v>416</v>
      </c>
      <c r="G98" s="8">
        <f t="shared" si="6"/>
        <v>5.2631578947368418E-2</v>
      </c>
      <c r="H98" s="73" t="s">
        <v>950</v>
      </c>
    </row>
    <row r="99" spans="1:8">
      <c r="A99" s="108"/>
      <c r="B99" s="3" t="s">
        <v>128</v>
      </c>
      <c r="C99" s="29" t="s">
        <v>122</v>
      </c>
      <c r="D99" s="15"/>
      <c r="E99" s="16" t="s">
        <v>417</v>
      </c>
      <c r="G99" s="8">
        <f t="shared" si="6"/>
        <v>5.2631578947368418E-2</v>
      </c>
      <c r="H99" s="73" t="s">
        <v>950</v>
      </c>
    </row>
    <row r="100" spans="1:8">
      <c r="A100" s="108"/>
      <c r="B100" s="3" t="s">
        <v>129</v>
      </c>
      <c r="C100" s="29" t="s">
        <v>418</v>
      </c>
      <c r="D100" s="15"/>
      <c r="E100" s="16" t="s">
        <v>419</v>
      </c>
      <c r="G100" s="8">
        <f t="shared" si="6"/>
        <v>5.2631578947368418E-2</v>
      </c>
      <c r="H100" s="73" t="s">
        <v>950</v>
      </c>
    </row>
    <row r="101" spans="1:8">
      <c r="A101" s="108"/>
      <c r="B101" s="3" t="s">
        <v>130</v>
      </c>
      <c r="C101" s="29" t="s">
        <v>130</v>
      </c>
      <c r="D101" s="15"/>
      <c r="E101" s="16" t="s">
        <v>420</v>
      </c>
      <c r="G101" s="8">
        <f t="shared" si="6"/>
        <v>5.2631578947368418E-2</v>
      </c>
      <c r="H101" s="73" t="s">
        <v>950</v>
      </c>
    </row>
    <row r="102" spans="1:8">
      <c r="A102" s="108"/>
      <c r="C102" s="29" t="s">
        <v>116</v>
      </c>
      <c r="D102" s="15"/>
      <c r="E102" s="16" t="s">
        <v>421</v>
      </c>
      <c r="G102" s="8">
        <f t="shared" si="6"/>
        <v>5.2631578947368418E-2</v>
      </c>
      <c r="H102" s="73" t="s">
        <v>950</v>
      </c>
    </row>
    <row r="103" spans="1:8">
      <c r="A103" s="108"/>
      <c r="C103" s="29" t="s">
        <v>422</v>
      </c>
      <c r="D103" s="15"/>
      <c r="E103" s="16" t="s">
        <v>423</v>
      </c>
      <c r="G103" s="8">
        <f t="shared" si="6"/>
        <v>5.2631578947368418E-2</v>
      </c>
      <c r="H103" s="73" t="s">
        <v>950</v>
      </c>
    </row>
    <row r="104" spans="1:8">
      <c r="A104" s="108"/>
      <c r="C104" s="29" t="s">
        <v>424</v>
      </c>
      <c r="D104" s="15"/>
      <c r="E104" s="16" t="s">
        <v>425</v>
      </c>
      <c r="G104" s="8">
        <f t="shared" si="6"/>
        <v>5.2631578947368418E-2</v>
      </c>
      <c r="H104" s="73" t="s">
        <v>950</v>
      </c>
    </row>
    <row r="105" spans="1:8">
      <c r="A105" s="108"/>
      <c r="C105" s="29" t="s">
        <v>426</v>
      </c>
      <c r="D105" s="15"/>
      <c r="E105" s="16" t="s">
        <v>427</v>
      </c>
      <c r="G105" s="8">
        <f t="shared" si="6"/>
        <v>5.2631578947368418E-2</v>
      </c>
      <c r="H105" s="73" t="s">
        <v>950</v>
      </c>
    </row>
    <row r="106" spans="1:8">
      <c r="A106" s="108" t="s">
        <v>11</v>
      </c>
      <c r="B106" s="3" t="s">
        <v>131</v>
      </c>
      <c r="C106" s="29" t="s">
        <v>132</v>
      </c>
      <c r="D106" s="15"/>
      <c r="E106" s="16" t="s">
        <v>428</v>
      </c>
      <c r="G106" s="8">
        <f xml:space="preserve"> 1/ROWS(C106:C132)</f>
        <v>3.7037037037037035E-2</v>
      </c>
      <c r="H106" s="73" t="s">
        <v>950</v>
      </c>
    </row>
    <row r="107" spans="1:8">
      <c r="A107" s="108"/>
      <c r="B107" s="3" t="s">
        <v>132</v>
      </c>
      <c r="C107" s="29" t="s">
        <v>143</v>
      </c>
      <c r="D107" s="15"/>
      <c r="E107" s="16" t="s">
        <v>429</v>
      </c>
      <c r="G107" s="8">
        <f t="shared" ref="G107:G108" si="7" xml:space="preserve"> 1/ROWS(C107:C133)</f>
        <v>3.7037037037037035E-2</v>
      </c>
      <c r="H107" s="73" t="s">
        <v>950</v>
      </c>
    </row>
    <row r="108" spans="1:8">
      <c r="A108" s="108"/>
      <c r="B108" s="3" t="s">
        <v>133</v>
      </c>
      <c r="C108" s="29" t="s">
        <v>141</v>
      </c>
      <c r="D108" s="15"/>
      <c r="E108" s="16" t="s">
        <v>430</v>
      </c>
      <c r="G108" s="8">
        <f t="shared" si="7"/>
        <v>3.7037037037037035E-2</v>
      </c>
      <c r="H108" s="73" t="s">
        <v>950</v>
      </c>
    </row>
    <row r="109" spans="1:8">
      <c r="A109" s="108"/>
      <c r="B109" s="3" t="s">
        <v>134</v>
      </c>
      <c r="C109" s="29" t="s">
        <v>138</v>
      </c>
      <c r="D109" s="15"/>
      <c r="E109" s="16" t="s">
        <v>431</v>
      </c>
      <c r="G109" s="8">
        <f t="shared" ref="G109:G132" si="8" xml:space="preserve"> 1/ROWS(C109:C136)</f>
        <v>3.5714285714285712E-2</v>
      </c>
      <c r="H109" s="73" t="s">
        <v>950</v>
      </c>
    </row>
    <row r="110" spans="1:8">
      <c r="A110" s="108"/>
      <c r="B110" s="3" t="s">
        <v>135</v>
      </c>
      <c r="C110" s="30" t="s">
        <v>145</v>
      </c>
      <c r="D110" s="16"/>
      <c r="E110" s="19" t="s">
        <v>432</v>
      </c>
      <c r="G110" s="8">
        <f t="shared" si="8"/>
        <v>3.5714285714285712E-2</v>
      </c>
      <c r="H110" s="73" t="s">
        <v>950</v>
      </c>
    </row>
    <row r="111" spans="1:8">
      <c r="A111" s="108"/>
      <c r="B111" s="3" t="s">
        <v>136</v>
      </c>
      <c r="C111" s="30" t="s">
        <v>137</v>
      </c>
      <c r="D111" s="31"/>
      <c r="E111" s="19" t="s">
        <v>433</v>
      </c>
      <c r="G111" s="8">
        <f t="shared" si="8"/>
        <v>3.5714285714285712E-2</v>
      </c>
      <c r="H111" s="73" t="s">
        <v>950</v>
      </c>
    </row>
    <row r="112" spans="1:8">
      <c r="A112" s="108"/>
      <c r="B112" s="3" t="s">
        <v>137</v>
      </c>
      <c r="C112" s="29" t="s">
        <v>134</v>
      </c>
      <c r="D112" s="32"/>
      <c r="E112" s="16" t="s">
        <v>434</v>
      </c>
      <c r="G112" s="8">
        <f t="shared" si="8"/>
        <v>3.5714285714285712E-2</v>
      </c>
      <c r="H112" s="73" t="s">
        <v>950</v>
      </c>
    </row>
    <row r="113" spans="1:8">
      <c r="A113" s="108"/>
      <c r="B113" s="3" t="s">
        <v>138</v>
      </c>
      <c r="C113" s="29" t="s">
        <v>151</v>
      </c>
      <c r="D113" s="15"/>
      <c r="E113" s="16" t="s">
        <v>435</v>
      </c>
      <c r="G113" s="8">
        <f t="shared" si="8"/>
        <v>3.5714285714285712E-2</v>
      </c>
      <c r="H113" s="73" t="s">
        <v>950</v>
      </c>
    </row>
    <row r="114" spans="1:8">
      <c r="A114" s="108"/>
      <c r="B114" s="3" t="s">
        <v>139</v>
      </c>
      <c r="C114" s="29" t="s">
        <v>133</v>
      </c>
      <c r="D114" s="15"/>
      <c r="E114" s="16" t="s">
        <v>436</v>
      </c>
      <c r="G114" s="8">
        <f t="shared" si="8"/>
        <v>3.5714285714285712E-2</v>
      </c>
      <c r="H114" s="73" t="s">
        <v>950</v>
      </c>
    </row>
    <row r="115" spans="1:8">
      <c r="A115" s="108"/>
      <c r="B115" s="3" t="s">
        <v>140</v>
      </c>
      <c r="C115" s="29" t="s">
        <v>148</v>
      </c>
      <c r="D115" s="15"/>
      <c r="E115" s="16" t="s">
        <v>437</v>
      </c>
      <c r="G115" s="8">
        <f t="shared" si="8"/>
        <v>3.5714285714285712E-2</v>
      </c>
      <c r="H115" s="73" t="s">
        <v>950</v>
      </c>
    </row>
    <row r="116" spans="1:8">
      <c r="A116" s="108"/>
      <c r="B116" s="3" t="s">
        <v>141</v>
      </c>
      <c r="C116" s="29" t="s">
        <v>135</v>
      </c>
      <c r="D116" s="15"/>
      <c r="E116" s="16" t="s">
        <v>438</v>
      </c>
      <c r="G116" s="8">
        <f t="shared" si="8"/>
        <v>3.5714285714285712E-2</v>
      </c>
      <c r="H116" s="73" t="s">
        <v>950</v>
      </c>
    </row>
    <row r="117" spans="1:8">
      <c r="A117" s="108"/>
      <c r="B117" s="3" t="s">
        <v>142</v>
      </c>
      <c r="C117" s="29" t="s">
        <v>136</v>
      </c>
      <c r="D117" s="15"/>
      <c r="E117" s="16" t="s">
        <v>439</v>
      </c>
      <c r="G117" s="8">
        <f t="shared" si="8"/>
        <v>3.5714285714285712E-2</v>
      </c>
      <c r="H117" s="73" t="s">
        <v>950</v>
      </c>
    </row>
    <row r="118" spans="1:8">
      <c r="A118" s="108"/>
      <c r="B118" s="3" t="s">
        <v>143</v>
      </c>
      <c r="C118" s="29" t="s">
        <v>140</v>
      </c>
      <c r="D118" s="15"/>
      <c r="E118" s="16" t="s">
        <v>440</v>
      </c>
      <c r="G118" s="8">
        <f t="shared" si="8"/>
        <v>3.5714285714285712E-2</v>
      </c>
      <c r="H118" s="73" t="s">
        <v>950</v>
      </c>
    </row>
    <row r="119" spans="1:8">
      <c r="A119" s="108"/>
      <c r="B119" s="3" t="s">
        <v>144</v>
      </c>
      <c r="C119" s="29" t="s">
        <v>139</v>
      </c>
      <c r="D119" s="15"/>
      <c r="E119" s="16" t="s">
        <v>441</v>
      </c>
      <c r="G119" s="8">
        <f t="shared" si="8"/>
        <v>3.5714285714285712E-2</v>
      </c>
      <c r="H119" s="73" t="s">
        <v>950</v>
      </c>
    </row>
    <row r="120" spans="1:8">
      <c r="A120" s="108"/>
      <c r="B120" s="3" t="s">
        <v>145</v>
      </c>
      <c r="C120" s="29" t="s">
        <v>142</v>
      </c>
      <c r="D120" s="15"/>
      <c r="E120" s="16" t="s">
        <v>442</v>
      </c>
      <c r="G120" s="8">
        <f t="shared" si="8"/>
        <v>3.5714285714285712E-2</v>
      </c>
      <c r="H120" s="73" t="s">
        <v>950</v>
      </c>
    </row>
    <row r="121" spans="1:8">
      <c r="A121" s="108"/>
      <c r="B121" s="3" t="s">
        <v>146</v>
      </c>
      <c r="C121" s="29" t="s">
        <v>144</v>
      </c>
      <c r="D121" s="15"/>
      <c r="E121" s="16" t="s">
        <v>443</v>
      </c>
      <c r="G121" s="8">
        <f t="shared" si="8"/>
        <v>3.5714285714285712E-2</v>
      </c>
      <c r="H121" s="73" t="s">
        <v>950</v>
      </c>
    </row>
    <row r="122" spans="1:8">
      <c r="A122" s="108"/>
      <c r="B122" s="3" t="s">
        <v>147</v>
      </c>
      <c r="C122" s="29" t="s">
        <v>146</v>
      </c>
      <c r="D122" s="15"/>
      <c r="E122" s="16" t="s">
        <v>444</v>
      </c>
      <c r="G122" s="8">
        <f t="shared" si="8"/>
        <v>3.5714285714285712E-2</v>
      </c>
      <c r="H122" s="73" t="s">
        <v>950</v>
      </c>
    </row>
    <row r="123" spans="1:8">
      <c r="A123" s="108"/>
      <c r="B123" s="3" t="s">
        <v>148</v>
      </c>
      <c r="C123" s="29" t="s">
        <v>147</v>
      </c>
      <c r="D123" s="15"/>
      <c r="E123" s="16" t="s">
        <v>445</v>
      </c>
      <c r="G123" s="8">
        <f t="shared" si="8"/>
        <v>3.5714285714285712E-2</v>
      </c>
      <c r="H123" s="73" t="s">
        <v>950</v>
      </c>
    </row>
    <row r="124" spans="1:8">
      <c r="A124" s="108"/>
      <c r="B124" s="3" t="s">
        <v>149</v>
      </c>
      <c r="C124" s="29" t="s">
        <v>150</v>
      </c>
      <c r="D124" s="15"/>
      <c r="E124" s="16" t="s">
        <v>446</v>
      </c>
      <c r="G124" s="8">
        <f t="shared" si="8"/>
        <v>3.5714285714285712E-2</v>
      </c>
      <c r="H124" s="73" t="s">
        <v>950</v>
      </c>
    </row>
    <row r="125" spans="1:8">
      <c r="A125" s="108"/>
      <c r="B125" s="3" t="s">
        <v>150</v>
      </c>
      <c r="C125" s="29" t="s">
        <v>152</v>
      </c>
      <c r="D125" s="15"/>
      <c r="E125" s="16" t="s">
        <v>447</v>
      </c>
      <c r="G125" s="8">
        <f t="shared" si="8"/>
        <v>3.5714285714285712E-2</v>
      </c>
      <c r="H125" s="73" t="s">
        <v>950</v>
      </c>
    </row>
    <row r="126" spans="1:8">
      <c r="A126" s="108"/>
      <c r="B126" s="3" t="s">
        <v>151</v>
      </c>
      <c r="C126" s="29" t="s">
        <v>149</v>
      </c>
      <c r="D126" s="15"/>
      <c r="E126" s="16" t="s">
        <v>448</v>
      </c>
      <c r="G126" s="8">
        <f t="shared" si="8"/>
        <v>3.5714285714285712E-2</v>
      </c>
      <c r="H126" s="73" t="s">
        <v>950</v>
      </c>
    </row>
    <row r="127" spans="1:8">
      <c r="A127" s="108"/>
      <c r="B127" s="3" t="s">
        <v>152</v>
      </c>
      <c r="C127" s="29" t="s">
        <v>131</v>
      </c>
      <c r="D127" s="15"/>
      <c r="E127" s="16" t="s">
        <v>449</v>
      </c>
      <c r="G127" s="8">
        <f t="shared" si="8"/>
        <v>3.5714285714285712E-2</v>
      </c>
      <c r="H127" s="73" t="s">
        <v>950</v>
      </c>
    </row>
    <row r="128" spans="1:8">
      <c r="A128" s="108"/>
      <c r="C128" s="29" t="s">
        <v>450</v>
      </c>
      <c r="D128" s="15"/>
      <c r="E128" s="16" t="s">
        <v>451</v>
      </c>
      <c r="G128" s="8">
        <f t="shared" si="8"/>
        <v>3.5714285714285712E-2</v>
      </c>
      <c r="H128" s="73" t="s">
        <v>950</v>
      </c>
    </row>
    <row r="129" spans="1:8">
      <c r="A129" s="108"/>
      <c r="C129" s="29" t="s">
        <v>452</v>
      </c>
      <c r="D129" s="15"/>
      <c r="E129" s="16" t="s">
        <v>453</v>
      </c>
      <c r="G129" s="8">
        <f t="shared" si="8"/>
        <v>3.5714285714285712E-2</v>
      </c>
      <c r="H129" s="73" t="s">
        <v>950</v>
      </c>
    </row>
    <row r="130" spans="1:8">
      <c r="A130" s="108"/>
      <c r="C130" s="29" t="s">
        <v>454</v>
      </c>
      <c r="D130" s="15"/>
      <c r="E130" s="16" t="s">
        <v>455</v>
      </c>
      <c r="G130" s="8">
        <f t="shared" si="8"/>
        <v>3.5714285714285712E-2</v>
      </c>
      <c r="H130" s="73" t="s">
        <v>950</v>
      </c>
    </row>
    <row r="131" spans="1:8">
      <c r="A131" s="108"/>
      <c r="C131" s="29" t="s">
        <v>456</v>
      </c>
      <c r="D131" s="15"/>
      <c r="E131" s="16" t="s">
        <v>457</v>
      </c>
      <c r="G131" s="8">
        <f t="shared" si="8"/>
        <v>3.5714285714285712E-2</v>
      </c>
      <c r="H131" s="73" t="s">
        <v>950</v>
      </c>
    </row>
    <row r="132" spans="1:8">
      <c r="A132" s="108"/>
      <c r="C132" s="29" t="s">
        <v>458</v>
      </c>
      <c r="D132" s="15"/>
      <c r="E132" s="16" t="s">
        <v>459</v>
      </c>
      <c r="G132" s="8">
        <f t="shared" si="8"/>
        <v>3.5714285714285712E-2</v>
      </c>
      <c r="H132" s="73" t="s">
        <v>950</v>
      </c>
    </row>
    <row r="133" spans="1:8">
      <c r="A133" s="108" t="s">
        <v>12</v>
      </c>
      <c r="B133" s="3" t="s">
        <v>153</v>
      </c>
      <c r="C133" s="19" t="s">
        <v>460</v>
      </c>
      <c r="D133" s="16"/>
      <c r="E133" s="19" t="s">
        <v>461</v>
      </c>
      <c r="G133" s="8">
        <f>1/3*$G$135</f>
        <v>0.16666666666666666</v>
      </c>
      <c r="H133" s="73" t="s">
        <v>950</v>
      </c>
    </row>
    <row r="134" spans="1:8">
      <c r="A134" s="108"/>
      <c r="B134" s="3" t="s">
        <v>154</v>
      </c>
      <c r="C134" s="29" t="s">
        <v>154</v>
      </c>
      <c r="D134" s="15"/>
      <c r="E134" s="16" t="s">
        <v>462</v>
      </c>
      <c r="G134" s="8">
        <f>0.5</f>
        <v>0.5</v>
      </c>
      <c r="H134" s="73" t="s">
        <v>950</v>
      </c>
    </row>
    <row r="135" spans="1:8">
      <c r="A135" s="108"/>
      <c r="C135" s="29" t="s">
        <v>153</v>
      </c>
      <c r="D135" s="15"/>
      <c r="E135" s="16"/>
      <c r="G135" s="100">
        <v>0.5</v>
      </c>
      <c r="H135" s="73" t="s">
        <v>950</v>
      </c>
    </row>
    <row r="136" spans="1:8">
      <c r="A136" s="108"/>
      <c r="C136" s="29" t="s">
        <v>463</v>
      </c>
      <c r="D136" s="15"/>
      <c r="E136" s="16" t="s">
        <v>464</v>
      </c>
      <c r="G136" s="8">
        <f>1/3*$G$135</f>
        <v>0.16666666666666666</v>
      </c>
      <c r="H136" s="73" t="s">
        <v>950</v>
      </c>
    </row>
    <row r="137" spans="1:8">
      <c r="A137" s="108"/>
      <c r="C137" s="29" t="s">
        <v>465</v>
      </c>
      <c r="D137" s="15"/>
      <c r="E137" s="16" t="s">
        <v>466</v>
      </c>
      <c r="G137" s="8">
        <f>1/3*$G$135</f>
        <v>0.16666666666666666</v>
      </c>
      <c r="H137" s="73" t="s">
        <v>950</v>
      </c>
    </row>
    <row r="138" spans="1:8">
      <c r="A138" s="108" t="s">
        <v>13</v>
      </c>
      <c r="B138" s="3" t="s">
        <v>155</v>
      </c>
      <c r="C138" s="29" t="s">
        <v>163</v>
      </c>
      <c r="D138" s="15"/>
      <c r="E138" s="16" t="s">
        <v>467</v>
      </c>
      <c r="G138" s="8">
        <f xml:space="preserve"> 1/ROWS(C138:C158)</f>
        <v>4.7619047619047616E-2</v>
      </c>
      <c r="H138" s="73" t="s">
        <v>950</v>
      </c>
    </row>
    <row r="139" spans="1:8">
      <c r="A139" s="108"/>
      <c r="B139" s="3" t="s">
        <v>156</v>
      </c>
      <c r="C139" s="29" t="s">
        <v>156</v>
      </c>
      <c r="D139" s="15"/>
      <c r="E139" s="16" t="s">
        <v>468</v>
      </c>
      <c r="G139" s="8">
        <f t="shared" ref="G139:G158" si="9" xml:space="preserve"> 1/ROWS(C139:C159)</f>
        <v>4.7619047619047616E-2</v>
      </c>
      <c r="H139" s="73" t="s">
        <v>950</v>
      </c>
    </row>
    <row r="140" spans="1:8">
      <c r="A140" s="108"/>
      <c r="B140" s="3" t="s">
        <v>157</v>
      </c>
      <c r="C140" s="29" t="s">
        <v>167</v>
      </c>
      <c r="D140" s="15"/>
      <c r="E140" s="16" t="s">
        <v>469</v>
      </c>
      <c r="G140" s="8">
        <f t="shared" si="9"/>
        <v>4.7619047619047616E-2</v>
      </c>
      <c r="H140" s="73" t="s">
        <v>950</v>
      </c>
    </row>
    <row r="141" spans="1:8">
      <c r="A141" s="108"/>
      <c r="B141" s="3" t="s">
        <v>158</v>
      </c>
      <c r="C141" s="29" t="s">
        <v>166</v>
      </c>
      <c r="D141" s="15"/>
      <c r="E141" s="16" t="s">
        <v>470</v>
      </c>
      <c r="G141" s="8">
        <f t="shared" si="9"/>
        <v>4.7619047619047616E-2</v>
      </c>
      <c r="H141" s="73" t="s">
        <v>950</v>
      </c>
    </row>
    <row r="142" spans="1:8">
      <c r="A142" s="108"/>
      <c r="B142" s="3" t="s">
        <v>159</v>
      </c>
      <c r="C142" s="29" t="s">
        <v>175</v>
      </c>
      <c r="D142" s="15"/>
      <c r="E142" s="16" t="s">
        <v>471</v>
      </c>
      <c r="G142" s="8">
        <f t="shared" si="9"/>
        <v>4.7619047619047616E-2</v>
      </c>
      <c r="H142" s="73" t="s">
        <v>950</v>
      </c>
    </row>
    <row r="143" spans="1:8">
      <c r="A143" s="108"/>
      <c r="B143" s="3" t="s">
        <v>160</v>
      </c>
      <c r="C143" s="29" t="s">
        <v>164</v>
      </c>
      <c r="D143" s="15"/>
      <c r="E143" s="16" t="s">
        <v>472</v>
      </c>
      <c r="G143" s="8">
        <f t="shared" si="9"/>
        <v>4.7619047619047616E-2</v>
      </c>
      <c r="H143" s="73" t="s">
        <v>950</v>
      </c>
    </row>
    <row r="144" spans="1:8">
      <c r="A144" s="108"/>
      <c r="B144" s="3" t="s">
        <v>161</v>
      </c>
      <c r="C144" s="29" t="s">
        <v>171</v>
      </c>
      <c r="D144" s="15"/>
      <c r="E144" s="16" t="s">
        <v>473</v>
      </c>
      <c r="G144" s="8">
        <f t="shared" si="9"/>
        <v>4.7619047619047616E-2</v>
      </c>
      <c r="H144" s="73" t="s">
        <v>950</v>
      </c>
    </row>
    <row r="145" spans="1:8">
      <c r="A145" s="108"/>
      <c r="B145" s="3" t="s">
        <v>162</v>
      </c>
      <c r="C145" s="29" t="s">
        <v>174</v>
      </c>
      <c r="D145" s="32"/>
      <c r="E145" s="16" t="s">
        <v>474</v>
      </c>
      <c r="G145" s="8">
        <f t="shared" si="9"/>
        <v>4.7619047619047616E-2</v>
      </c>
      <c r="H145" s="73" t="s">
        <v>950</v>
      </c>
    </row>
    <row r="146" spans="1:8">
      <c r="A146" s="108"/>
      <c r="B146" s="3" t="s">
        <v>163</v>
      </c>
      <c r="C146" s="29" t="s">
        <v>173</v>
      </c>
      <c r="D146" s="15"/>
      <c r="E146" s="16" t="s">
        <v>475</v>
      </c>
      <c r="G146" s="8">
        <f t="shared" si="9"/>
        <v>4.7619047619047616E-2</v>
      </c>
      <c r="H146" s="73" t="s">
        <v>950</v>
      </c>
    </row>
    <row r="147" spans="1:8">
      <c r="A147" s="108"/>
      <c r="B147" s="3" t="s">
        <v>164</v>
      </c>
      <c r="C147" s="29" t="s">
        <v>172</v>
      </c>
      <c r="D147" s="15"/>
      <c r="E147" s="16" t="s">
        <v>476</v>
      </c>
      <c r="G147" s="8">
        <f t="shared" si="9"/>
        <v>4.7619047619047616E-2</v>
      </c>
      <c r="H147" s="73" t="s">
        <v>950</v>
      </c>
    </row>
    <row r="148" spans="1:8">
      <c r="A148" s="108"/>
      <c r="B148" s="3" t="s">
        <v>165</v>
      </c>
      <c r="C148" s="29" t="s">
        <v>161</v>
      </c>
      <c r="D148" s="32"/>
      <c r="E148" s="16" t="s">
        <v>477</v>
      </c>
      <c r="G148" s="8">
        <f t="shared" si="9"/>
        <v>4.7619047619047616E-2</v>
      </c>
      <c r="H148" s="73" t="s">
        <v>950</v>
      </c>
    </row>
    <row r="149" spans="1:8">
      <c r="A149" s="108"/>
      <c r="B149" s="3" t="s">
        <v>166</v>
      </c>
      <c r="C149" s="29" t="s">
        <v>162</v>
      </c>
      <c r="D149" s="15"/>
      <c r="E149" s="16" t="s">
        <v>478</v>
      </c>
      <c r="G149" s="8">
        <f t="shared" si="9"/>
        <v>4.7619047619047616E-2</v>
      </c>
      <c r="H149" s="73" t="s">
        <v>950</v>
      </c>
    </row>
    <row r="150" spans="1:8" ht="29.25">
      <c r="A150" s="108"/>
      <c r="B150" s="3" t="s">
        <v>167</v>
      </c>
      <c r="C150" s="29" t="s">
        <v>158</v>
      </c>
      <c r="D150" s="15"/>
      <c r="E150" s="16" t="s">
        <v>479</v>
      </c>
      <c r="G150" s="8">
        <f t="shared" si="9"/>
        <v>4.7619047619047616E-2</v>
      </c>
      <c r="H150" s="73" t="s">
        <v>950</v>
      </c>
    </row>
    <row r="151" spans="1:8">
      <c r="A151" s="108"/>
      <c r="B151" s="3" t="s">
        <v>168</v>
      </c>
      <c r="C151" s="29" t="s">
        <v>159</v>
      </c>
      <c r="D151" s="15"/>
      <c r="E151" s="16" t="s">
        <v>480</v>
      </c>
      <c r="G151" s="8">
        <f t="shared" si="9"/>
        <v>4.7619047619047616E-2</v>
      </c>
      <c r="H151" s="73" t="s">
        <v>950</v>
      </c>
    </row>
    <row r="152" spans="1:8">
      <c r="A152" s="108"/>
      <c r="B152" s="3" t="s">
        <v>169</v>
      </c>
      <c r="C152" s="29" t="s">
        <v>155</v>
      </c>
      <c r="D152" s="32"/>
      <c r="E152" s="16" t="s">
        <v>481</v>
      </c>
      <c r="G152" s="8">
        <f t="shared" si="9"/>
        <v>4.7619047619047616E-2</v>
      </c>
      <c r="H152" s="73" t="s">
        <v>950</v>
      </c>
    </row>
    <row r="153" spans="1:8">
      <c r="A153" s="108"/>
      <c r="B153" s="3" t="s">
        <v>170</v>
      </c>
      <c r="C153" s="29" t="s">
        <v>169</v>
      </c>
      <c r="D153" s="15"/>
      <c r="E153" s="16" t="s">
        <v>482</v>
      </c>
      <c r="G153" s="8">
        <f t="shared" si="9"/>
        <v>4.7619047619047616E-2</v>
      </c>
      <c r="H153" s="73" t="s">
        <v>950</v>
      </c>
    </row>
    <row r="154" spans="1:8">
      <c r="A154" s="108"/>
      <c r="B154" s="3" t="s">
        <v>171</v>
      </c>
      <c r="C154" s="29" t="s">
        <v>170</v>
      </c>
      <c r="D154" s="15"/>
      <c r="E154" s="16" t="s">
        <v>483</v>
      </c>
      <c r="G154" s="8">
        <f t="shared" si="9"/>
        <v>4.7619047619047616E-2</v>
      </c>
      <c r="H154" s="73" t="s">
        <v>950</v>
      </c>
    </row>
    <row r="155" spans="1:8">
      <c r="A155" s="108"/>
      <c r="B155" s="3" t="s">
        <v>172</v>
      </c>
      <c r="C155" s="29" t="s">
        <v>160</v>
      </c>
      <c r="D155" s="15"/>
      <c r="E155" s="16" t="s">
        <v>484</v>
      </c>
      <c r="G155" s="8">
        <f t="shared" si="9"/>
        <v>4.7619047619047616E-2</v>
      </c>
      <c r="H155" s="73" t="s">
        <v>950</v>
      </c>
    </row>
    <row r="156" spans="1:8">
      <c r="A156" s="108"/>
      <c r="B156" s="3" t="s">
        <v>173</v>
      </c>
      <c r="C156" s="29" t="s">
        <v>157</v>
      </c>
      <c r="D156" s="15"/>
      <c r="E156" s="16" t="s">
        <v>485</v>
      </c>
      <c r="G156" s="8">
        <f t="shared" si="9"/>
        <v>4.7619047619047616E-2</v>
      </c>
      <c r="H156" s="73" t="s">
        <v>950</v>
      </c>
    </row>
    <row r="157" spans="1:8">
      <c r="A157" s="108"/>
      <c r="B157" s="3" t="s">
        <v>174</v>
      </c>
      <c r="C157" s="29" t="s">
        <v>165</v>
      </c>
      <c r="D157" s="15"/>
      <c r="E157" s="16" t="s">
        <v>486</v>
      </c>
      <c r="G157" s="8">
        <f t="shared" si="9"/>
        <v>4.7619047619047616E-2</v>
      </c>
      <c r="H157" s="73" t="s">
        <v>950</v>
      </c>
    </row>
    <row r="158" spans="1:8">
      <c r="A158" s="108"/>
      <c r="B158" s="3" t="s">
        <v>175</v>
      </c>
      <c r="C158" s="29" t="s">
        <v>168</v>
      </c>
      <c r="D158" s="15"/>
      <c r="E158" s="16" t="s">
        <v>487</v>
      </c>
      <c r="G158" s="8">
        <f t="shared" si="9"/>
        <v>4.7619047619047616E-2</v>
      </c>
      <c r="H158" s="73" t="s">
        <v>950</v>
      </c>
    </row>
    <row r="159" spans="1:8">
      <c r="A159" s="26" t="s">
        <v>624</v>
      </c>
      <c r="C159" s="29" t="s">
        <v>488</v>
      </c>
      <c r="D159" s="15"/>
      <c r="E159" s="16" t="s">
        <v>489</v>
      </c>
      <c r="G159" s="8">
        <v>1</v>
      </c>
      <c r="H159" s="73" t="s">
        <v>950</v>
      </c>
    </row>
    <row r="160" spans="1:8">
      <c r="A160" s="26" t="s">
        <v>14</v>
      </c>
      <c r="B160" s="3" t="s">
        <v>176</v>
      </c>
      <c r="C160" s="29" t="s">
        <v>176</v>
      </c>
      <c r="D160" s="15"/>
      <c r="E160" s="16" t="s">
        <v>490</v>
      </c>
      <c r="G160" s="8">
        <v>1</v>
      </c>
      <c r="H160" s="73" t="s">
        <v>950</v>
      </c>
    </row>
    <row r="161" spans="1:8">
      <c r="A161" s="108" t="s">
        <v>623</v>
      </c>
      <c r="B161" s="3" t="s">
        <v>491</v>
      </c>
      <c r="C161" s="29" t="s">
        <v>491</v>
      </c>
      <c r="D161" s="15"/>
      <c r="E161" s="16" t="s">
        <v>492</v>
      </c>
    </row>
    <row r="162" spans="1:8">
      <c r="A162" s="108"/>
      <c r="B162" s="3" t="s">
        <v>493</v>
      </c>
      <c r="C162" s="29" t="s">
        <v>493</v>
      </c>
      <c r="D162" s="15" t="s">
        <v>732</v>
      </c>
      <c r="E162" s="16" t="s">
        <v>494</v>
      </c>
      <c r="F162" s="3">
        <v>130</v>
      </c>
      <c r="G162" s="8">
        <v>1</v>
      </c>
    </row>
    <row r="163" spans="1:8">
      <c r="A163" s="26" t="s">
        <v>15</v>
      </c>
      <c r="B163" s="3" t="s">
        <v>177</v>
      </c>
      <c r="C163" s="29" t="s">
        <v>177</v>
      </c>
      <c r="D163" s="15"/>
      <c r="E163" s="16" t="s">
        <v>15</v>
      </c>
      <c r="G163" s="8">
        <v>1</v>
      </c>
      <c r="H163" s="73" t="s">
        <v>950</v>
      </c>
    </row>
    <row r="164" spans="1:8">
      <c r="A164" s="108" t="s">
        <v>16</v>
      </c>
      <c r="B164" s="3" t="s">
        <v>178</v>
      </c>
      <c r="C164" s="29" t="s">
        <v>182</v>
      </c>
      <c r="D164" s="15"/>
      <c r="E164" s="16" t="s">
        <v>495</v>
      </c>
      <c r="G164" s="8">
        <f xml:space="preserve"> 1/ROWS(C164:C171)</f>
        <v>0.125</v>
      </c>
      <c r="H164" s="73" t="s">
        <v>950</v>
      </c>
    </row>
    <row r="165" spans="1:8">
      <c r="A165" s="108"/>
      <c r="B165" s="3" t="s">
        <v>179</v>
      </c>
      <c r="C165" s="29" t="s">
        <v>181</v>
      </c>
      <c r="D165" s="15"/>
      <c r="E165" s="16" t="s">
        <v>496</v>
      </c>
      <c r="G165" s="8">
        <f t="shared" ref="G165:G171" si="10" xml:space="preserve"> 1/ROWS(C165:C172)</f>
        <v>0.125</v>
      </c>
      <c r="H165" s="73" t="s">
        <v>950</v>
      </c>
    </row>
    <row r="166" spans="1:8">
      <c r="A166" s="108"/>
      <c r="B166" s="3" t="s">
        <v>180</v>
      </c>
      <c r="C166" s="29" t="s">
        <v>180</v>
      </c>
      <c r="D166" s="15"/>
      <c r="E166" s="16" t="s">
        <v>497</v>
      </c>
      <c r="G166" s="8">
        <f t="shared" si="10"/>
        <v>0.125</v>
      </c>
      <c r="H166" s="73" t="s">
        <v>950</v>
      </c>
    </row>
    <row r="167" spans="1:8">
      <c r="A167" s="108"/>
      <c r="B167" s="3" t="s">
        <v>181</v>
      </c>
      <c r="C167" s="29" t="s">
        <v>179</v>
      </c>
      <c r="D167" s="15"/>
      <c r="E167" s="16" t="s">
        <v>498</v>
      </c>
      <c r="G167" s="8">
        <f t="shared" si="10"/>
        <v>0.125</v>
      </c>
      <c r="H167" s="73" t="s">
        <v>950</v>
      </c>
    </row>
    <row r="168" spans="1:8">
      <c r="A168" s="108"/>
      <c r="B168" s="3" t="s">
        <v>182</v>
      </c>
      <c r="C168" s="29" t="s">
        <v>184</v>
      </c>
      <c r="D168" s="15"/>
      <c r="E168" s="16" t="s">
        <v>499</v>
      </c>
      <c r="G168" s="8">
        <f t="shared" si="10"/>
        <v>0.125</v>
      </c>
      <c r="H168" s="73" t="s">
        <v>950</v>
      </c>
    </row>
    <row r="169" spans="1:8">
      <c r="A169" s="108"/>
      <c r="B169" s="3" t="s">
        <v>183</v>
      </c>
      <c r="C169" s="29" t="s">
        <v>183</v>
      </c>
      <c r="D169" s="32"/>
      <c r="E169" s="16" t="s">
        <v>500</v>
      </c>
      <c r="G169" s="8">
        <f t="shared" si="10"/>
        <v>0.125</v>
      </c>
      <c r="H169" s="73" t="s">
        <v>950</v>
      </c>
    </row>
    <row r="170" spans="1:8">
      <c r="A170" s="108"/>
      <c r="B170" s="3" t="s">
        <v>184</v>
      </c>
      <c r="C170" s="29" t="s">
        <v>178</v>
      </c>
      <c r="D170" s="15"/>
      <c r="E170" s="16" t="s">
        <v>501</v>
      </c>
      <c r="G170" s="8">
        <f t="shared" si="10"/>
        <v>0.125</v>
      </c>
      <c r="H170" s="73" t="s">
        <v>950</v>
      </c>
    </row>
    <row r="171" spans="1:8">
      <c r="A171" s="108"/>
      <c r="B171" s="3" t="s">
        <v>185</v>
      </c>
      <c r="C171" s="29" t="s">
        <v>185</v>
      </c>
      <c r="D171" s="15"/>
      <c r="E171" s="16" t="s">
        <v>502</v>
      </c>
      <c r="G171" s="8">
        <f t="shared" si="10"/>
        <v>0.125</v>
      </c>
      <c r="H171" s="73" t="s">
        <v>950</v>
      </c>
    </row>
    <row r="172" spans="1:8">
      <c r="A172" s="26" t="s">
        <v>504</v>
      </c>
      <c r="C172" s="29" t="s">
        <v>503</v>
      </c>
      <c r="D172" s="15"/>
      <c r="E172" s="16" t="s">
        <v>504</v>
      </c>
      <c r="G172" s="8">
        <v>1</v>
      </c>
      <c r="H172" s="73" t="s">
        <v>950</v>
      </c>
    </row>
    <row r="173" spans="1:8">
      <c r="A173" s="108" t="s">
        <v>17</v>
      </c>
      <c r="B173" s="3" t="s">
        <v>186</v>
      </c>
      <c r="C173" s="29" t="s">
        <v>193</v>
      </c>
      <c r="D173" s="15" t="s">
        <v>728</v>
      </c>
      <c r="E173" s="16" t="s">
        <v>505</v>
      </c>
      <c r="F173" s="3">
        <v>1000</v>
      </c>
      <c r="G173" s="8">
        <v>1</v>
      </c>
    </row>
    <row r="174" spans="1:8">
      <c r="A174" s="108"/>
      <c r="B174" s="3" t="s">
        <v>187</v>
      </c>
      <c r="C174" s="29" t="s">
        <v>195</v>
      </c>
      <c r="D174" s="15"/>
      <c r="E174" s="16" t="s">
        <v>506</v>
      </c>
    </row>
    <row r="175" spans="1:8">
      <c r="A175" s="108"/>
      <c r="B175" s="3" t="s">
        <v>188</v>
      </c>
      <c r="C175" s="29" t="s">
        <v>197</v>
      </c>
      <c r="D175" s="15"/>
      <c r="E175" s="16" t="s">
        <v>507</v>
      </c>
    </row>
    <row r="176" spans="1:8">
      <c r="A176" s="108"/>
      <c r="B176" s="3" t="s">
        <v>189</v>
      </c>
      <c r="C176" s="29" t="s">
        <v>188</v>
      </c>
      <c r="D176" s="15"/>
      <c r="E176" s="16" t="s">
        <v>508</v>
      </c>
    </row>
    <row r="177" spans="1:8">
      <c r="A177" s="108"/>
      <c r="B177" s="3" t="s">
        <v>190</v>
      </c>
      <c r="C177" s="29" t="s">
        <v>194</v>
      </c>
      <c r="D177" s="15"/>
      <c r="E177" s="16" t="s">
        <v>509</v>
      </c>
    </row>
    <row r="178" spans="1:8">
      <c r="A178" s="108"/>
      <c r="B178" s="3" t="s">
        <v>191</v>
      </c>
      <c r="C178" s="29" t="s">
        <v>196</v>
      </c>
      <c r="D178" s="15"/>
      <c r="E178" s="16" t="s">
        <v>510</v>
      </c>
    </row>
    <row r="179" spans="1:8">
      <c r="A179" s="108"/>
      <c r="B179" s="3" t="s">
        <v>192</v>
      </c>
      <c r="C179" s="29" t="s">
        <v>190</v>
      </c>
      <c r="D179" s="15"/>
      <c r="E179" s="16" t="s">
        <v>511</v>
      </c>
    </row>
    <row r="180" spans="1:8">
      <c r="A180" s="108"/>
      <c r="B180" s="3" t="s">
        <v>193</v>
      </c>
      <c r="C180" s="29" t="s">
        <v>189</v>
      </c>
      <c r="D180" s="15"/>
      <c r="E180" s="16" t="s">
        <v>512</v>
      </c>
    </row>
    <row r="181" spans="1:8">
      <c r="A181" s="108"/>
      <c r="B181" s="3" t="s">
        <v>194</v>
      </c>
      <c r="C181" s="29" t="s">
        <v>186</v>
      </c>
      <c r="D181" s="15"/>
      <c r="E181" s="16" t="s">
        <v>513</v>
      </c>
    </row>
    <row r="182" spans="1:8">
      <c r="A182" s="108"/>
      <c r="B182" s="3" t="s">
        <v>195</v>
      </c>
      <c r="C182" s="29" t="s">
        <v>187</v>
      </c>
      <c r="D182" s="32"/>
      <c r="E182" s="16" t="s">
        <v>514</v>
      </c>
    </row>
    <row r="183" spans="1:8">
      <c r="A183" s="108"/>
      <c r="B183" s="3" t="s">
        <v>196</v>
      </c>
      <c r="C183" s="29" t="s">
        <v>191</v>
      </c>
      <c r="D183" s="32"/>
      <c r="E183" s="16" t="s">
        <v>515</v>
      </c>
    </row>
    <row r="184" spans="1:8">
      <c r="A184" s="108"/>
      <c r="B184" s="3" t="s">
        <v>197</v>
      </c>
      <c r="C184" s="29" t="s">
        <v>192</v>
      </c>
      <c r="D184" s="32"/>
      <c r="E184" s="16" t="s">
        <v>516</v>
      </c>
    </row>
    <row r="185" spans="1:8">
      <c r="A185" s="108" t="s">
        <v>18</v>
      </c>
      <c r="B185" s="3" t="s">
        <v>198</v>
      </c>
      <c r="C185" s="29" t="s">
        <v>206</v>
      </c>
      <c r="D185" s="15"/>
      <c r="E185" s="16" t="s">
        <v>517</v>
      </c>
      <c r="G185" s="8">
        <f xml:space="preserve"> 1/ROWS(C185:C193)</f>
        <v>0.1111111111111111</v>
      </c>
      <c r="H185" s="73" t="s">
        <v>950</v>
      </c>
    </row>
    <row r="186" spans="1:8">
      <c r="A186" s="108"/>
      <c r="B186" s="3" t="s">
        <v>199</v>
      </c>
      <c r="C186" s="29" t="s">
        <v>204</v>
      </c>
      <c r="D186" s="15"/>
      <c r="E186" s="16" t="s">
        <v>518</v>
      </c>
      <c r="G186" s="8">
        <f t="shared" ref="G186:G193" si="11" xml:space="preserve"> 1/ROWS(C186:C194)</f>
        <v>0.1111111111111111</v>
      </c>
      <c r="H186" s="73" t="s">
        <v>950</v>
      </c>
    </row>
    <row r="187" spans="1:8">
      <c r="A187" s="108"/>
      <c r="B187" s="3" t="s">
        <v>200</v>
      </c>
      <c r="C187" s="29" t="s">
        <v>203</v>
      </c>
      <c r="D187" s="15"/>
      <c r="E187" s="16" t="s">
        <v>519</v>
      </c>
      <c r="G187" s="8">
        <f t="shared" si="11"/>
        <v>0.1111111111111111</v>
      </c>
      <c r="H187" s="73" t="s">
        <v>950</v>
      </c>
    </row>
    <row r="188" spans="1:8">
      <c r="A188" s="108"/>
      <c r="B188" s="3" t="s">
        <v>201</v>
      </c>
      <c r="C188" s="29" t="s">
        <v>205</v>
      </c>
      <c r="D188" s="15"/>
      <c r="E188" s="16" t="s">
        <v>520</v>
      </c>
      <c r="G188" s="8">
        <f t="shared" si="11"/>
        <v>0.1111111111111111</v>
      </c>
      <c r="H188" s="73" t="s">
        <v>950</v>
      </c>
    </row>
    <row r="189" spans="1:8">
      <c r="A189" s="108"/>
      <c r="B189" s="3" t="s">
        <v>202</v>
      </c>
      <c r="C189" s="29" t="s">
        <v>200</v>
      </c>
      <c r="D189" s="15"/>
      <c r="E189" s="16" t="s">
        <v>521</v>
      </c>
      <c r="G189" s="8">
        <f t="shared" si="11"/>
        <v>0.1111111111111111</v>
      </c>
      <c r="H189" s="73" t="s">
        <v>950</v>
      </c>
    </row>
    <row r="190" spans="1:8">
      <c r="A190" s="108"/>
      <c r="B190" s="3" t="s">
        <v>203</v>
      </c>
      <c r="C190" s="29" t="s">
        <v>202</v>
      </c>
      <c r="D190" s="15"/>
      <c r="E190" s="16" t="s">
        <v>522</v>
      </c>
      <c r="G190" s="8">
        <f t="shared" si="11"/>
        <v>0.1111111111111111</v>
      </c>
      <c r="H190" s="73" t="s">
        <v>950</v>
      </c>
    </row>
    <row r="191" spans="1:8">
      <c r="A191" s="108"/>
      <c r="B191" s="3" t="s">
        <v>204</v>
      </c>
      <c r="C191" s="29" t="s">
        <v>201</v>
      </c>
      <c r="D191" s="15"/>
      <c r="E191" s="16" t="s">
        <v>523</v>
      </c>
      <c r="G191" s="8">
        <f t="shared" si="11"/>
        <v>0.1111111111111111</v>
      </c>
      <c r="H191" s="73" t="s">
        <v>950</v>
      </c>
    </row>
    <row r="192" spans="1:8">
      <c r="A192" s="108"/>
      <c r="B192" s="3" t="s">
        <v>205</v>
      </c>
      <c r="C192" s="29" t="s">
        <v>199</v>
      </c>
      <c r="D192" s="15"/>
      <c r="E192" s="16" t="s">
        <v>524</v>
      </c>
      <c r="G192" s="8">
        <f t="shared" si="11"/>
        <v>0.1111111111111111</v>
      </c>
      <c r="H192" s="73" t="s">
        <v>950</v>
      </c>
    </row>
    <row r="193" spans="1:8">
      <c r="A193" s="108"/>
      <c r="B193" s="3" t="s">
        <v>206</v>
      </c>
      <c r="C193" s="29" t="s">
        <v>198</v>
      </c>
      <c r="D193" s="15"/>
      <c r="E193" s="16" t="s">
        <v>525</v>
      </c>
      <c r="G193" s="8">
        <f t="shared" si="11"/>
        <v>0.1111111111111111</v>
      </c>
      <c r="H193" s="73" t="s">
        <v>950</v>
      </c>
    </row>
    <row r="194" spans="1:8">
      <c r="A194" s="108" t="s">
        <v>19</v>
      </c>
      <c r="B194" s="3" t="s">
        <v>207</v>
      </c>
      <c r="C194" s="29" t="s">
        <v>219</v>
      </c>
      <c r="D194" s="15"/>
      <c r="E194" s="16" t="s">
        <v>526</v>
      </c>
    </row>
    <row r="195" spans="1:8">
      <c r="A195" s="108"/>
      <c r="B195" s="3" t="s">
        <v>208</v>
      </c>
      <c r="C195" s="29" t="s">
        <v>210</v>
      </c>
      <c r="D195" s="15" t="s">
        <v>733</v>
      </c>
      <c r="E195" s="16" t="s">
        <v>527</v>
      </c>
      <c r="F195" s="3">
        <v>100</v>
      </c>
      <c r="G195" s="8">
        <v>1</v>
      </c>
    </row>
    <row r="196" spans="1:8">
      <c r="A196" s="108"/>
      <c r="B196" s="3" t="s">
        <v>209</v>
      </c>
      <c r="C196" s="29" t="s">
        <v>221</v>
      </c>
      <c r="D196" s="15"/>
      <c r="E196" s="16" t="s">
        <v>528</v>
      </c>
    </row>
    <row r="197" spans="1:8">
      <c r="A197" s="108"/>
      <c r="B197" s="3" t="s">
        <v>210</v>
      </c>
      <c r="C197" s="29" t="s">
        <v>207</v>
      </c>
      <c r="D197" s="15"/>
      <c r="E197" s="16" t="s">
        <v>529</v>
      </c>
    </row>
    <row r="198" spans="1:8">
      <c r="A198" s="108"/>
      <c r="B198" s="3" t="s">
        <v>211</v>
      </c>
      <c r="C198" s="29" t="s">
        <v>216</v>
      </c>
      <c r="D198" s="15"/>
      <c r="E198" s="16" t="s">
        <v>530</v>
      </c>
    </row>
    <row r="199" spans="1:8">
      <c r="A199" s="108"/>
      <c r="B199" s="3" t="s">
        <v>212</v>
      </c>
      <c r="C199" s="29" t="s">
        <v>218</v>
      </c>
      <c r="D199" s="15"/>
      <c r="E199" s="16" t="s">
        <v>531</v>
      </c>
    </row>
    <row r="200" spans="1:8">
      <c r="A200" s="108"/>
      <c r="B200" s="3" t="s">
        <v>213</v>
      </c>
      <c r="C200" s="29" t="s">
        <v>213</v>
      </c>
      <c r="D200" s="15"/>
      <c r="E200" s="16" t="s">
        <v>532</v>
      </c>
    </row>
    <row r="201" spans="1:8">
      <c r="A201" s="108"/>
      <c r="B201" s="3" t="s">
        <v>214</v>
      </c>
      <c r="C201" s="29" t="s">
        <v>220</v>
      </c>
      <c r="D201" s="15"/>
      <c r="E201" s="16" t="s">
        <v>533</v>
      </c>
    </row>
    <row r="202" spans="1:8">
      <c r="A202" s="108"/>
      <c r="B202" s="3" t="s">
        <v>215</v>
      </c>
      <c r="C202" s="29" t="s">
        <v>208</v>
      </c>
      <c r="D202" s="15"/>
      <c r="E202" s="16" t="s">
        <v>534</v>
      </c>
    </row>
    <row r="203" spans="1:8">
      <c r="A203" s="108"/>
      <c r="B203" s="3" t="s">
        <v>216</v>
      </c>
      <c r="C203" s="29" t="s">
        <v>211</v>
      </c>
      <c r="D203" s="15"/>
      <c r="E203" s="16" t="s">
        <v>535</v>
      </c>
    </row>
    <row r="204" spans="1:8">
      <c r="A204" s="108"/>
      <c r="B204" s="3" t="s">
        <v>217</v>
      </c>
      <c r="C204" s="29" t="s">
        <v>223</v>
      </c>
      <c r="D204" s="15"/>
      <c r="E204" s="16" t="s">
        <v>536</v>
      </c>
    </row>
    <row r="205" spans="1:8">
      <c r="A205" s="108"/>
      <c r="B205" s="3" t="s">
        <v>218</v>
      </c>
      <c r="C205" s="29" t="s">
        <v>222</v>
      </c>
      <c r="D205" s="15"/>
      <c r="E205" s="16" t="s">
        <v>537</v>
      </c>
    </row>
    <row r="206" spans="1:8">
      <c r="A206" s="108"/>
      <c r="B206" s="3" t="s">
        <v>219</v>
      </c>
      <c r="C206" s="29" t="s">
        <v>217</v>
      </c>
      <c r="D206" s="15"/>
      <c r="E206" s="16" t="s">
        <v>538</v>
      </c>
    </row>
    <row r="207" spans="1:8">
      <c r="A207" s="108"/>
      <c r="B207" s="3" t="s">
        <v>220</v>
      </c>
      <c r="C207" s="29" t="s">
        <v>209</v>
      </c>
      <c r="D207" s="15"/>
      <c r="E207" s="16" t="s">
        <v>539</v>
      </c>
    </row>
    <row r="208" spans="1:8">
      <c r="A208" s="108"/>
      <c r="B208" s="3" t="s">
        <v>221</v>
      </c>
      <c r="C208" s="29" t="s">
        <v>212</v>
      </c>
      <c r="D208" s="15"/>
      <c r="E208" s="16" t="s">
        <v>540</v>
      </c>
    </row>
    <row r="209" spans="1:8">
      <c r="A209" s="108"/>
      <c r="B209" s="3" t="s">
        <v>222</v>
      </c>
      <c r="C209" s="29" t="s">
        <v>214</v>
      </c>
      <c r="D209" s="15"/>
      <c r="E209" s="16" t="s">
        <v>541</v>
      </c>
    </row>
    <row r="210" spans="1:8">
      <c r="A210" s="108"/>
      <c r="B210" s="3" t="s">
        <v>223</v>
      </c>
      <c r="C210" s="29" t="s">
        <v>215</v>
      </c>
      <c r="D210" s="32"/>
      <c r="E210" s="16" t="s">
        <v>542</v>
      </c>
    </row>
    <row r="211" spans="1:8">
      <c r="A211" s="108" t="s">
        <v>20</v>
      </c>
      <c r="B211" s="3" t="s">
        <v>224</v>
      </c>
      <c r="C211" s="29" t="s">
        <v>226</v>
      </c>
      <c r="D211" s="15"/>
      <c r="E211" s="16" t="s">
        <v>543</v>
      </c>
      <c r="G211" s="8">
        <f xml:space="preserve"> 1/ROWS(C211:C217)</f>
        <v>0.14285714285714285</v>
      </c>
      <c r="H211" s="73" t="s">
        <v>950</v>
      </c>
    </row>
    <row r="212" spans="1:8">
      <c r="A212" s="108"/>
      <c r="B212" s="3" t="s">
        <v>225</v>
      </c>
      <c r="C212" s="29" t="s">
        <v>225</v>
      </c>
      <c r="D212" s="15"/>
      <c r="E212" s="16" t="s">
        <v>544</v>
      </c>
      <c r="G212" s="8">
        <f t="shared" ref="G212:G217" si="12" xml:space="preserve"> 1/ROWS(C212:C218)</f>
        <v>0.14285714285714285</v>
      </c>
      <c r="H212" s="73" t="s">
        <v>950</v>
      </c>
    </row>
    <row r="213" spans="1:8">
      <c r="A213" s="108"/>
      <c r="B213" s="3" t="s">
        <v>226</v>
      </c>
      <c r="C213" s="29" t="s">
        <v>228</v>
      </c>
      <c r="D213" s="15"/>
      <c r="E213" s="16" t="s">
        <v>545</v>
      </c>
      <c r="G213" s="8">
        <f t="shared" si="12"/>
        <v>0.14285714285714285</v>
      </c>
      <c r="H213" s="73" t="s">
        <v>950</v>
      </c>
    </row>
    <row r="214" spans="1:8">
      <c r="A214" s="108"/>
      <c r="B214" s="3" t="s">
        <v>227</v>
      </c>
      <c r="C214" s="29" t="s">
        <v>224</v>
      </c>
      <c r="D214" s="15"/>
      <c r="E214" s="16" t="s">
        <v>546</v>
      </c>
      <c r="G214" s="8">
        <f t="shared" si="12"/>
        <v>0.14285714285714285</v>
      </c>
      <c r="H214" s="73" t="s">
        <v>950</v>
      </c>
    </row>
    <row r="215" spans="1:8">
      <c r="A215" s="108"/>
      <c r="B215" s="3" t="s">
        <v>228</v>
      </c>
      <c r="C215" s="29" t="s">
        <v>227</v>
      </c>
      <c r="D215" s="32"/>
      <c r="E215" s="16" t="s">
        <v>547</v>
      </c>
      <c r="G215" s="8">
        <f t="shared" si="12"/>
        <v>0.14285714285714285</v>
      </c>
      <c r="H215" s="73" t="s">
        <v>950</v>
      </c>
    </row>
    <row r="216" spans="1:8">
      <c r="A216" s="108"/>
      <c r="C216" s="29" t="s">
        <v>548</v>
      </c>
      <c r="D216" s="15"/>
      <c r="E216" s="16" t="s">
        <v>549</v>
      </c>
      <c r="G216" s="8">
        <f t="shared" si="12"/>
        <v>0.14285714285714285</v>
      </c>
      <c r="H216" s="73" t="s">
        <v>950</v>
      </c>
    </row>
    <row r="217" spans="1:8">
      <c r="A217" s="108"/>
      <c r="C217" s="29" t="s">
        <v>550</v>
      </c>
      <c r="D217" s="15"/>
      <c r="E217" s="16" t="s">
        <v>551</v>
      </c>
      <c r="G217" s="8">
        <f t="shared" si="12"/>
        <v>0.14285714285714285</v>
      </c>
      <c r="H217" s="73" t="s">
        <v>950</v>
      </c>
    </row>
    <row r="218" spans="1:8">
      <c r="A218" s="108" t="s">
        <v>21</v>
      </c>
      <c r="B218" s="3" t="s">
        <v>229</v>
      </c>
      <c r="C218" s="29" t="s">
        <v>231</v>
      </c>
      <c r="D218" s="15"/>
      <c r="E218" s="16" t="s">
        <v>552</v>
      </c>
    </row>
    <row r="219" spans="1:8">
      <c r="A219" s="108"/>
      <c r="B219" s="3" t="s">
        <v>230</v>
      </c>
      <c r="C219" s="29" t="s">
        <v>236</v>
      </c>
      <c r="D219" s="15" t="s">
        <v>730</v>
      </c>
      <c r="E219" s="16" t="s">
        <v>553</v>
      </c>
      <c r="F219" s="3">
        <v>225</v>
      </c>
      <c r="G219" s="8">
        <v>1</v>
      </c>
    </row>
    <row r="220" spans="1:8">
      <c r="A220" s="108"/>
      <c r="B220" s="3" t="s">
        <v>231</v>
      </c>
      <c r="C220" s="29" t="s">
        <v>232</v>
      </c>
      <c r="D220" s="15"/>
      <c r="E220" s="16" t="s">
        <v>554</v>
      </c>
    </row>
    <row r="221" spans="1:8">
      <c r="A221" s="108"/>
      <c r="B221" s="3" t="s">
        <v>232</v>
      </c>
      <c r="C221" s="29" t="s">
        <v>230</v>
      </c>
      <c r="D221" s="15"/>
      <c r="E221" s="16" t="s">
        <v>555</v>
      </c>
    </row>
    <row r="222" spans="1:8">
      <c r="A222" s="108"/>
      <c r="B222" s="3" t="s">
        <v>233</v>
      </c>
      <c r="C222" s="29" t="s">
        <v>234</v>
      </c>
      <c r="D222" s="15"/>
      <c r="E222" s="16" t="s">
        <v>556</v>
      </c>
    </row>
    <row r="223" spans="1:8">
      <c r="A223" s="108"/>
      <c r="B223" s="3" t="s">
        <v>234</v>
      </c>
      <c r="C223" s="29" t="s">
        <v>233</v>
      </c>
      <c r="D223" s="15"/>
      <c r="E223" s="16" t="s">
        <v>557</v>
      </c>
    </row>
    <row r="224" spans="1:8">
      <c r="A224" s="108"/>
      <c r="B224" s="3" t="s">
        <v>235</v>
      </c>
      <c r="C224" s="29" t="s">
        <v>229</v>
      </c>
      <c r="D224" s="15"/>
      <c r="E224" s="16" t="s">
        <v>558</v>
      </c>
    </row>
    <row r="225" spans="1:8">
      <c r="A225" s="108"/>
      <c r="B225" s="3" t="s">
        <v>236</v>
      </c>
      <c r="C225" s="29" t="s">
        <v>235</v>
      </c>
      <c r="D225" s="15"/>
      <c r="E225" s="16" t="s">
        <v>559</v>
      </c>
    </row>
    <row r="226" spans="1:8">
      <c r="A226" s="108" t="s">
        <v>22</v>
      </c>
      <c r="B226" s="3" t="s">
        <v>237</v>
      </c>
      <c r="C226" s="29" t="s">
        <v>237</v>
      </c>
      <c r="D226" s="15"/>
      <c r="E226" s="16" t="s">
        <v>560</v>
      </c>
      <c r="G226" s="8">
        <f xml:space="preserve"> 1/ROWS(C226:C227)</f>
        <v>0.5</v>
      </c>
      <c r="H226" s="73" t="s">
        <v>950</v>
      </c>
    </row>
    <row r="227" spans="1:8">
      <c r="A227" s="108"/>
      <c r="B227" s="3" t="s">
        <v>238</v>
      </c>
      <c r="C227" s="29" t="s">
        <v>238</v>
      </c>
      <c r="D227" s="15"/>
      <c r="E227" s="16" t="s">
        <v>561</v>
      </c>
      <c r="G227" s="8">
        <f xml:space="preserve"> 1/ROWS(C227:C228)</f>
        <v>0.5</v>
      </c>
      <c r="H227" s="73" t="s">
        <v>950</v>
      </c>
    </row>
    <row r="228" spans="1:8">
      <c r="A228" s="108" t="s">
        <v>23</v>
      </c>
      <c r="B228" s="3" t="s">
        <v>239</v>
      </c>
      <c r="C228" s="29" t="s">
        <v>241</v>
      </c>
      <c r="D228" s="15"/>
      <c r="E228" s="16" t="s">
        <v>562</v>
      </c>
      <c r="G228" s="8">
        <f xml:space="preserve"> 1/ROWS(C228:C231)</f>
        <v>0.25</v>
      </c>
      <c r="H228" s="73" t="s">
        <v>950</v>
      </c>
    </row>
    <row r="229" spans="1:8">
      <c r="A229" s="108"/>
      <c r="B229" s="3" t="s">
        <v>240</v>
      </c>
      <c r="C229" s="29" t="s">
        <v>239</v>
      </c>
      <c r="D229" s="15"/>
      <c r="E229" s="16" t="s">
        <v>563</v>
      </c>
      <c r="G229" s="8">
        <f t="shared" ref="G229:G231" si="13" xml:space="preserve"> 1/ROWS(C229:C232)</f>
        <v>0.25</v>
      </c>
      <c r="H229" s="73" t="s">
        <v>950</v>
      </c>
    </row>
    <row r="230" spans="1:8">
      <c r="A230" s="108"/>
      <c r="B230" s="3" t="s">
        <v>241</v>
      </c>
      <c r="C230" s="29" t="s">
        <v>242</v>
      </c>
      <c r="D230" s="15"/>
      <c r="E230" s="16" t="s">
        <v>564</v>
      </c>
      <c r="G230" s="8">
        <f t="shared" si="13"/>
        <v>0.25</v>
      </c>
      <c r="H230" s="73" t="s">
        <v>950</v>
      </c>
    </row>
    <row r="231" spans="1:8">
      <c r="A231" s="108"/>
      <c r="B231" s="3" t="s">
        <v>242</v>
      </c>
      <c r="C231" s="29" t="s">
        <v>240</v>
      </c>
      <c r="D231" s="15"/>
      <c r="E231" s="16" t="s">
        <v>565</v>
      </c>
      <c r="G231" s="8">
        <f t="shared" si="13"/>
        <v>0.25</v>
      </c>
      <c r="H231" s="73" t="s">
        <v>950</v>
      </c>
    </row>
    <row r="232" spans="1:8">
      <c r="A232" s="108" t="s">
        <v>24</v>
      </c>
      <c r="B232" s="3" t="s">
        <v>243</v>
      </c>
      <c r="C232" s="29" t="s">
        <v>243</v>
      </c>
      <c r="D232" s="15"/>
      <c r="E232" s="16" t="s">
        <v>566</v>
      </c>
      <c r="G232" s="8">
        <f xml:space="preserve"> 1/ROWS(C232:C236)</f>
        <v>0.2</v>
      </c>
      <c r="H232" s="73" t="s">
        <v>950</v>
      </c>
    </row>
    <row r="233" spans="1:8">
      <c r="A233" s="108"/>
      <c r="B233" s="3" t="s">
        <v>244</v>
      </c>
      <c r="C233" s="29" t="s">
        <v>245</v>
      </c>
      <c r="D233" s="15"/>
      <c r="E233" s="16" t="s">
        <v>567</v>
      </c>
      <c r="G233" s="8">
        <f t="shared" ref="G233:G236" si="14" xml:space="preserve"> 1/ROWS(C233:C237)</f>
        <v>0.2</v>
      </c>
      <c r="H233" s="73" t="s">
        <v>950</v>
      </c>
    </row>
    <row r="234" spans="1:8">
      <c r="A234" s="108"/>
      <c r="B234" s="3" t="s">
        <v>245</v>
      </c>
      <c r="C234" s="29" t="s">
        <v>244</v>
      </c>
      <c r="D234" s="15"/>
      <c r="E234" s="16" t="s">
        <v>568</v>
      </c>
      <c r="G234" s="8">
        <f t="shared" si="14"/>
        <v>0.2</v>
      </c>
      <c r="H234" s="73" t="s">
        <v>950</v>
      </c>
    </row>
    <row r="235" spans="1:8">
      <c r="A235" s="108"/>
      <c r="B235" s="3" t="s">
        <v>246</v>
      </c>
      <c r="C235" s="29" t="s">
        <v>246</v>
      </c>
      <c r="D235" s="15"/>
      <c r="E235" s="16" t="s">
        <v>569</v>
      </c>
      <c r="G235" s="8">
        <f t="shared" si="14"/>
        <v>0.2</v>
      </c>
      <c r="H235" s="73" t="s">
        <v>950</v>
      </c>
    </row>
    <row r="236" spans="1:8">
      <c r="A236" s="108"/>
      <c r="C236" s="29" t="s">
        <v>570</v>
      </c>
      <c r="D236" s="15"/>
      <c r="E236" s="16" t="s">
        <v>571</v>
      </c>
      <c r="G236" s="8">
        <f t="shared" si="14"/>
        <v>0.2</v>
      </c>
      <c r="H236" s="73" t="s">
        <v>950</v>
      </c>
    </row>
    <row r="237" spans="1:8">
      <c r="A237" s="108" t="s">
        <v>25</v>
      </c>
      <c r="B237" s="3" t="s">
        <v>247</v>
      </c>
      <c r="C237" s="29" t="s">
        <v>247</v>
      </c>
      <c r="D237" s="15"/>
      <c r="E237" s="16" t="s">
        <v>572</v>
      </c>
      <c r="G237" s="8">
        <f xml:space="preserve"> 1/ROWS(C237:C244)</f>
        <v>0.125</v>
      </c>
      <c r="H237" s="73" t="s">
        <v>950</v>
      </c>
    </row>
    <row r="238" spans="1:8">
      <c r="A238" s="108"/>
      <c r="B238" s="3" t="s">
        <v>248</v>
      </c>
      <c r="C238" s="29" t="s">
        <v>248</v>
      </c>
      <c r="D238" s="15"/>
      <c r="E238" s="16" t="s">
        <v>573</v>
      </c>
      <c r="G238" s="8">
        <f t="shared" ref="G238:G244" si="15" xml:space="preserve"> 1/ROWS(C238:C245)</f>
        <v>0.125</v>
      </c>
      <c r="H238" s="73" t="s">
        <v>950</v>
      </c>
    </row>
    <row r="239" spans="1:8">
      <c r="A239" s="108"/>
      <c r="B239" s="3" t="s">
        <v>249</v>
      </c>
      <c r="C239" s="29" t="s">
        <v>252</v>
      </c>
      <c r="D239" s="15"/>
      <c r="E239" s="16" t="s">
        <v>574</v>
      </c>
      <c r="G239" s="8">
        <f t="shared" si="15"/>
        <v>0.125</v>
      </c>
      <c r="H239" s="73" t="s">
        <v>950</v>
      </c>
    </row>
    <row r="240" spans="1:8">
      <c r="A240" s="108"/>
      <c r="B240" s="3" t="s">
        <v>250</v>
      </c>
      <c r="C240" s="29" t="s">
        <v>254</v>
      </c>
      <c r="D240" s="15"/>
      <c r="E240" s="16" t="s">
        <v>575</v>
      </c>
      <c r="G240" s="8">
        <f t="shared" si="15"/>
        <v>0.125</v>
      </c>
      <c r="H240" s="73" t="s">
        <v>950</v>
      </c>
    </row>
    <row r="241" spans="1:8">
      <c r="A241" s="108"/>
      <c r="B241" s="3" t="s">
        <v>251</v>
      </c>
      <c r="C241" s="29" t="s">
        <v>251</v>
      </c>
      <c r="D241" s="32"/>
      <c r="E241" s="16" t="s">
        <v>576</v>
      </c>
      <c r="G241" s="8">
        <f t="shared" si="15"/>
        <v>0.125</v>
      </c>
      <c r="H241" s="73" t="s">
        <v>950</v>
      </c>
    </row>
    <row r="242" spans="1:8">
      <c r="A242" s="108"/>
      <c r="B242" s="3" t="s">
        <v>252</v>
      </c>
      <c r="C242" s="29" t="s">
        <v>253</v>
      </c>
      <c r="D242" s="15"/>
      <c r="E242" s="16" t="s">
        <v>577</v>
      </c>
      <c r="G242" s="8">
        <f t="shared" si="15"/>
        <v>0.125</v>
      </c>
      <c r="H242" s="73" t="s">
        <v>950</v>
      </c>
    </row>
    <row r="243" spans="1:8">
      <c r="A243" s="108"/>
      <c r="B243" s="3" t="s">
        <v>253</v>
      </c>
      <c r="C243" s="29" t="s">
        <v>250</v>
      </c>
      <c r="D243" s="15"/>
      <c r="E243" s="16" t="s">
        <v>578</v>
      </c>
      <c r="G243" s="8">
        <f t="shared" si="15"/>
        <v>0.125</v>
      </c>
      <c r="H243" s="73" t="s">
        <v>950</v>
      </c>
    </row>
    <row r="244" spans="1:8">
      <c r="A244" s="108"/>
      <c r="B244" s="3" t="s">
        <v>254</v>
      </c>
      <c r="C244" s="29" t="s">
        <v>249</v>
      </c>
      <c r="D244" s="15"/>
      <c r="E244" s="16" t="s">
        <v>579</v>
      </c>
      <c r="G244" s="8">
        <f t="shared" si="15"/>
        <v>0.125</v>
      </c>
      <c r="H244" s="73" t="s">
        <v>950</v>
      </c>
    </row>
    <row r="245" spans="1:8">
      <c r="A245" s="108" t="s">
        <v>26</v>
      </c>
      <c r="B245" s="3" t="s">
        <v>255</v>
      </c>
      <c r="C245" s="29" t="s">
        <v>294</v>
      </c>
      <c r="D245" s="32"/>
      <c r="E245" s="16" t="s">
        <v>580</v>
      </c>
      <c r="G245" s="8">
        <f xml:space="preserve"> 1/ROWS(C245:C285)</f>
        <v>2.4390243902439025E-2</v>
      </c>
      <c r="H245" s="73" t="s">
        <v>950</v>
      </c>
    </row>
    <row r="246" spans="1:8" ht="29.25">
      <c r="A246" s="108"/>
      <c r="B246" s="3" t="s">
        <v>256</v>
      </c>
      <c r="C246" s="29" t="s">
        <v>268</v>
      </c>
      <c r="D246" s="15"/>
      <c r="E246" s="16" t="s">
        <v>581</v>
      </c>
      <c r="G246" s="8">
        <f t="shared" ref="G246:G252" si="16" xml:space="preserve"> 1/ROWS(C246:C286)</f>
        <v>2.4390243902439025E-2</v>
      </c>
      <c r="H246" s="73" t="s">
        <v>950</v>
      </c>
    </row>
    <row r="247" spans="1:8">
      <c r="A247" s="108"/>
      <c r="B247" s="3" t="s">
        <v>257</v>
      </c>
      <c r="C247" s="29" t="s">
        <v>280</v>
      </c>
      <c r="D247" s="15"/>
      <c r="E247" s="16" t="s">
        <v>582</v>
      </c>
      <c r="G247" s="8">
        <f t="shared" si="16"/>
        <v>2.4390243902439025E-2</v>
      </c>
      <c r="H247" s="73" t="s">
        <v>950</v>
      </c>
    </row>
    <row r="248" spans="1:8">
      <c r="A248" s="108"/>
      <c r="B248" s="3" t="s">
        <v>258</v>
      </c>
      <c r="C248" s="29" t="s">
        <v>270</v>
      </c>
      <c r="D248" s="15"/>
      <c r="E248" s="16" t="s">
        <v>583</v>
      </c>
      <c r="G248" s="8">
        <f t="shared" si="16"/>
        <v>2.4390243902439025E-2</v>
      </c>
      <c r="H248" s="73" t="s">
        <v>950</v>
      </c>
    </row>
    <row r="249" spans="1:8">
      <c r="A249" s="108"/>
      <c r="B249" s="3" t="s">
        <v>259</v>
      </c>
      <c r="C249" s="29" t="s">
        <v>285</v>
      </c>
      <c r="D249" s="15"/>
      <c r="E249" s="16" t="s">
        <v>584</v>
      </c>
      <c r="G249" s="8">
        <f t="shared" si="16"/>
        <v>2.4390243902439025E-2</v>
      </c>
      <c r="H249" s="73" t="s">
        <v>950</v>
      </c>
    </row>
    <row r="250" spans="1:8">
      <c r="A250" s="108"/>
      <c r="B250" s="3" t="s">
        <v>260</v>
      </c>
      <c r="C250" s="29" t="s">
        <v>264</v>
      </c>
      <c r="D250" s="15"/>
      <c r="E250" s="16" t="s">
        <v>585</v>
      </c>
      <c r="G250" s="8">
        <f t="shared" si="16"/>
        <v>2.4390243902439025E-2</v>
      </c>
      <c r="H250" s="73" t="s">
        <v>950</v>
      </c>
    </row>
    <row r="251" spans="1:8">
      <c r="A251" s="108"/>
      <c r="B251" s="3" t="s">
        <v>261</v>
      </c>
      <c r="C251" s="29" t="s">
        <v>269</v>
      </c>
      <c r="D251" s="15"/>
      <c r="E251" s="16" t="s">
        <v>586</v>
      </c>
      <c r="G251" s="8">
        <f t="shared" si="16"/>
        <v>2.4390243902439025E-2</v>
      </c>
      <c r="H251" s="73" t="s">
        <v>950</v>
      </c>
    </row>
    <row r="252" spans="1:8" ht="29.25">
      <c r="A252" s="108"/>
      <c r="B252" s="3" t="s">
        <v>262</v>
      </c>
      <c r="C252" s="29" t="s">
        <v>277</v>
      </c>
      <c r="D252" s="15"/>
      <c r="E252" s="16" t="s">
        <v>587</v>
      </c>
      <c r="G252" s="8">
        <f t="shared" si="16"/>
        <v>2.4390243902439025E-2</v>
      </c>
      <c r="H252" s="73" t="s">
        <v>950</v>
      </c>
    </row>
    <row r="253" spans="1:8">
      <c r="A253" s="108"/>
      <c r="B253" s="3" t="s">
        <v>263</v>
      </c>
      <c r="C253" s="29" t="s">
        <v>295</v>
      </c>
      <c r="D253" s="15"/>
      <c r="E253" s="16" t="s">
        <v>588</v>
      </c>
      <c r="G253" s="8">
        <f t="shared" ref="G253:G285" si="17" xml:space="preserve"> 1/ROWS(C253:C297)</f>
        <v>2.2222222222222223E-2</v>
      </c>
      <c r="H253" s="73" t="s">
        <v>950</v>
      </c>
    </row>
    <row r="254" spans="1:8">
      <c r="A254" s="108"/>
      <c r="B254" s="3" t="s">
        <v>264</v>
      </c>
      <c r="C254" s="29" t="s">
        <v>266</v>
      </c>
      <c r="D254" s="15"/>
      <c r="E254" s="16" t="s">
        <v>589</v>
      </c>
      <c r="G254" s="8">
        <f t="shared" si="17"/>
        <v>2.2222222222222223E-2</v>
      </c>
      <c r="H254" s="73" t="s">
        <v>950</v>
      </c>
    </row>
    <row r="255" spans="1:8">
      <c r="A255" s="108"/>
      <c r="B255" s="3" t="s">
        <v>265</v>
      </c>
      <c r="C255" s="29" t="s">
        <v>263</v>
      </c>
      <c r="D255" s="15"/>
      <c r="E255" s="16" t="s">
        <v>590</v>
      </c>
      <c r="G255" s="8">
        <f t="shared" si="17"/>
        <v>2.2222222222222223E-2</v>
      </c>
      <c r="H255" s="73" t="s">
        <v>950</v>
      </c>
    </row>
    <row r="256" spans="1:8">
      <c r="A256" s="108"/>
      <c r="B256" s="3" t="s">
        <v>266</v>
      </c>
      <c r="C256" s="29" t="s">
        <v>279</v>
      </c>
      <c r="D256" s="15"/>
      <c r="E256" s="16" t="s">
        <v>591</v>
      </c>
      <c r="G256" s="8">
        <f t="shared" si="17"/>
        <v>2.2222222222222223E-2</v>
      </c>
      <c r="H256" s="73" t="s">
        <v>950</v>
      </c>
    </row>
    <row r="257" spans="1:8" ht="29.25">
      <c r="A257" s="108"/>
      <c r="B257" s="3" t="s">
        <v>267</v>
      </c>
      <c r="C257" s="29" t="s">
        <v>272</v>
      </c>
      <c r="D257" s="15"/>
      <c r="E257" s="16" t="s">
        <v>592</v>
      </c>
      <c r="G257" s="8">
        <f t="shared" si="17"/>
        <v>2.2222222222222223E-2</v>
      </c>
      <c r="H257" s="73" t="s">
        <v>950</v>
      </c>
    </row>
    <row r="258" spans="1:8">
      <c r="A258" s="108"/>
      <c r="B258" s="3" t="s">
        <v>268</v>
      </c>
      <c r="C258" s="29" t="s">
        <v>271</v>
      </c>
      <c r="D258" s="15"/>
      <c r="E258" s="16" t="s">
        <v>593</v>
      </c>
      <c r="G258" s="8">
        <f t="shared" si="17"/>
        <v>2.2222222222222223E-2</v>
      </c>
      <c r="H258" s="73" t="s">
        <v>950</v>
      </c>
    </row>
    <row r="259" spans="1:8" ht="29.25">
      <c r="A259" s="108"/>
      <c r="B259" s="3" t="s">
        <v>269</v>
      </c>
      <c r="C259" s="29" t="s">
        <v>275</v>
      </c>
      <c r="D259" s="15"/>
      <c r="E259" s="16" t="s">
        <v>594</v>
      </c>
      <c r="G259" s="8">
        <f t="shared" si="17"/>
        <v>2.2222222222222223E-2</v>
      </c>
      <c r="H259" s="73" t="s">
        <v>950</v>
      </c>
    </row>
    <row r="260" spans="1:8">
      <c r="A260" s="108"/>
      <c r="B260" s="3" t="s">
        <v>270</v>
      </c>
      <c r="C260" s="29" t="s">
        <v>267</v>
      </c>
      <c r="D260" s="15"/>
      <c r="E260" s="16" t="s">
        <v>595</v>
      </c>
      <c r="G260" s="8">
        <f t="shared" si="17"/>
        <v>2.2222222222222223E-2</v>
      </c>
      <c r="H260" s="73" t="s">
        <v>950</v>
      </c>
    </row>
    <row r="261" spans="1:8">
      <c r="A261" s="108"/>
      <c r="B261" s="3" t="s">
        <v>271</v>
      </c>
      <c r="C261" s="29" t="s">
        <v>274</v>
      </c>
      <c r="D261" s="15"/>
      <c r="E261" s="16" t="s">
        <v>596</v>
      </c>
      <c r="G261" s="8">
        <f t="shared" si="17"/>
        <v>2.2222222222222223E-2</v>
      </c>
      <c r="H261" s="73" t="s">
        <v>950</v>
      </c>
    </row>
    <row r="262" spans="1:8">
      <c r="A262" s="108"/>
      <c r="B262" s="3" t="s">
        <v>272</v>
      </c>
      <c r="C262" s="29" t="s">
        <v>282</v>
      </c>
      <c r="D262" s="15"/>
      <c r="E262" s="16" t="s">
        <v>597</v>
      </c>
      <c r="G262" s="8">
        <f t="shared" si="17"/>
        <v>2.2222222222222223E-2</v>
      </c>
      <c r="H262" s="73" t="s">
        <v>950</v>
      </c>
    </row>
    <row r="263" spans="1:8">
      <c r="A263" s="108"/>
      <c r="B263" s="3" t="s">
        <v>273</v>
      </c>
      <c r="C263" s="29" t="s">
        <v>287</v>
      </c>
      <c r="D263" s="15"/>
      <c r="E263" s="16" t="s">
        <v>598</v>
      </c>
      <c r="G263" s="8">
        <f t="shared" si="17"/>
        <v>2.2222222222222223E-2</v>
      </c>
      <c r="H263" s="73" t="s">
        <v>950</v>
      </c>
    </row>
    <row r="264" spans="1:8">
      <c r="A264" s="108"/>
      <c r="B264" s="3" t="s">
        <v>274</v>
      </c>
      <c r="C264" s="29" t="s">
        <v>265</v>
      </c>
      <c r="D264" s="15"/>
      <c r="E264" s="16" t="s">
        <v>599</v>
      </c>
      <c r="G264" s="8">
        <f t="shared" si="17"/>
        <v>2.2222222222222223E-2</v>
      </c>
      <c r="H264" s="73" t="s">
        <v>950</v>
      </c>
    </row>
    <row r="265" spans="1:8">
      <c r="A265" s="108"/>
      <c r="B265" s="3" t="s">
        <v>275</v>
      </c>
      <c r="C265" s="29" t="s">
        <v>293</v>
      </c>
      <c r="D265" s="15"/>
      <c r="E265" s="16" t="s">
        <v>600</v>
      </c>
      <c r="G265" s="8">
        <f t="shared" si="17"/>
        <v>2.2222222222222223E-2</v>
      </c>
      <c r="H265" s="73" t="s">
        <v>950</v>
      </c>
    </row>
    <row r="266" spans="1:8">
      <c r="A266" s="108"/>
      <c r="B266" s="3" t="s">
        <v>276</v>
      </c>
      <c r="C266" s="29" t="s">
        <v>292</v>
      </c>
      <c r="D266" s="15"/>
      <c r="E266" s="16" t="s">
        <v>601</v>
      </c>
      <c r="G266" s="8">
        <f t="shared" si="17"/>
        <v>2.2222222222222223E-2</v>
      </c>
      <c r="H266" s="73" t="s">
        <v>950</v>
      </c>
    </row>
    <row r="267" spans="1:8" ht="29.25">
      <c r="A267" s="108"/>
      <c r="B267" s="3" t="s">
        <v>277</v>
      </c>
      <c r="C267" s="29" t="s">
        <v>291</v>
      </c>
      <c r="D267" s="15"/>
      <c r="E267" s="16" t="s">
        <v>602</v>
      </c>
      <c r="G267" s="8">
        <f t="shared" si="17"/>
        <v>2.2222222222222223E-2</v>
      </c>
      <c r="H267" s="73" t="s">
        <v>950</v>
      </c>
    </row>
    <row r="268" spans="1:8">
      <c r="A268" s="108"/>
      <c r="B268" s="3" t="s">
        <v>278</v>
      </c>
      <c r="C268" s="29" t="s">
        <v>290</v>
      </c>
      <c r="D268" s="15"/>
      <c r="E268" s="16" t="s">
        <v>603</v>
      </c>
      <c r="G268" s="8">
        <f t="shared" si="17"/>
        <v>2.2222222222222223E-2</v>
      </c>
      <c r="H268" s="73" t="s">
        <v>950</v>
      </c>
    </row>
    <row r="269" spans="1:8" ht="29.25">
      <c r="A269" s="108"/>
      <c r="B269" s="3" t="s">
        <v>279</v>
      </c>
      <c r="C269" s="29" t="s">
        <v>289</v>
      </c>
      <c r="D269" s="15"/>
      <c r="E269" s="16" t="s">
        <v>604</v>
      </c>
      <c r="G269" s="8">
        <f t="shared" si="17"/>
        <v>2.2222222222222223E-2</v>
      </c>
      <c r="H269" s="73" t="s">
        <v>950</v>
      </c>
    </row>
    <row r="270" spans="1:8" ht="29.25">
      <c r="A270" s="108"/>
      <c r="B270" s="3" t="s">
        <v>280</v>
      </c>
      <c r="C270" s="29" t="s">
        <v>286</v>
      </c>
      <c r="D270" s="15"/>
      <c r="E270" s="16" t="s">
        <v>605</v>
      </c>
      <c r="G270" s="8">
        <f t="shared" si="17"/>
        <v>2.2222222222222223E-2</v>
      </c>
      <c r="H270" s="73" t="s">
        <v>950</v>
      </c>
    </row>
    <row r="271" spans="1:8">
      <c r="A271" s="108"/>
      <c r="B271" s="3" t="s">
        <v>281</v>
      </c>
      <c r="C271" s="29" t="s">
        <v>283</v>
      </c>
      <c r="D271" s="15"/>
      <c r="E271" s="16" t="s">
        <v>606</v>
      </c>
      <c r="G271" s="8">
        <f t="shared" si="17"/>
        <v>2.2222222222222223E-2</v>
      </c>
      <c r="H271" s="73" t="s">
        <v>950</v>
      </c>
    </row>
    <row r="272" spans="1:8">
      <c r="A272" s="108"/>
      <c r="B272" s="3" t="s">
        <v>282</v>
      </c>
      <c r="C272" s="29" t="s">
        <v>276</v>
      </c>
      <c r="D272" s="15"/>
      <c r="E272" s="16" t="s">
        <v>607</v>
      </c>
      <c r="G272" s="8">
        <f t="shared" si="17"/>
        <v>2.2222222222222223E-2</v>
      </c>
      <c r="H272" s="73" t="s">
        <v>950</v>
      </c>
    </row>
    <row r="273" spans="1:8">
      <c r="A273" s="108"/>
      <c r="B273" s="3" t="s">
        <v>283</v>
      </c>
      <c r="C273" s="29" t="s">
        <v>273</v>
      </c>
      <c r="D273" s="15"/>
      <c r="E273" s="16" t="s">
        <v>608</v>
      </c>
      <c r="G273" s="8">
        <f t="shared" si="17"/>
        <v>2.2222222222222223E-2</v>
      </c>
      <c r="H273" s="73" t="s">
        <v>950</v>
      </c>
    </row>
    <row r="274" spans="1:8" ht="29.25">
      <c r="A274" s="108"/>
      <c r="B274" s="3" t="s">
        <v>284</v>
      </c>
      <c r="C274" s="29" t="s">
        <v>288</v>
      </c>
      <c r="D274" s="15"/>
      <c r="E274" s="16" t="s">
        <v>609</v>
      </c>
      <c r="G274" s="8">
        <f t="shared" si="17"/>
        <v>2.2222222222222223E-2</v>
      </c>
      <c r="H274" s="73" t="s">
        <v>950</v>
      </c>
    </row>
    <row r="275" spans="1:8">
      <c r="A275" s="108"/>
      <c r="B275" s="3" t="s">
        <v>285</v>
      </c>
      <c r="C275" s="29" t="s">
        <v>284</v>
      </c>
      <c r="D275" s="15"/>
      <c r="E275" s="16" t="s">
        <v>610</v>
      </c>
      <c r="G275" s="8">
        <f t="shared" si="17"/>
        <v>2.2222222222222223E-2</v>
      </c>
      <c r="H275" s="73" t="s">
        <v>950</v>
      </c>
    </row>
    <row r="276" spans="1:8">
      <c r="A276" s="108"/>
      <c r="B276" s="3" t="s">
        <v>286</v>
      </c>
      <c r="C276" s="29" t="s">
        <v>281</v>
      </c>
      <c r="D276" s="15"/>
      <c r="E276" s="16" t="s">
        <v>611</v>
      </c>
      <c r="G276" s="8">
        <f t="shared" si="17"/>
        <v>2.2222222222222223E-2</v>
      </c>
      <c r="H276" s="73" t="s">
        <v>950</v>
      </c>
    </row>
    <row r="277" spans="1:8">
      <c r="A277" s="108"/>
      <c r="B277" s="3" t="s">
        <v>287</v>
      </c>
      <c r="C277" s="29" t="s">
        <v>278</v>
      </c>
      <c r="D277" s="15"/>
      <c r="E277" s="16" t="s">
        <v>612</v>
      </c>
      <c r="G277" s="8">
        <f t="shared" si="17"/>
        <v>2.2222222222222223E-2</v>
      </c>
      <c r="H277" s="73" t="s">
        <v>950</v>
      </c>
    </row>
    <row r="278" spans="1:8">
      <c r="A278" s="108"/>
      <c r="B278" s="3" t="s">
        <v>288</v>
      </c>
      <c r="C278" s="29" t="s">
        <v>255</v>
      </c>
      <c r="D278" s="15"/>
      <c r="E278" s="16" t="s">
        <v>613</v>
      </c>
      <c r="G278" s="8">
        <f t="shared" si="17"/>
        <v>2.2222222222222223E-2</v>
      </c>
      <c r="H278" s="73" t="s">
        <v>950</v>
      </c>
    </row>
    <row r="279" spans="1:8">
      <c r="A279" s="108"/>
      <c r="B279" s="3" t="s">
        <v>289</v>
      </c>
      <c r="C279" s="29" t="s">
        <v>256</v>
      </c>
      <c r="D279" s="15"/>
      <c r="E279" s="16" t="s">
        <v>614</v>
      </c>
      <c r="G279" s="8">
        <f t="shared" si="17"/>
        <v>2.2222222222222223E-2</v>
      </c>
      <c r="H279" s="73" t="s">
        <v>950</v>
      </c>
    </row>
    <row r="280" spans="1:8">
      <c r="A280" s="108"/>
      <c r="B280" s="3" t="s">
        <v>290</v>
      </c>
      <c r="C280" s="29" t="s">
        <v>261</v>
      </c>
      <c r="D280" s="15"/>
      <c r="E280" s="16" t="s">
        <v>615</v>
      </c>
      <c r="G280" s="8">
        <f t="shared" si="17"/>
        <v>2.2222222222222223E-2</v>
      </c>
      <c r="H280" s="73" t="s">
        <v>950</v>
      </c>
    </row>
    <row r="281" spans="1:8">
      <c r="A281" s="108"/>
      <c r="B281" s="3" t="s">
        <v>291</v>
      </c>
      <c r="C281" s="29" t="s">
        <v>259</v>
      </c>
      <c r="D281" s="15"/>
      <c r="E281" s="16" t="s">
        <v>616</v>
      </c>
      <c r="G281" s="8">
        <f t="shared" si="17"/>
        <v>2.2222222222222223E-2</v>
      </c>
      <c r="H281" s="73" t="s">
        <v>950</v>
      </c>
    </row>
    <row r="282" spans="1:8">
      <c r="A282" s="108"/>
      <c r="B282" s="3" t="s">
        <v>292</v>
      </c>
      <c r="C282" s="29" t="s">
        <v>260</v>
      </c>
      <c r="D282" s="31"/>
      <c r="E282" s="16" t="s">
        <v>617</v>
      </c>
      <c r="G282" s="8">
        <f t="shared" si="17"/>
        <v>2.2222222222222223E-2</v>
      </c>
      <c r="H282" s="73" t="s">
        <v>950</v>
      </c>
    </row>
    <row r="283" spans="1:8">
      <c r="A283" s="108"/>
      <c r="B283" s="3" t="s">
        <v>293</v>
      </c>
      <c r="C283" s="29" t="s">
        <v>258</v>
      </c>
      <c r="D283" s="15"/>
      <c r="E283" s="16" t="s">
        <v>618</v>
      </c>
      <c r="G283" s="8">
        <f t="shared" si="17"/>
        <v>2.2222222222222223E-2</v>
      </c>
      <c r="H283" s="73" t="s">
        <v>950</v>
      </c>
    </row>
    <row r="284" spans="1:8">
      <c r="A284" s="108"/>
      <c r="B284" s="3" t="s">
        <v>294</v>
      </c>
      <c r="C284" s="29" t="s">
        <v>257</v>
      </c>
      <c r="D284" s="15"/>
      <c r="E284" s="16" t="s">
        <v>619</v>
      </c>
      <c r="G284" s="8">
        <f t="shared" si="17"/>
        <v>2.2222222222222223E-2</v>
      </c>
      <c r="H284" s="73" t="s">
        <v>950</v>
      </c>
    </row>
    <row r="285" spans="1:8">
      <c r="A285" s="108"/>
      <c r="B285" s="3" t="s">
        <v>295</v>
      </c>
      <c r="C285" s="29" t="s">
        <v>262</v>
      </c>
      <c r="D285" s="15"/>
      <c r="E285" s="16" t="s">
        <v>620</v>
      </c>
      <c r="G285" s="8">
        <f t="shared" si="17"/>
        <v>2.2222222222222223E-2</v>
      </c>
      <c r="H285" s="73" t="s">
        <v>950</v>
      </c>
    </row>
    <row r="286" spans="1:8">
      <c r="A286" s="108" t="s">
        <v>27</v>
      </c>
      <c r="B286" s="3" t="s">
        <v>296</v>
      </c>
      <c r="C286" s="21" t="s">
        <v>298</v>
      </c>
      <c r="E286" s="19" t="s">
        <v>629</v>
      </c>
    </row>
    <row r="287" spans="1:8">
      <c r="A287" s="108"/>
      <c r="B287" s="3" t="s">
        <v>297</v>
      </c>
      <c r="C287" s="19" t="s">
        <v>297</v>
      </c>
      <c r="D287" s="3" t="s">
        <v>729</v>
      </c>
      <c r="E287" s="19" t="s">
        <v>630</v>
      </c>
      <c r="F287" s="3">
        <v>900</v>
      </c>
      <c r="G287" s="8">
        <v>1</v>
      </c>
    </row>
    <row r="288" spans="1:8">
      <c r="A288" s="108"/>
      <c r="B288" s="3" t="s">
        <v>298</v>
      </c>
      <c r="C288" s="19" t="s">
        <v>299</v>
      </c>
      <c r="E288" s="19" t="s">
        <v>631</v>
      </c>
    </row>
    <row r="289" spans="1:8">
      <c r="A289" s="108"/>
      <c r="B289" s="3" t="s">
        <v>299</v>
      </c>
      <c r="C289" s="29" t="s">
        <v>625</v>
      </c>
      <c r="E289" s="19" t="s">
        <v>632</v>
      </c>
    </row>
    <row r="290" spans="1:8">
      <c r="A290" s="108"/>
      <c r="B290" s="3" t="s">
        <v>300</v>
      </c>
      <c r="C290" s="21" t="s">
        <v>626</v>
      </c>
      <c r="E290" s="19" t="s">
        <v>633</v>
      </c>
    </row>
    <row r="291" spans="1:8">
      <c r="A291" s="108"/>
      <c r="B291" s="3" t="s">
        <v>301</v>
      </c>
      <c r="C291" s="21" t="s">
        <v>627</v>
      </c>
      <c r="E291" s="19" t="s">
        <v>634</v>
      </c>
    </row>
    <row r="292" spans="1:8">
      <c r="A292" s="108"/>
      <c r="B292" s="3" t="s">
        <v>302</v>
      </c>
      <c r="C292" s="21" t="s">
        <v>628</v>
      </c>
      <c r="E292" s="19" t="s">
        <v>635</v>
      </c>
    </row>
    <row r="293" spans="1:8">
      <c r="A293" s="108"/>
      <c r="C293" s="12" t="s">
        <v>302</v>
      </c>
      <c r="E293" s="19"/>
      <c r="G293" s="8">
        <f>G289*1.3/2.3</f>
        <v>0</v>
      </c>
    </row>
    <row r="294" spans="1:8">
      <c r="A294" s="108"/>
      <c r="C294" s="12" t="s">
        <v>301</v>
      </c>
      <c r="E294" s="19"/>
      <c r="G294" s="8">
        <f>G289*1/2.3</f>
        <v>0</v>
      </c>
    </row>
    <row r="295" spans="1:8">
      <c r="A295" s="108"/>
      <c r="C295" s="12" t="s">
        <v>300</v>
      </c>
      <c r="E295" s="19"/>
      <c r="G295" s="8">
        <f>G290</f>
        <v>0</v>
      </c>
    </row>
    <row r="296" spans="1:8">
      <c r="A296" s="108"/>
      <c r="C296" s="12" t="s">
        <v>296</v>
      </c>
      <c r="E296" s="19"/>
      <c r="G296" s="8">
        <f>G291</f>
        <v>0</v>
      </c>
    </row>
    <row r="297" spans="1:8">
      <c r="A297" s="108" t="s">
        <v>636</v>
      </c>
      <c r="B297" s="3" t="s">
        <v>303</v>
      </c>
      <c r="C297" s="21" t="s">
        <v>305</v>
      </c>
      <c r="D297" s="20"/>
      <c r="E297" s="21" t="s">
        <v>637</v>
      </c>
      <c r="G297" s="8">
        <f xml:space="preserve"> 1/ROWS(C297:C303)</f>
        <v>0.14285714285714285</v>
      </c>
      <c r="H297" s="73" t="s">
        <v>950</v>
      </c>
    </row>
    <row r="298" spans="1:8">
      <c r="A298" s="108"/>
      <c r="B298" s="3" t="s">
        <v>304</v>
      </c>
      <c r="C298" s="21" t="s">
        <v>307</v>
      </c>
      <c r="D298" s="20"/>
      <c r="E298" s="21" t="s">
        <v>638</v>
      </c>
      <c r="G298" s="8">
        <f t="shared" ref="G298:G303" si="18" xml:space="preserve"> 1/ROWS(C298:C304)</f>
        <v>0.14285714285714285</v>
      </c>
      <c r="H298" s="73" t="s">
        <v>950</v>
      </c>
    </row>
    <row r="299" spans="1:8">
      <c r="A299" s="108"/>
      <c r="B299" s="3" t="s">
        <v>305</v>
      </c>
      <c r="C299" s="21" t="s">
        <v>309</v>
      </c>
      <c r="D299" s="20"/>
      <c r="E299" s="21" t="s">
        <v>639</v>
      </c>
      <c r="G299" s="8">
        <f t="shared" si="18"/>
        <v>0.14285714285714285</v>
      </c>
      <c r="H299" s="73" t="s">
        <v>950</v>
      </c>
    </row>
    <row r="300" spans="1:8">
      <c r="A300" s="108"/>
      <c r="B300" s="3" t="s">
        <v>306</v>
      </c>
      <c r="C300" s="21" t="s">
        <v>303</v>
      </c>
      <c r="D300" s="20"/>
      <c r="E300" s="21" t="s">
        <v>640</v>
      </c>
      <c r="G300" s="8">
        <f t="shared" si="18"/>
        <v>0.14285714285714285</v>
      </c>
      <c r="H300" s="73" t="s">
        <v>950</v>
      </c>
    </row>
    <row r="301" spans="1:8">
      <c r="A301" s="108"/>
      <c r="B301" s="3" t="s">
        <v>307</v>
      </c>
      <c r="C301" s="21" t="s">
        <v>308</v>
      </c>
      <c r="D301" s="20"/>
      <c r="E301" s="21" t="s">
        <v>641</v>
      </c>
      <c r="G301" s="8">
        <f t="shared" si="18"/>
        <v>0.14285714285714285</v>
      </c>
      <c r="H301" s="73" t="s">
        <v>950</v>
      </c>
    </row>
    <row r="302" spans="1:8">
      <c r="A302" s="108"/>
      <c r="B302" s="3" t="s">
        <v>308</v>
      </c>
      <c r="C302" s="21" t="s">
        <v>304</v>
      </c>
      <c r="D302" s="20"/>
      <c r="E302" s="21" t="s">
        <v>642</v>
      </c>
      <c r="G302" s="8">
        <f t="shared" si="18"/>
        <v>0.14285714285714285</v>
      </c>
      <c r="H302" s="73" t="s">
        <v>950</v>
      </c>
    </row>
    <row r="303" spans="1:8">
      <c r="A303" s="108"/>
      <c r="B303" s="3" t="s">
        <v>309</v>
      </c>
      <c r="C303" s="21" t="s">
        <v>306</v>
      </c>
      <c r="D303" s="20"/>
      <c r="E303" s="21" t="s">
        <v>643</v>
      </c>
      <c r="G303" s="8">
        <f t="shared" si="18"/>
        <v>0.14285714285714285</v>
      </c>
      <c r="H303" s="73" t="s">
        <v>950</v>
      </c>
    </row>
    <row r="304" spans="1:8">
      <c r="A304" s="26" t="s">
        <v>28</v>
      </c>
      <c r="B304" s="3" t="s">
        <v>310</v>
      </c>
      <c r="C304" s="33" t="s">
        <v>310</v>
      </c>
      <c r="D304" s="34"/>
      <c r="E304" s="33" t="s">
        <v>644</v>
      </c>
      <c r="G304" s="8">
        <v>1</v>
      </c>
      <c r="H304" s="73" t="s">
        <v>950</v>
      </c>
    </row>
    <row r="305" spans="1:8">
      <c r="A305" s="24" t="s">
        <v>29</v>
      </c>
      <c r="B305" s="3" t="s">
        <v>311</v>
      </c>
      <c r="C305" s="19" t="s">
        <v>311</v>
      </c>
      <c r="D305" s="16"/>
      <c r="E305" s="16" t="s">
        <v>645</v>
      </c>
      <c r="G305" s="8">
        <v>1</v>
      </c>
      <c r="H305" s="73" t="s">
        <v>950</v>
      </c>
    </row>
    <row r="306" spans="1:8">
      <c r="A306" s="108" t="s">
        <v>30</v>
      </c>
      <c r="B306" s="3" t="s">
        <v>35</v>
      </c>
      <c r="C306" s="19" t="s">
        <v>33</v>
      </c>
      <c r="D306" s="16"/>
      <c r="E306" s="19" t="s">
        <v>646</v>
      </c>
      <c r="G306" s="8">
        <f xml:space="preserve"> 1/ROWS(C306:C308)</f>
        <v>0.33333333333333331</v>
      </c>
      <c r="H306" s="73" t="s">
        <v>950</v>
      </c>
    </row>
    <row r="307" spans="1:8">
      <c r="A307" s="108"/>
      <c r="B307" s="3" t="s">
        <v>34</v>
      </c>
      <c r="C307" s="19" t="s">
        <v>34</v>
      </c>
      <c r="D307" s="16"/>
      <c r="E307" s="19" t="s">
        <v>647</v>
      </c>
      <c r="G307" s="8">
        <f t="shared" ref="G307:G308" si="19" xml:space="preserve"> 1/ROWS(C307:C309)</f>
        <v>0.33333333333333331</v>
      </c>
      <c r="H307" s="73" t="s">
        <v>950</v>
      </c>
    </row>
    <row r="308" spans="1:8">
      <c r="A308" s="108"/>
      <c r="B308" s="3" t="s">
        <v>33</v>
      </c>
      <c r="C308" s="19" t="s">
        <v>35</v>
      </c>
      <c r="D308" s="16"/>
      <c r="E308" s="19" t="s">
        <v>648</v>
      </c>
      <c r="G308" s="8">
        <f t="shared" si="19"/>
        <v>0.33333333333333331</v>
      </c>
      <c r="H308" s="73" t="s">
        <v>950</v>
      </c>
    </row>
    <row r="309" spans="1:8">
      <c r="A309" s="108" t="s">
        <v>31</v>
      </c>
      <c r="B309" s="3" t="s">
        <v>312</v>
      </c>
      <c r="C309" s="19" t="s">
        <v>315</v>
      </c>
      <c r="D309" s="16"/>
      <c r="E309" s="19" t="s">
        <v>649</v>
      </c>
    </row>
    <row r="310" spans="1:8">
      <c r="A310" s="108"/>
      <c r="B310" s="3" t="s">
        <v>313</v>
      </c>
      <c r="C310" s="19" t="s">
        <v>314</v>
      </c>
      <c r="D310" s="16" t="s">
        <v>731</v>
      </c>
      <c r="E310" s="19" t="s">
        <v>650</v>
      </c>
      <c r="F310" s="3">
        <v>200</v>
      </c>
      <c r="G310" s="8">
        <v>1</v>
      </c>
    </row>
    <row r="311" spans="1:8" ht="29.25">
      <c r="A311" s="108"/>
      <c r="B311" s="3" t="s">
        <v>314</v>
      </c>
      <c r="C311" s="19" t="s">
        <v>313</v>
      </c>
      <c r="D311" s="16"/>
      <c r="E311" s="16" t="s">
        <v>651</v>
      </c>
    </row>
    <row r="312" spans="1:8">
      <c r="A312" s="108"/>
      <c r="B312" s="3" t="s">
        <v>315</v>
      </c>
      <c r="C312" s="19" t="s">
        <v>312</v>
      </c>
      <c r="D312" s="16"/>
      <c r="E312" s="16" t="s">
        <v>652</v>
      </c>
    </row>
    <row r="313" spans="1:8">
      <c r="A313" s="26" t="s">
        <v>32</v>
      </c>
      <c r="B313" s="3" t="s">
        <v>5018</v>
      </c>
      <c r="C313" s="19" t="s">
        <v>5018</v>
      </c>
      <c r="G313" s="8">
        <v>1</v>
      </c>
      <c r="H313" s="73" t="s">
        <v>950</v>
      </c>
    </row>
    <row r="314" spans="1:8">
      <c r="A314" s="26" t="s">
        <v>654</v>
      </c>
      <c r="B314" s="3" t="s">
        <v>656</v>
      </c>
      <c r="C314" s="19" t="s">
        <v>656</v>
      </c>
      <c r="E314" s="3" t="s">
        <v>654</v>
      </c>
      <c r="G314" s="8">
        <v>1</v>
      </c>
      <c r="H314" s="73" t="s">
        <v>950</v>
      </c>
    </row>
    <row r="315" spans="1:8">
      <c r="A315" s="26" t="s">
        <v>2150</v>
      </c>
      <c r="C315" s="19" t="s">
        <v>655</v>
      </c>
      <c r="E315" s="3" t="s">
        <v>653</v>
      </c>
      <c r="G315" s="8">
        <v>1</v>
      </c>
      <c r="H315" s="73" t="s">
        <v>950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5"/>
  <sheetViews>
    <sheetView topLeftCell="A279" zoomScale="85" zoomScaleNormal="85" workbookViewId="0">
      <selection activeCell="I311" sqref="I311"/>
    </sheetView>
  </sheetViews>
  <sheetFormatPr baseColWidth="10" defaultColWidth="10.875" defaultRowHeight="15"/>
  <cols>
    <col min="1" max="1" width="19.125" style="3" bestFit="1" customWidth="1"/>
    <col min="2" max="2" width="13.5" style="3" hidden="1" customWidth="1"/>
    <col min="3" max="3" width="6.125" style="3" bestFit="1" customWidth="1"/>
    <col min="4" max="4" width="16.875" style="3" bestFit="1" customWidth="1"/>
    <col min="5" max="5" width="29.5" style="3" bestFit="1" customWidth="1"/>
    <col min="6" max="6" width="22.875" style="3" bestFit="1" customWidth="1"/>
    <col min="7" max="7" width="9.875" style="8" bestFit="1" customWidth="1"/>
    <col min="8" max="8" width="24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4">
      <c r="A1" s="22" t="s">
        <v>0</v>
      </c>
      <c r="B1" s="22" t="s">
        <v>657</v>
      </c>
      <c r="C1" s="22" t="s">
        <v>1</v>
      </c>
      <c r="D1" s="22" t="s">
        <v>2</v>
      </c>
      <c r="E1" s="22" t="s">
        <v>658</v>
      </c>
      <c r="F1" s="22" t="s">
        <v>695</v>
      </c>
      <c r="G1" s="23" t="s">
        <v>691</v>
      </c>
      <c r="H1" s="2"/>
      <c r="I1" s="2"/>
      <c r="J1" s="2"/>
    </row>
    <row r="2" spans="1:14" ht="30">
      <c r="A2" s="108" t="s">
        <v>3</v>
      </c>
      <c r="B2" s="3" t="s">
        <v>37</v>
      </c>
      <c r="C2" s="5" t="s">
        <v>36</v>
      </c>
      <c r="D2" s="6"/>
      <c r="E2" s="7" t="s">
        <v>621</v>
      </c>
      <c r="N2" s="4"/>
    </row>
    <row r="3" spans="1:14">
      <c r="A3" s="108"/>
      <c r="B3" s="3" t="s">
        <v>38</v>
      </c>
      <c r="C3" s="5" t="s">
        <v>46</v>
      </c>
      <c r="D3" s="6" t="s">
        <v>659</v>
      </c>
      <c r="E3" s="7" t="s">
        <v>316</v>
      </c>
      <c r="F3" s="3">
        <f>(1080+610+550)/2</f>
        <v>1120</v>
      </c>
      <c r="G3" s="8">
        <f>F3/(F3+F5)</f>
        <v>0.82352941176470584</v>
      </c>
      <c r="K3" s="4"/>
      <c r="L3" s="9"/>
      <c r="N3" s="4"/>
    </row>
    <row r="4" spans="1:14">
      <c r="A4" s="108"/>
      <c r="B4" s="3" t="s">
        <v>39</v>
      </c>
      <c r="C4" s="5" t="s">
        <v>40</v>
      </c>
      <c r="D4" s="6"/>
      <c r="E4" s="7" t="s">
        <v>317</v>
      </c>
      <c r="N4" s="4"/>
    </row>
    <row r="5" spans="1:14">
      <c r="A5" s="108"/>
      <c r="B5" s="3" t="s">
        <v>40</v>
      </c>
      <c r="C5" s="5" t="s">
        <v>44</v>
      </c>
      <c r="D5" s="6" t="s">
        <v>660</v>
      </c>
      <c r="E5" s="7" t="s">
        <v>318</v>
      </c>
      <c r="F5" s="3">
        <f>480/2</f>
        <v>240</v>
      </c>
      <c r="G5" s="8">
        <f>F5/(F3+F5)</f>
        <v>0.17647058823529413</v>
      </c>
      <c r="N5" s="4"/>
    </row>
    <row r="6" spans="1:14">
      <c r="A6" s="108"/>
      <c r="B6" s="3" t="s">
        <v>41</v>
      </c>
      <c r="C6" s="5" t="s">
        <v>45</v>
      </c>
      <c r="D6" s="6"/>
      <c r="E6" s="7" t="s">
        <v>319</v>
      </c>
      <c r="N6" s="4"/>
    </row>
    <row r="7" spans="1:14">
      <c r="A7" s="108"/>
      <c r="B7" s="3" t="s">
        <v>42</v>
      </c>
      <c r="C7" s="5" t="s">
        <v>37</v>
      </c>
      <c r="D7" s="6"/>
      <c r="E7" s="7" t="s">
        <v>320</v>
      </c>
      <c r="N7" s="4"/>
    </row>
    <row r="8" spans="1:14">
      <c r="A8" s="108"/>
      <c r="B8" s="3" t="s">
        <v>43</v>
      </c>
      <c r="C8" s="5" t="s">
        <v>43</v>
      </c>
      <c r="D8" s="6"/>
      <c r="E8" s="7" t="s">
        <v>321</v>
      </c>
      <c r="N8" s="4"/>
    </row>
    <row r="9" spans="1:14">
      <c r="A9" s="108"/>
      <c r="B9" s="3" t="s">
        <v>44</v>
      </c>
      <c r="C9" s="5" t="s">
        <v>42</v>
      </c>
      <c r="D9" s="6"/>
      <c r="E9" s="7" t="s">
        <v>322</v>
      </c>
      <c r="N9" s="4"/>
    </row>
    <row r="10" spans="1:14">
      <c r="A10" s="108"/>
      <c r="B10" s="3" t="s">
        <v>45</v>
      </c>
      <c r="C10" s="5" t="s">
        <v>41</v>
      </c>
      <c r="D10" s="6"/>
      <c r="E10" s="7" t="s">
        <v>323</v>
      </c>
      <c r="N10" s="4"/>
    </row>
    <row r="11" spans="1:14">
      <c r="A11" s="108"/>
      <c r="B11" s="3" t="s">
        <v>36</v>
      </c>
      <c r="C11" s="5" t="s">
        <v>39</v>
      </c>
      <c r="D11" s="6"/>
      <c r="E11" s="7" t="s">
        <v>324</v>
      </c>
      <c r="N11" s="4"/>
    </row>
    <row r="12" spans="1:14">
      <c r="A12" s="108"/>
      <c r="B12" s="3" t="s">
        <v>46</v>
      </c>
      <c r="C12" s="5" t="s">
        <v>38</v>
      </c>
      <c r="D12" s="6"/>
      <c r="E12" s="7" t="s">
        <v>325</v>
      </c>
      <c r="N12" s="4"/>
    </row>
    <row r="13" spans="1:14">
      <c r="A13" s="108" t="s">
        <v>4</v>
      </c>
      <c r="B13" s="3" t="s">
        <v>47</v>
      </c>
      <c r="C13" s="5" t="s">
        <v>47</v>
      </c>
      <c r="D13" s="6"/>
      <c r="E13" s="7" t="s">
        <v>326</v>
      </c>
      <c r="G13" s="8">
        <f>1/ROWS(C13:C18)</f>
        <v>0.16666666666666666</v>
      </c>
      <c r="H13" s="73" t="s">
        <v>950</v>
      </c>
      <c r="N13" s="4"/>
    </row>
    <row r="14" spans="1:14">
      <c r="A14" s="108"/>
      <c r="B14" s="3" t="s">
        <v>48</v>
      </c>
      <c r="C14" s="5" t="s">
        <v>49</v>
      </c>
      <c r="D14" s="6"/>
      <c r="E14" s="7" t="s">
        <v>327</v>
      </c>
      <c r="G14" s="8">
        <f t="shared" ref="G14:G18" si="0">1/ROWS(C14:C19)</f>
        <v>0.16666666666666666</v>
      </c>
      <c r="H14" s="73" t="s">
        <v>950</v>
      </c>
      <c r="N14" s="4"/>
    </row>
    <row r="15" spans="1:14">
      <c r="A15" s="108"/>
      <c r="B15" s="3" t="s">
        <v>49</v>
      </c>
      <c r="C15" s="5" t="s">
        <v>50</v>
      </c>
      <c r="D15" s="6"/>
      <c r="E15" s="7" t="s">
        <v>328</v>
      </c>
      <c r="G15" s="8">
        <f t="shared" si="0"/>
        <v>0.16666666666666666</v>
      </c>
      <c r="H15" s="73" t="s">
        <v>950</v>
      </c>
      <c r="N15" s="4"/>
    </row>
    <row r="16" spans="1:14">
      <c r="A16" s="108"/>
      <c r="B16" s="3" t="s">
        <v>50</v>
      </c>
      <c r="C16" s="5" t="s">
        <v>51</v>
      </c>
      <c r="D16" s="6"/>
      <c r="E16" s="7" t="s">
        <v>329</v>
      </c>
      <c r="G16" s="8">
        <f t="shared" si="0"/>
        <v>0.16666666666666666</v>
      </c>
      <c r="H16" s="73" t="s">
        <v>950</v>
      </c>
      <c r="N16" s="4"/>
    </row>
    <row r="17" spans="1:14">
      <c r="A17" s="108"/>
      <c r="B17" s="3" t="s">
        <v>51</v>
      </c>
      <c r="C17" s="5" t="s">
        <v>52</v>
      </c>
      <c r="D17" s="6"/>
      <c r="E17" s="7" t="s">
        <v>330</v>
      </c>
      <c r="G17" s="8">
        <f t="shared" si="0"/>
        <v>0.16666666666666666</v>
      </c>
      <c r="H17" s="73" t="s">
        <v>950</v>
      </c>
      <c r="N17" s="4"/>
    </row>
    <row r="18" spans="1:14">
      <c r="A18" s="108"/>
      <c r="B18" s="3" t="s">
        <v>52</v>
      </c>
      <c r="C18" s="5" t="s">
        <v>48</v>
      </c>
      <c r="D18" s="6"/>
      <c r="E18" s="7" t="s">
        <v>331</v>
      </c>
      <c r="G18" s="8">
        <f t="shared" si="0"/>
        <v>0.16666666666666666</v>
      </c>
      <c r="H18" s="73" t="s">
        <v>950</v>
      </c>
      <c r="N18" s="4"/>
    </row>
    <row r="19" spans="1:14">
      <c r="A19" s="108" t="s">
        <v>5</v>
      </c>
      <c r="B19" s="3" t="s">
        <v>53</v>
      </c>
      <c r="C19" s="5" t="s">
        <v>54</v>
      </c>
      <c r="D19" s="6"/>
      <c r="E19" s="7" t="s">
        <v>332</v>
      </c>
      <c r="N19" s="4"/>
    </row>
    <row r="20" spans="1:14">
      <c r="A20" s="108"/>
      <c r="B20" s="3" t="s">
        <v>54</v>
      </c>
      <c r="C20" s="5" t="s">
        <v>53</v>
      </c>
      <c r="D20" s="6"/>
      <c r="E20" s="7" t="s">
        <v>333</v>
      </c>
      <c r="N20" s="4"/>
    </row>
    <row r="21" spans="1:14">
      <c r="A21" s="108"/>
      <c r="B21" s="3" t="s">
        <v>55</v>
      </c>
      <c r="C21" s="5" t="s">
        <v>60</v>
      </c>
      <c r="D21" s="6"/>
      <c r="E21" s="7" t="s">
        <v>334</v>
      </c>
      <c r="N21" s="4"/>
    </row>
    <row r="22" spans="1:14">
      <c r="A22" s="108"/>
      <c r="B22" s="3" t="s">
        <v>56</v>
      </c>
      <c r="C22" s="5" t="s">
        <v>58</v>
      </c>
      <c r="D22" s="3" t="s">
        <v>661</v>
      </c>
      <c r="E22" s="7" t="s">
        <v>335</v>
      </c>
      <c r="F22" s="3">
        <f>544/2</f>
        <v>272</v>
      </c>
      <c r="G22" s="8">
        <v>1</v>
      </c>
      <c r="N22" s="4"/>
    </row>
    <row r="23" spans="1:14">
      <c r="A23" s="108"/>
      <c r="B23" s="3" t="s">
        <v>57</v>
      </c>
      <c r="C23" s="5" t="s">
        <v>57</v>
      </c>
      <c r="D23" s="6"/>
      <c r="E23" s="7" t="s">
        <v>336</v>
      </c>
      <c r="N23" s="4"/>
    </row>
    <row r="24" spans="1:14">
      <c r="A24" s="108"/>
      <c r="B24" s="3" t="s">
        <v>58</v>
      </c>
      <c r="C24" s="5" t="s">
        <v>59</v>
      </c>
      <c r="D24" s="6"/>
      <c r="E24" s="7" t="s">
        <v>337</v>
      </c>
      <c r="N24" s="4"/>
    </row>
    <row r="25" spans="1:14">
      <c r="A25" s="108"/>
      <c r="B25" s="3" t="s">
        <v>59</v>
      </c>
      <c r="C25" s="5" t="s">
        <v>55</v>
      </c>
      <c r="D25" s="6"/>
      <c r="E25" s="7" t="s">
        <v>338</v>
      </c>
      <c r="N25" s="4"/>
    </row>
    <row r="26" spans="1:14">
      <c r="A26" s="108"/>
      <c r="B26" s="3" t="s">
        <v>60</v>
      </c>
      <c r="C26" s="5" t="s">
        <v>56</v>
      </c>
      <c r="D26" s="6"/>
      <c r="E26" s="7" t="s">
        <v>339</v>
      </c>
      <c r="N26" s="4"/>
    </row>
    <row r="27" spans="1:14">
      <c r="A27" s="108" t="s">
        <v>6</v>
      </c>
      <c r="B27" s="3" t="s">
        <v>61</v>
      </c>
      <c r="C27" s="5" t="s">
        <v>64</v>
      </c>
      <c r="D27" s="6"/>
      <c r="E27" s="7" t="s">
        <v>340</v>
      </c>
      <c r="G27" s="8">
        <f>1/ROWS(C27:C31)</f>
        <v>0.2</v>
      </c>
      <c r="H27" s="73" t="s">
        <v>950</v>
      </c>
      <c r="N27" s="4"/>
    </row>
    <row r="28" spans="1:14">
      <c r="A28" s="108"/>
      <c r="B28" s="3" t="s">
        <v>62</v>
      </c>
      <c r="C28" s="5" t="s">
        <v>61</v>
      </c>
      <c r="D28" s="6"/>
      <c r="E28" s="7" t="s">
        <v>341</v>
      </c>
      <c r="G28" s="8">
        <f t="shared" ref="G28:G31" si="1">1/ROWS(C28:C32)</f>
        <v>0.2</v>
      </c>
      <c r="H28" s="73" t="s">
        <v>950</v>
      </c>
      <c r="N28" s="4"/>
    </row>
    <row r="29" spans="1:14">
      <c r="A29" s="108"/>
      <c r="B29" s="3" t="s">
        <v>63</v>
      </c>
      <c r="C29" s="5" t="s">
        <v>63</v>
      </c>
      <c r="D29" s="6"/>
      <c r="E29" s="7" t="s">
        <v>342</v>
      </c>
      <c r="G29" s="8">
        <f t="shared" si="1"/>
        <v>0.2</v>
      </c>
      <c r="H29" s="73" t="s">
        <v>950</v>
      </c>
      <c r="N29" s="4"/>
    </row>
    <row r="30" spans="1:14">
      <c r="A30" s="108"/>
      <c r="B30" s="3" t="s">
        <v>64</v>
      </c>
      <c r="C30" s="5" t="s">
        <v>65</v>
      </c>
      <c r="D30" s="6"/>
      <c r="E30" s="7" t="s">
        <v>343</v>
      </c>
      <c r="G30" s="8">
        <f t="shared" si="1"/>
        <v>0.2</v>
      </c>
      <c r="H30" s="89" t="s">
        <v>950</v>
      </c>
      <c r="N30" s="4"/>
    </row>
    <row r="31" spans="1:14">
      <c r="A31" s="108"/>
      <c r="B31" s="3" t="s">
        <v>65</v>
      </c>
      <c r="C31" s="5" t="s">
        <v>62</v>
      </c>
      <c r="D31" s="6"/>
      <c r="E31" s="7" t="s">
        <v>344</v>
      </c>
      <c r="G31" s="8">
        <f t="shared" si="1"/>
        <v>0.2</v>
      </c>
      <c r="H31" s="73" t="s">
        <v>950</v>
      </c>
      <c r="N31" s="4"/>
    </row>
    <row r="32" spans="1:14">
      <c r="A32" s="108" t="s">
        <v>7</v>
      </c>
      <c r="B32" s="3" t="s">
        <v>66</v>
      </c>
      <c r="C32" s="5" t="s">
        <v>101</v>
      </c>
      <c r="D32" s="6"/>
      <c r="E32" s="7" t="s">
        <v>345</v>
      </c>
      <c r="N32" s="4"/>
    </row>
    <row r="33" spans="1:14">
      <c r="A33" s="108"/>
      <c r="B33" s="3" t="s">
        <v>67</v>
      </c>
      <c r="C33" s="5" t="s">
        <v>102</v>
      </c>
      <c r="D33" s="6"/>
      <c r="E33" s="7" t="s">
        <v>346</v>
      </c>
      <c r="N33" s="4"/>
    </row>
    <row r="34" spans="1:14">
      <c r="A34" s="108"/>
      <c r="B34" s="3" t="s">
        <v>68</v>
      </c>
      <c r="C34" s="5" t="s">
        <v>103</v>
      </c>
      <c r="D34" s="6"/>
      <c r="E34" s="7" t="s">
        <v>347</v>
      </c>
      <c r="N34" s="4"/>
    </row>
    <row r="35" spans="1:14">
      <c r="A35" s="108"/>
      <c r="B35" s="3" t="s">
        <v>69</v>
      </c>
      <c r="C35" s="5" t="s">
        <v>100</v>
      </c>
      <c r="D35" s="6"/>
      <c r="E35" s="7" t="s">
        <v>348</v>
      </c>
      <c r="N35" s="4"/>
    </row>
    <row r="36" spans="1:14" ht="30">
      <c r="A36" s="108"/>
      <c r="B36" s="3" t="s">
        <v>70</v>
      </c>
      <c r="C36" s="5" t="s">
        <v>97</v>
      </c>
      <c r="D36" s="25" t="s">
        <v>689</v>
      </c>
      <c r="E36" s="7" t="s">
        <v>349</v>
      </c>
      <c r="F36" s="3">
        <f>(450+400)/2</f>
        <v>425</v>
      </c>
      <c r="G36" s="8">
        <f>F36/SUM($F$36:$F$68)</f>
        <v>0.15044247787610621</v>
      </c>
      <c r="N36" s="4"/>
    </row>
    <row r="37" spans="1:14">
      <c r="A37" s="108"/>
      <c r="B37" s="3" t="s">
        <v>71</v>
      </c>
      <c r="C37" s="5" t="s">
        <v>98</v>
      </c>
      <c r="D37" s="6"/>
      <c r="E37" s="7" t="s">
        <v>350</v>
      </c>
      <c r="N37" s="4"/>
    </row>
    <row r="38" spans="1:14">
      <c r="A38" s="108"/>
      <c r="B38" s="3" t="s">
        <v>72</v>
      </c>
      <c r="C38" s="5" t="s">
        <v>95</v>
      </c>
      <c r="D38" s="6"/>
      <c r="E38" s="7" t="s">
        <v>351</v>
      </c>
      <c r="N38" s="4"/>
    </row>
    <row r="39" spans="1:14">
      <c r="A39" s="108"/>
      <c r="B39" s="3" t="s">
        <v>73</v>
      </c>
      <c r="C39" s="5" t="s">
        <v>96</v>
      </c>
      <c r="D39" s="6"/>
      <c r="E39" s="7" t="s">
        <v>352</v>
      </c>
      <c r="N39" s="4"/>
    </row>
    <row r="40" spans="1:14">
      <c r="A40" s="108"/>
      <c r="B40" s="3" t="s">
        <v>74</v>
      </c>
      <c r="C40" s="5" t="s">
        <v>99</v>
      </c>
      <c r="D40" s="6"/>
      <c r="E40" s="7" t="s">
        <v>353</v>
      </c>
      <c r="N40" s="4"/>
    </row>
    <row r="41" spans="1:14">
      <c r="A41" s="108"/>
      <c r="B41" s="3" t="s">
        <v>75</v>
      </c>
      <c r="C41" s="5" t="s">
        <v>93</v>
      </c>
      <c r="D41" s="6"/>
      <c r="E41" s="7" t="s">
        <v>354</v>
      </c>
      <c r="N41" s="4"/>
    </row>
    <row r="42" spans="1:14">
      <c r="A42" s="108"/>
      <c r="B42" s="3" t="s">
        <v>76</v>
      </c>
      <c r="C42" s="5" t="s">
        <v>94</v>
      </c>
      <c r="D42" s="6"/>
      <c r="E42" s="7" t="s">
        <v>355</v>
      </c>
      <c r="N42" s="4"/>
    </row>
    <row r="43" spans="1:14">
      <c r="A43" s="108"/>
      <c r="B43" s="3" t="s">
        <v>77</v>
      </c>
      <c r="C43" s="5" t="s">
        <v>92</v>
      </c>
      <c r="D43" s="6"/>
      <c r="E43" s="7" t="s">
        <v>356</v>
      </c>
      <c r="N43" s="4"/>
    </row>
    <row r="44" spans="1:14">
      <c r="A44" s="108"/>
      <c r="B44" s="3" t="s">
        <v>78</v>
      </c>
      <c r="C44" s="5" t="s">
        <v>91</v>
      </c>
      <c r="D44" s="6"/>
      <c r="E44" s="7" t="s">
        <v>357</v>
      </c>
      <c r="N44" s="4"/>
    </row>
    <row r="45" spans="1:14">
      <c r="A45" s="108"/>
      <c r="B45" s="3" t="s">
        <v>79</v>
      </c>
      <c r="C45" s="5" t="s">
        <v>90</v>
      </c>
      <c r="D45" s="6"/>
      <c r="E45" s="7" t="s">
        <v>358</v>
      </c>
      <c r="N45" s="4"/>
    </row>
    <row r="46" spans="1:14">
      <c r="A46" s="108"/>
      <c r="B46" s="3" t="s">
        <v>80</v>
      </c>
      <c r="C46" s="5" t="s">
        <v>89</v>
      </c>
      <c r="D46" s="6"/>
      <c r="E46" s="7" t="s">
        <v>359</v>
      </c>
      <c r="N46" s="4"/>
    </row>
    <row r="47" spans="1:14">
      <c r="A47" s="108"/>
      <c r="B47" s="3" t="s">
        <v>81</v>
      </c>
      <c r="C47" s="5" t="s">
        <v>88</v>
      </c>
      <c r="D47" s="6"/>
      <c r="E47" s="7" t="s">
        <v>360</v>
      </c>
      <c r="N47" s="4"/>
    </row>
    <row r="48" spans="1:14">
      <c r="A48" s="108"/>
      <c r="B48" s="3" t="s">
        <v>82</v>
      </c>
      <c r="C48" s="5" t="s">
        <v>87</v>
      </c>
      <c r="D48" s="6"/>
      <c r="E48" s="7" t="s">
        <v>361</v>
      </c>
      <c r="N48" s="4"/>
    </row>
    <row r="49" spans="1:14">
      <c r="A49" s="108"/>
      <c r="B49" s="3" t="s">
        <v>83</v>
      </c>
      <c r="C49" s="5" t="s">
        <v>86</v>
      </c>
      <c r="D49" s="6"/>
      <c r="E49" s="7" t="s">
        <v>362</v>
      </c>
      <c r="N49" s="4"/>
    </row>
    <row r="50" spans="1:14">
      <c r="A50" s="108"/>
      <c r="B50" s="3" t="s">
        <v>84</v>
      </c>
      <c r="C50" s="5" t="s">
        <v>85</v>
      </c>
      <c r="D50" s="6"/>
      <c r="E50" s="7" t="s">
        <v>363</v>
      </c>
      <c r="N50" s="4"/>
    </row>
    <row r="51" spans="1:14">
      <c r="A51" s="108"/>
      <c r="B51" s="3" t="s">
        <v>85</v>
      </c>
      <c r="C51" s="5" t="s">
        <v>84</v>
      </c>
      <c r="D51" s="6"/>
      <c r="E51" s="7" t="s">
        <v>364</v>
      </c>
      <c r="N51" s="4"/>
    </row>
    <row r="52" spans="1:14">
      <c r="A52" s="108"/>
      <c r="B52" s="3" t="s">
        <v>86</v>
      </c>
      <c r="C52" s="5" t="s">
        <v>83</v>
      </c>
      <c r="D52" s="6"/>
      <c r="E52" s="7" t="s">
        <v>365</v>
      </c>
      <c r="N52" s="4"/>
    </row>
    <row r="53" spans="1:14">
      <c r="A53" s="108"/>
      <c r="B53" s="3" t="s">
        <v>87</v>
      </c>
      <c r="C53" s="5" t="s">
        <v>82</v>
      </c>
      <c r="D53" s="6"/>
      <c r="E53" s="7" t="s">
        <v>366</v>
      </c>
      <c r="N53" s="4"/>
    </row>
    <row r="54" spans="1:14">
      <c r="A54" s="108"/>
      <c r="B54" s="3" t="s">
        <v>88</v>
      </c>
      <c r="C54" s="5" t="s">
        <v>81</v>
      </c>
      <c r="D54" s="6"/>
      <c r="E54" s="7" t="s">
        <v>367</v>
      </c>
      <c r="N54" s="4"/>
    </row>
    <row r="55" spans="1:14">
      <c r="A55" s="108"/>
      <c r="B55" s="3" t="s">
        <v>89</v>
      </c>
      <c r="C55" s="5" t="s">
        <v>78</v>
      </c>
      <c r="D55" s="3" t="s">
        <v>686</v>
      </c>
      <c r="E55" s="7" t="s">
        <v>368</v>
      </c>
      <c r="F55" s="3">
        <f>1050/2</f>
        <v>525</v>
      </c>
      <c r="G55" s="8">
        <f t="shared" ref="G55:G68" si="2">F55/SUM($F$36:$F$68)</f>
        <v>0.18584070796460178</v>
      </c>
      <c r="N55" s="4"/>
    </row>
    <row r="56" spans="1:14" ht="30">
      <c r="A56" s="108"/>
      <c r="B56" s="3" t="s">
        <v>90</v>
      </c>
      <c r="C56" s="5" t="s">
        <v>77</v>
      </c>
      <c r="D56" s="25" t="s">
        <v>690</v>
      </c>
      <c r="E56" s="7" t="s">
        <v>369</v>
      </c>
      <c r="F56" s="3">
        <f>(1165+1040+260)/2</f>
        <v>1232.5</v>
      </c>
      <c r="G56" s="8">
        <f t="shared" si="2"/>
        <v>0.43628318584070797</v>
      </c>
      <c r="N56" s="4"/>
    </row>
    <row r="57" spans="1:14">
      <c r="A57" s="108"/>
      <c r="B57" s="3" t="s">
        <v>91</v>
      </c>
      <c r="C57" s="5" t="s">
        <v>76</v>
      </c>
      <c r="D57" s="6"/>
      <c r="E57" s="7" t="s">
        <v>370</v>
      </c>
      <c r="N57" s="4"/>
    </row>
    <row r="58" spans="1:14">
      <c r="A58" s="108"/>
      <c r="B58" s="3" t="s">
        <v>92</v>
      </c>
      <c r="C58" s="5" t="s">
        <v>79</v>
      </c>
      <c r="D58" s="6"/>
      <c r="E58" s="7" t="s">
        <v>371</v>
      </c>
      <c r="N58" s="4"/>
    </row>
    <row r="59" spans="1:14">
      <c r="A59" s="108"/>
      <c r="B59" s="3" t="s">
        <v>93</v>
      </c>
      <c r="C59" s="5" t="s">
        <v>80</v>
      </c>
      <c r="D59" s="6"/>
      <c r="E59" s="7" t="s">
        <v>372</v>
      </c>
      <c r="N59" s="4"/>
    </row>
    <row r="60" spans="1:14">
      <c r="A60" s="108"/>
      <c r="B60" s="3" t="s">
        <v>94</v>
      </c>
      <c r="C60" s="5" t="s">
        <v>75</v>
      </c>
      <c r="D60" s="6"/>
      <c r="E60" s="7" t="s">
        <v>373</v>
      </c>
      <c r="N60" s="4"/>
    </row>
    <row r="61" spans="1:14">
      <c r="A61" s="108"/>
      <c r="B61" s="3" t="s">
        <v>95</v>
      </c>
      <c r="C61" s="5" t="s">
        <v>73</v>
      </c>
      <c r="D61" s="6"/>
      <c r="E61" s="7" t="s">
        <v>374</v>
      </c>
      <c r="N61" s="4"/>
    </row>
    <row r="62" spans="1:14">
      <c r="A62" s="108"/>
      <c r="B62" s="3" t="s">
        <v>96</v>
      </c>
      <c r="C62" s="5" t="s">
        <v>74</v>
      </c>
      <c r="D62" s="3" t="s">
        <v>688</v>
      </c>
      <c r="E62" s="7" t="s">
        <v>375</v>
      </c>
      <c r="F62" s="3">
        <f>620/2</f>
        <v>310</v>
      </c>
      <c r="G62" s="8">
        <f t="shared" si="2"/>
        <v>0.10973451327433628</v>
      </c>
      <c r="N62" s="4"/>
    </row>
    <row r="63" spans="1:14">
      <c r="A63" s="108"/>
      <c r="B63" s="3" t="s">
        <v>97</v>
      </c>
      <c r="C63" s="5" t="s">
        <v>72</v>
      </c>
      <c r="D63" s="6"/>
      <c r="E63" s="7" t="s">
        <v>376</v>
      </c>
      <c r="N63" s="4"/>
    </row>
    <row r="64" spans="1:14">
      <c r="A64" s="108"/>
      <c r="B64" s="3" t="s">
        <v>98</v>
      </c>
      <c r="C64" s="5" t="s">
        <v>69</v>
      </c>
      <c r="D64" s="6"/>
      <c r="E64" s="7" t="s">
        <v>377</v>
      </c>
      <c r="N64" s="4"/>
    </row>
    <row r="65" spans="1:14">
      <c r="A65" s="108"/>
      <c r="B65" s="3" t="s">
        <v>99</v>
      </c>
      <c r="C65" s="5" t="s">
        <v>70</v>
      </c>
      <c r="D65" s="6"/>
      <c r="E65" s="7" t="s">
        <v>378</v>
      </c>
      <c r="N65" s="4"/>
    </row>
    <row r="66" spans="1:14">
      <c r="A66" s="108"/>
      <c r="B66" s="3" t="s">
        <v>100</v>
      </c>
      <c r="C66" s="5" t="s">
        <v>68</v>
      </c>
      <c r="D66" s="3" t="s">
        <v>684</v>
      </c>
      <c r="E66" s="7" t="s">
        <v>379</v>
      </c>
      <c r="F66" s="3">
        <f>565/2</f>
        <v>282.5</v>
      </c>
      <c r="G66" s="8">
        <f t="shared" si="2"/>
        <v>0.1</v>
      </c>
      <c r="N66" s="4"/>
    </row>
    <row r="67" spans="1:14">
      <c r="A67" s="108"/>
      <c r="B67" s="3" t="s">
        <v>101</v>
      </c>
      <c r="C67" s="5" t="s">
        <v>71</v>
      </c>
      <c r="D67" s="6"/>
      <c r="E67" s="7" t="s">
        <v>380</v>
      </c>
      <c r="N67" s="4"/>
    </row>
    <row r="68" spans="1:14">
      <c r="A68" s="108"/>
      <c r="B68" s="3" t="s">
        <v>102</v>
      </c>
      <c r="C68" s="5" t="s">
        <v>67</v>
      </c>
      <c r="D68" s="3" t="s">
        <v>687</v>
      </c>
      <c r="E68" s="7" t="s">
        <v>381</v>
      </c>
      <c r="F68" s="3">
        <f>100/2</f>
        <v>50</v>
      </c>
      <c r="G68" s="8">
        <f t="shared" si="2"/>
        <v>1.7699115044247787E-2</v>
      </c>
      <c r="N68" s="4"/>
    </row>
    <row r="69" spans="1:14">
      <c r="A69" s="108"/>
      <c r="B69" s="3" t="s">
        <v>103</v>
      </c>
      <c r="C69" s="5" t="s">
        <v>66</v>
      </c>
      <c r="D69" s="6"/>
      <c r="E69" s="7" t="s">
        <v>382</v>
      </c>
      <c r="N69" s="4"/>
    </row>
    <row r="70" spans="1:14">
      <c r="A70" s="24" t="s">
        <v>622</v>
      </c>
      <c r="B70" s="3" t="s">
        <v>383</v>
      </c>
      <c r="C70" s="5" t="s">
        <v>383</v>
      </c>
      <c r="D70" s="6"/>
      <c r="E70" s="7" t="s">
        <v>384</v>
      </c>
      <c r="G70" s="8">
        <v>1</v>
      </c>
      <c r="H70" s="3" t="s">
        <v>950</v>
      </c>
      <c r="N70" s="4"/>
    </row>
    <row r="71" spans="1:14">
      <c r="A71" s="108" t="s">
        <v>8</v>
      </c>
      <c r="B71" s="3" t="s">
        <v>104</v>
      </c>
      <c r="C71" s="5" t="s">
        <v>106</v>
      </c>
      <c r="D71" s="6"/>
      <c r="E71" s="7" t="s">
        <v>385</v>
      </c>
      <c r="G71" s="8">
        <f>1/ROWS(C71:C73)</f>
        <v>0.33333333333333331</v>
      </c>
      <c r="H71" s="3" t="s">
        <v>950</v>
      </c>
      <c r="N71" s="4"/>
    </row>
    <row r="72" spans="1:14">
      <c r="A72" s="108"/>
      <c r="B72" s="3" t="s">
        <v>105</v>
      </c>
      <c r="C72" s="5" t="s">
        <v>105</v>
      </c>
      <c r="D72" s="6"/>
      <c r="E72" s="7" t="s">
        <v>386</v>
      </c>
      <c r="G72" s="8">
        <f t="shared" ref="G72:G73" si="3">1/ROWS(C72:C74)</f>
        <v>0.33333333333333331</v>
      </c>
      <c r="H72" s="3" t="s">
        <v>950</v>
      </c>
      <c r="N72" s="4"/>
    </row>
    <row r="73" spans="1:14">
      <c r="A73" s="108"/>
      <c r="B73" s="3" t="s">
        <v>106</v>
      </c>
      <c r="C73" s="5" t="s">
        <v>104</v>
      </c>
      <c r="D73" s="6"/>
      <c r="E73" s="7" t="s">
        <v>387</v>
      </c>
      <c r="G73" s="8">
        <f t="shared" si="3"/>
        <v>0.33333333333333331</v>
      </c>
      <c r="H73" s="3" t="s">
        <v>950</v>
      </c>
      <c r="N73" s="4"/>
    </row>
    <row r="74" spans="1:14">
      <c r="A74" s="108" t="s">
        <v>9</v>
      </c>
      <c r="B74" s="3" t="s">
        <v>107</v>
      </c>
      <c r="C74" s="5" t="s">
        <v>114</v>
      </c>
      <c r="D74" s="6"/>
      <c r="E74" s="7" t="s">
        <v>388</v>
      </c>
      <c r="G74" s="8">
        <f>1/ROWS(C74:C86)</f>
        <v>7.6923076923076927E-2</v>
      </c>
      <c r="H74" s="3" t="s">
        <v>950</v>
      </c>
      <c r="N74" s="4"/>
    </row>
    <row r="75" spans="1:14">
      <c r="A75" s="108"/>
      <c r="B75" s="3" t="s">
        <v>108</v>
      </c>
      <c r="C75" s="5" t="s">
        <v>389</v>
      </c>
      <c r="D75" s="6"/>
      <c r="E75" s="7" t="s">
        <v>390</v>
      </c>
      <c r="G75" s="8">
        <f t="shared" ref="G75:G86" si="4">1/ROWS(C75:C87)</f>
        <v>7.6923076923076927E-2</v>
      </c>
      <c r="H75" s="3" t="s">
        <v>950</v>
      </c>
      <c r="N75" s="4"/>
    </row>
    <row r="76" spans="1:14">
      <c r="A76" s="108"/>
      <c r="B76" s="3" t="s">
        <v>109</v>
      </c>
      <c r="C76" s="5" t="s">
        <v>391</v>
      </c>
      <c r="D76" s="6"/>
      <c r="E76" s="7" t="s">
        <v>392</v>
      </c>
      <c r="G76" s="8">
        <f t="shared" si="4"/>
        <v>7.6923076923076927E-2</v>
      </c>
      <c r="H76" s="3" t="s">
        <v>950</v>
      </c>
    </row>
    <row r="77" spans="1:14">
      <c r="A77" s="108"/>
      <c r="B77" s="3" t="s">
        <v>110</v>
      </c>
      <c r="C77" s="5" t="s">
        <v>393</v>
      </c>
      <c r="D77" s="6"/>
      <c r="E77" s="7" t="s">
        <v>394</v>
      </c>
      <c r="G77" s="8">
        <f t="shared" si="4"/>
        <v>7.6923076923076927E-2</v>
      </c>
      <c r="H77" s="3" t="s">
        <v>950</v>
      </c>
    </row>
    <row r="78" spans="1:14">
      <c r="A78" s="108"/>
      <c r="B78" s="3" t="s">
        <v>111</v>
      </c>
      <c r="C78" s="5" t="s">
        <v>115</v>
      </c>
      <c r="D78" s="6"/>
      <c r="E78" s="7" t="s">
        <v>395</v>
      </c>
      <c r="G78" s="8">
        <f t="shared" si="4"/>
        <v>7.6923076923076927E-2</v>
      </c>
      <c r="H78" s="3" t="s">
        <v>950</v>
      </c>
    </row>
    <row r="79" spans="1:14">
      <c r="A79" s="108"/>
      <c r="B79" s="3" t="s">
        <v>112</v>
      </c>
      <c r="C79" s="5" t="s">
        <v>110</v>
      </c>
      <c r="D79" s="6"/>
      <c r="E79" s="7" t="s">
        <v>396</v>
      </c>
      <c r="G79" s="8">
        <f t="shared" si="4"/>
        <v>7.6923076923076927E-2</v>
      </c>
      <c r="H79" s="3" t="s">
        <v>950</v>
      </c>
    </row>
    <row r="80" spans="1:14">
      <c r="A80" s="108"/>
      <c r="B80" s="3" t="s">
        <v>113</v>
      </c>
      <c r="C80" s="5" t="s">
        <v>112</v>
      </c>
      <c r="D80" s="6"/>
      <c r="E80" s="7" t="s">
        <v>397</v>
      </c>
      <c r="G80" s="8">
        <f t="shared" si="4"/>
        <v>7.6923076923076927E-2</v>
      </c>
      <c r="H80" s="3" t="s">
        <v>950</v>
      </c>
    </row>
    <row r="81" spans="1:8">
      <c r="A81" s="108"/>
      <c r="B81" s="3" t="s">
        <v>114</v>
      </c>
      <c r="C81" s="5" t="s">
        <v>111</v>
      </c>
      <c r="D81" s="6"/>
      <c r="E81" s="7" t="s">
        <v>398</v>
      </c>
      <c r="G81" s="8">
        <f t="shared" si="4"/>
        <v>7.6923076923076927E-2</v>
      </c>
      <c r="H81" s="3" t="s">
        <v>950</v>
      </c>
    </row>
    <row r="82" spans="1:8">
      <c r="A82" s="108"/>
      <c r="B82" s="3" t="s">
        <v>115</v>
      </c>
      <c r="C82" s="5" t="s">
        <v>107</v>
      </c>
      <c r="D82" s="6"/>
      <c r="E82" s="7" t="s">
        <v>399</v>
      </c>
      <c r="G82" s="8">
        <f t="shared" si="4"/>
        <v>7.6923076923076927E-2</v>
      </c>
      <c r="H82" s="3" t="s">
        <v>950</v>
      </c>
    </row>
    <row r="83" spans="1:8">
      <c r="A83" s="108"/>
      <c r="C83" s="5" t="s">
        <v>400</v>
      </c>
      <c r="D83" s="6"/>
      <c r="E83" s="7" t="s">
        <v>401</v>
      </c>
      <c r="G83" s="8">
        <f t="shared" si="4"/>
        <v>7.6923076923076927E-2</v>
      </c>
      <c r="H83" s="3" t="s">
        <v>950</v>
      </c>
    </row>
    <row r="84" spans="1:8">
      <c r="A84" s="108"/>
      <c r="C84" s="5" t="s">
        <v>113</v>
      </c>
      <c r="D84" s="6"/>
      <c r="E84" s="7" t="s">
        <v>402</v>
      </c>
      <c r="G84" s="8">
        <f t="shared" si="4"/>
        <v>7.6923076923076927E-2</v>
      </c>
      <c r="H84" s="3" t="s">
        <v>950</v>
      </c>
    </row>
    <row r="85" spans="1:8">
      <c r="A85" s="108"/>
      <c r="C85" s="5" t="s">
        <v>108</v>
      </c>
      <c r="D85" s="6"/>
      <c r="E85" s="7" t="s">
        <v>403</v>
      </c>
      <c r="G85" s="8">
        <f t="shared" si="4"/>
        <v>7.6923076923076927E-2</v>
      </c>
      <c r="H85" s="3" t="s">
        <v>950</v>
      </c>
    </row>
    <row r="86" spans="1:8">
      <c r="A86" s="108"/>
      <c r="C86" s="5" t="s">
        <v>109</v>
      </c>
      <c r="D86" s="6"/>
      <c r="E86" s="7" t="s">
        <v>404</v>
      </c>
      <c r="G86" s="8">
        <f t="shared" si="4"/>
        <v>7.6923076923076927E-2</v>
      </c>
      <c r="H86" s="3" t="s">
        <v>950</v>
      </c>
    </row>
    <row r="87" spans="1:8">
      <c r="A87" s="108" t="s">
        <v>10</v>
      </c>
      <c r="B87" s="3" t="s">
        <v>116</v>
      </c>
      <c r="C87" s="5" t="s">
        <v>120</v>
      </c>
      <c r="D87" s="6"/>
      <c r="E87" s="7" t="s">
        <v>405</v>
      </c>
    </row>
    <row r="88" spans="1:8">
      <c r="A88" s="108"/>
      <c r="B88" s="3" t="s">
        <v>117</v>
      </c>
      <c r="C88" s="5" t="s">
        <v>117</v>
      </c>
      <c r="D88" s="6"/>
      <c r="E88" s="7" t="s">
        <v>406</v>
      </c>
    </row>
    <row r="89" spans="1:8">
      <c r="A89" s="108"/>
      <c r="B89" s="3" t="s">
        <v>118</v>
      </c>
      <c r="C89" s="5" t="s">
        <v>128</v>
      </c>
      <c r="D89" s="6"/>
      <c r="E89" s="7" t="s">
        <v>407</v>
      </c>
    </row>
    <row r="90" spans="1:8">
      <c r="A90" s="108"/>
      <c r="B90" s="3" t="s">
        <v>119</v>
      </c>
      <c r="C90" s="5" t="s">
        <v>118</v>
      </c>
      <c r="D90" s="6"/>
      <c r="E90" s="7" t="s">
        <v>408</v>
      </c>
    </row>
    <row r="91" spans="1:8">
      <c r="A91" s="108"/>
      <c r="B91" s="3" t="s">
        <v>120</v>
      </c>
      <c r="C91" s="5" t="s">
        <v>123</v>
      </c>
      <c r="D91" s="6"/>
      <c r="E91" s="7" t="s">
        <v>409</v>
      </c>
    </row>
    <row r="92" spans="1:8">
      <c r="A92" s="108"/>
      <c r="B92" s="3" t="s">
        <v>121</v>
      </c>
      <c r="C92" s="5" t="s">
        <v>119</v>
      </c>
      <c r="D92" s="6"/>
      <c r="E92" s="7" t="s">
        <v>410</v>
      </c>
    </row>
    <row r="93" spans="1:8">
      <c r="A93" s="108"/>
      <c r="B93" s="3" t="s">
        <v>122</v>
      </c>
      <c r="C93" s="5" t="s">
        <v>129</v>
      </c>
      <c r="D93" s="6"/>
      <c r="E93" s="7" t="s">
        <v>411</v>
      </c>
    </row>
    <row r="94" spans="1:8">
      <c r="A94" s="108"/>
      <c r="B94" s="3" t="s">
        <v>123</v>
      </c>
      <c r="C94" s="5" t="s">
        <v>124</v>
      </c>
      <c r="D94" s="6"/>
      <c r="E94" s="7" t="s">
        <v>412</v>
      </c>
    </row>
    <row r="95" spans="1:8">
      <c r="A95" s="108"/>
      <c r="B95" s="3" t="s">
        <v>124</v>
      </c>
      <c r="C95" s="5" t="s">
        <v>126</v>
      </c>
      <c r="D95" s="6"/>
      <c r="E95" s="7" t="s">
        <v>413</v>
      </c>
    </row>
    <row r="96" spans="1:8">
      <c r="A96" s="108"/>
      <c r="B96" s="3" t="s">
        <v>125</v>
      </c>
      <c r="C96" s="5" t="s">
        <v>127</v>
      </c>
      <c r="D96" s="6" t="s">
        <v>665</v>
      </c>
      <c r="E96" s="7" t="s">
        <v>414</v>
      </c>
      <c r="F96" s="3">
        <f>102/2</f>
        <v>51</v>
      </c>
      <c r="G96" s="8">
        <f>F96/(F96+F98)</f>
        <v>6.8965517241379309E-2</v>
      </c>
    </row>
    <row r="97" spans="1:7">
      <c r="A97" s="108"/>
      <c r="B97" s="3" t="s">
        <v>126</v>
      </c>
      <c r="C97" s="5" t="s">
        <v>121</v>
      </c>
      <c r="D97" s="6"/>
      <c r="E97" s="7" t="s">
        <v>415</v>
      </c>
    </row>
    <row r="98" spans="1:7">
      <c r="A98" s="108"/>
      <c r="B98" s="3" t="s">
        <v>127</v>
      </c>
      <c r="C98" s="5" t="s">
        <v>125</v>
      </c>
      <c r="D98" s="6" t="s">
        <v>664</v>
      </c>
      <c r="E98" s="7" t="s">
        <v>416</v>
      </c>
      <c r="F98" s="3">
        <f>(675+702)/2</f>
        <v>688.5</v>
      </c>
      <c r="G98" s="8">
        <f>F98/(F98+F96)</f>
        <v>0.93103448275862066</v>
      </c>
    </row>
    <row r="99" spans="1:7">
      <c r="A99" s="108"/>
      <c r="B99" s="3" t="s">
        <v>128</v>
      </c>
      <c r="C99" s="5" t="s">
        <v>122</v>
      </c>
      <c r="D99" s="6"/>
      <c r="E99" s="7" t="s">
        <v>417</v>
      </c>
    </row>
    <row r="100" spans="1:7">
      <c r="A100" s="108"/>
      <c r="B100" s="3" t="s">
        <v>129</v>
      </c>
      <c r="C100" s="5" t="s">
        <v>418</v>
      </c>
      <c r="D100" s="6"/>
      <c r="E100" s="7" t="s">
        <v>419</v>
      </c>
    </row>
    <row r="101" spans="1:7">
      <c r="A101" s="108"/>
      <c r="B101" s="3" t="s">
        <v>130</v>
      </c>
      <c r="C101" s="5" t="s">
        <v>130</v>
      </c>
      <c r="D101" s="6"/>
      <c r="E101" s="7" t="s">
        <v>420</v>
      </c>
    </row>
    <row r="102" spans="1:7">
      <c r="A102" s="108"/>
      <c r="C102" s="5" t="s">
        <v>116</v>
      </c>
      <c r="D102" s="6"/>
      <c r="E102" s="7" t="s">
        <v>421</v>
      </c>
    </row>
    <row r="103" spans="1:7">
      <c r="A103" s="108"/>
      <c r="C103" s="5" t="s">
        <v>422</v>
      </c>
      <c r="D103" s="6"/>
      <c r="E103" s="7" t="s">
        <v>423</v>
      </c>
    </row>
    <row r="104" spans="1:7">
      <c r="A104" s="108"/>
      <c r="C104" s="5" t="s">
        <v>424</v>
      </c>
      <c r="D104" s="6"/>
      <c r="E104" s="7" t="s">
        <v>425</v>
      </c>
    </row>
    <row r="105" spans="1:7">
      <c r="A105" s="108"/>
      <c r="C105" s="5" t="s">
        <v>426</v>
      </c>
      <c r="D105" s="6"/>
      <c r="E105" s="7" t="s">
        <v>427</v>
      </c>
    </row>
    <row r="106" spans="1:7">
      <c r="A106" s="108" t="s">
        <v>11</v>
      </c>
      <c r="B106" s="3" t="s">
        <v>131</v>
      </c>
      <c r="C106" s="5" t="s">
        <v>132</v>
      </c>
      <c r="D106" s="6"/>
      <c r="E106" s="7" t="s">
        <v>428</v>
      </c>
    </row>
    <row r="107" spans="1:7">
      <c r="A107" s="108"/>
      <c r="B107" s="3" t="s">
        <v>132</v>
      </c>
      <c r="C107" s="5" t="s">
        <v>143</v>
      </c>
      <c r="D107" s="6"/>
      <c r="E107" s="7" t="s">
        <v>429</v>
      </c>
    </row>
    <row r="108" spans="1:7">
      <c r="A108" s="108"/>
      <c r="B108" s="3" t="s">
        <v>133</v>
      </c>
      <c r="C108" s="5" t="s">
        <v>141</v>
      </c>
      <c r="D108" s="6"/>
      <c r="E108" s="7" t="s">
        <v>430</v>
      </c>
    </row>
    <row r="109" spans="1:7">
      <c r="A109" s="108"/>
      <c r="B109" s="3" t="s">
        <v>134</v>
      </c>
      <c r="C109" s="5" t="s">
        <v>138</v>
      </c>
      <c r="D109" s="6"/>
      <c r="E109" s="7" t="s">
        <v>431</v>
      </c>
    </row>
    <row r="110" spans="1:7">
      <c r="A110" s="108"/>
      <c r="B110" s="3" t="s">
        <v>135</v>
      </c>
      <c r="C110" s="10" t="s">
        <v>145</v>
      </c>
      <c r="D110" s="7"/>
      <c r="E110" s="11" t="s">
        <v>432</v>
      </c>
    </row>
    <row r="111" spans="1:7" ht="30">
      <c r="A111" s="108"/>
      <c r="B111" s="3" t="s">
        <v>136</v>
      </c>
      <c r="C111" s="10" t="s">
        <v>137</v>
      </c>
      <c r="D111" s="25" t="s">
        <v>669</v>
      </c>
      <c r="E111" s="11" t="s">
        <v>433</v>
      </c>
      <c r="F111" s="3">
        <f>(525+425)/2</f>
        <v>475</v>
      </c>
      <c r="G111" s="8">
        <f>F111/(F$111+F$112+F$125+F$126)</f>
        <v>0.34050179211469533</v>
      </c>
    </row>
    <row r="112" spans="1:7">
      <c r="A112" s="108"/>
      <c r="B112" s="3" t="s">
        <v>137</v>
      </c>
      <c r="C112" s="5" t="s">
        <v>134</v>
      </c>
      <c r="D112" s="3" t="s">
        <v>666</v>
      </c>
      <c r="E112" s="7" t="s">
        <v>434</v>
      </c>
      <c r="F112" s="3">
        <f>380/2</f>
        <v>190</v>
      </c>
      <c r="G112" s="8">
        <f t="shared" ref="G112:G126" si="5">F112/(F$111+F$112+F$125+F$126)</f>
        <v>0.13620071684587814</v>
      </c>
    </row>
    <row r="113" spans="1:7">
      <c r="A113" s="108"/>
      <c r="B113" s="3" t="s">
        <v>138</v>
      </c>
      <c r="C113" s="5" t="s">
        <v>151</v>
      </c>
      <c r="D113" s="6"/>
      <c r="E113" s="7" t="s">
        <v>435</v>
      </c>
    </row>
    <row r="114" spans="1:7">
      <c r="A114" s="108"/>
      <c r="B114" s="3" t="s">
        <v>139</v>
      </c>
      <c r="C114" s="5" t="s">
        <v>133</v>
      </c>
      <c r="D114" s="6"/>
      <c r="E114" s="7" t="s">
        <v>436</v>
      </c>
    </row>
    <row r="115" spans="1:7">
      <c r="A115" s="108"/>
      <c r="B115" s="3" t="s">
        <v>140</v>
      </c>
      <c r="C115" s="5" t="s">
        <v>148</v>
      </c>
      <c r="D115" s="6"/>
      <c r="E115" s="7" t="s">
        <v>437</v>
      </c>
    </row>
    <row r="116" spans="1:7">
      <c r="A116" s="108"/>
      <c r="B116" s="3" t="s">
        <v>141</v>
      </c>
      <c r="C116" s="5" t="s">
        <v>135</v>
      </c>
      <c r="D116" s="6"/>
      <c r="E116" s="7" t="s">
        <v>438</v>
      </c>
    </row>
    <row r="117" spans="1:7">
      <c r="A117" s="108"/>
      <c r="B117" s="3" t="s">
        <v>142</v>
      </c>
      <c r="C117" s="5" t="s">
        <v>136</v>
      </c>
      <c r="D117" s="6"/>
      <c r="E117" s="7" t="s">
        <v>439</v>
      </c>
    </row>
    <row r="118" spans="1:7">
      <c r="A118" s="108"/>
      <c r="B118" s="3" t="s">
        <v>143</v>
      </c>
      <c r="C118" s="5" t="s">
        <v>140</v>
      </c>
      <c r="D118" s="6"/>
      <c r="E118" s="7" t="s">
        <v>440</v>
      </c>
    </row>
    <row r="119" spans="1:7">
      <c r="A119" s="108"/>
      <c r="B119" s="3" t="s">
        <v>144</v>
      </c>
      <c r="C119" s="5" t="s">
        <v>139</v>
      </c>
      <c r="D119" s="6"/>
      <c r="E119" s="7" t="s">
        <v>441</v>
      </c>
    </row>
    <row r="120" spans="1:7">
      <c r="A120" s="108"/>
      <c r="B120" s="3" t="s">
        <v>145</v>
      </c>
      <c r="C120" s="5" t="s">
        <v>142</v>
      </c>
      <c r="D120" s="6"/>
      <c r="E120" s="7" t="s">
        <v>442</v>
      </c>
    </row>
    <row r="121" spans="1:7">
      <c r="A121" s="108"/>
      <c r="B121" s="3" t="s">
        <v>146</v>
      </c>
      <c r="C121" s="5" t="s">
        <v>144</v>
      </c>
      <c r="D121" s="6"/>
      <c r="E121" s="7" t="s">
        <v>443</v>
      </c>
    </row>
    <row r="122" spans="1:7">
      <c r="A122" s="108"/>
      <c r="B122" s="3" t="s">
        <v>147</v>
      </c>
      <c r="C122" s="5" t="s">
        <v>146</v>
      </c>
      <c r="D122" s="6"/>
      <c r="E122" s="7" t="s">
        <v>444</v>
      </c>
    </row>
    <row r="123" spans="1:7">
      <c r="A123" s="108"/>
      <c r="B123" s="3" t="s">
        <v>148</v>
      </c>
      <c r="C123" s="5" t="s">
        <v>147</v>
      </c>
      <c r="D123" s="6"/>
      <c r="E123" s="7" t="s">
        <v>445</v>
      </c>
    </row>
    <row r="124" spans="1:7">
      <c r="A124" s="108"/>
      <c r="B124" s="3" t="s">
        <v>149</v>
      </c>
      <c r="C124" s="5" t="s">
        <v>150</v>
      </c>
      <c r="D124" s="6"/>
      <c r="E124" s="7" t="s">
        <v>446</v>
      </c>
    </row>
    <row r="125" spans="1:7">
      <c r="A125" s="108"/>
      <c r="B125" s="3" t="s">
        <v>150</v>
      </c>
      <c r="C125" s="5" t="s">
        <v>152</v>
      </c>
      <c r="D125" s="6" t="s">
        <v>667</v>
      </c>
      <c r="E125" s="7" t="s">
        <v>447</v>
      </c>
      <c r="F125" s="3">
        <f>250/2</f>
        <v>125</v>
      </c>
      <c r="G125" s="8">
        <f t="shared" si="5"/>
        <v>8.9605734767025089E-2</v>
      </c>
    </row>
    <row r="126" spans="1:7" ht="30">
      <c r="A126" s="108"/>
      <c r="B126" s="3" t="s">
        <v>151</v>
      </c>
      <c r="C126" s="5" t="s">
        <v>149</v>
      </c>
      <c r="D126" s="6" t="s">
        <v>668</v>
      </c>
      <c r="E126" s="7" t="s">
        <v>448</v>
      </c>
      <c r="F126" s="3">
        <f>(470+740)/2</f>
        <v>605</v>
      </c>
      <c r="G126" s="8">
        <f t="shared" si="5"/>
        <v>0.43369175627240142</v>
      </c>
    </row>
    <row r="127" spans="1:7">
      <c r="A127" s="108"/>
      <c r="B127" s="3" t="s">
        <v>152</v>
      </c>
      <c r="C127" s="5" t="s">
        <v>131</v>
      </c>
      <c r="D127" s="6"/>
      <c r="E127" s="7" t="s">
        <v>449</v>
      </c>
    </row>
    <row r="128" spans="1:7">
      <c r="A128" s="108"/>
      <c r="C128" s="5" t="s">
        <v>450</v>
      </c>
      <c r="D128" s="6"/>
      <c r="E128" s="7" t="s">
        <v>451</v>
      </c>
    </row>
    <row r="129" spans="1:8">
      <c r="A129" s="108"/>
      <c r="C129" s="5" t="s">
        <v>452</v>
      </c>
      <c r="D129" s="6"/>
      <c r="E129" s="7" t="s">
        <v>453</v>
      </c>
    </row>
    <row r="130" spans="1:8">
      <c r="A130" s="108"/>
      <c r="C130" s="5" t="s">
        <v>454</v>
      </c>
      <c r="D130" s="6"/>
      <c r="E130" s="7" t="s">
        <v>455</v>
      </c>
    </row>
    <row r="131" spans="1:8">
      <c r="A131" s="108"/>
      <c r="C131" s="5" t="s">
        <v>456</v>
      </c>
      <c r="D131" s="6"/>
      <c r="E131" s="7" t="s">
        <v>457</v>
      </c>
    </row>
    <row r="132" spans="1:8">
      <c r="A132" s="108"/>
      <c r="C132" s="5" t="s">
        <v>458</v>
      </c>
      <c r="D132" s="6"/>
      <c r="E132" s="7" t="s">
        <v>459</v>
      </c>
    </row>
    <row r="133" spans="1:8">
      <c r="A133" s="108" t="s">
        <v>12</v>
      </c>
      <c r="B133" s="3" t="s">
        <v>153</v>
      </c>
      <c r="C133" s="11" t="s">
        <v>460</v>
      </c>
      <c r="D133" s="7"/>
      <c r="E133" s="11" t="s">
        <v>461</v>
      </c>
      <c r="G133" s="8">
        <f>1/3*$G$135</f>
        <v>0.16666666666666666</v>
      </c>
      <c r="H133" s="73" t="s">
        <v>950</v>
      </c>
    </row>
    <row r="134" spans="1:8">
      <c r="A134" s="108"/>
      <c r="B134" s="3" t="s">
        <v>154</v>
      </c>
      <c r="C134" s="5" t="s">
        <v>154</v>
      </c>
      <c r="D134" s="6"/>
      <c r="E134" s="7" t="s">
        <v>462</v>
      </c>
      <c r="G134" s="8">
        <f>0.5</f>
        <v>0.5</v>
      </c>
      <c r="H134" s="73" t="s">
        <v>950</v>
      </c>
    </row>
    <row r="135" spans="1:8">
      <c r="A135" s="108"/>
      <c r="C135" s="5" t="s">
        <v>153</v>
      </c>
      <c r="D135" s="6"/>
      <c r="E135" s="7"/>
      <c r="G135" s="100">
        <v>0.5</v>
      </c>
      <c r="H135" s="73" t="s">
        <v>950</v>
      </c>
    </row>
    <row r="136" spans="1:8">
      <c r="A136" s="108"/>
      <c r="C136" s="5" t="s">
        <v>463</v>
      </c>
      <c r="D136" s="6"/>
      <c r="E136" s="7" t="s">
        <v>464</v>
      </c>
      <c r="G136" s="8">
        <f>1/3*$G$135</f>
        <v>0.16666666666666666</v>
      </c>
      <c r="H136" s="73" t="s">
        <v>950</v>
      </c>
    </row>
    <row r="137" spans="1:8">
      <c r="A137" s="108"/>
      <c r="C137" s="5" t="s">
        <v>465</v>
      </c>
      <c r="D137" s="6"/>
      <c r="E137" s="7" t="s">
        <v>466</v>
      </c>
      <c r="G137" s="8">
        <f>1/3*$G$135</f>
        <v>0.16666666666666666</v>
      </c>
      <c r="H137" s="73" t="s">
        <v>950</v>
      </c>
    </row>
    <row r="138" spans="1:8">
      <c r="A138" s="108" t="s">
        <v>13</v>
      </c>
      <c r="B138" s="3" t="s">
        <v>155</v>
      </c>
      <c r="C138" s="5" t="s">
        <v>163</v>
      </c>
      <c r="D138" s="6"/>
      <c r="E138" s="7" t="s">
        <v>467</v>
      </c>
    </row>
    <row r="139" spans="1:8">
      <c r="A139" s="108"/>
      <c r="B139" s="3" t="s">
        <v>156</v>
      </c>
      <c r="C139" s="5" t="s">
        <v>156</v>
      </c>
      <c r="D139" s="6"/>
      <c r="E139" s="7" t="s">
        <v>468</v>
      </c>
    </row>
    <row r="140" spans="1:8">
      <c r="A140" s="108"/>
      <c r="B140" s="3" t="s">
        <v>157</v>
      </c>
      <c r="C140" s="5" t="s">
        <v>167</v>
      </c>
      <c r="D140" s="6"/>
      <c r="E140" s="7" t="s">
        <v>469</v>
      </c>
    </row>
    <row r="141" spans="1:8">
      <c r="A141" s="108"/>
      <c r="B141" s="3" t="s">
        <v>158</v>
      </c>
      <c r="C141" s="5" t="s">
        <v>166</v>
      </c>
      <c r="D141" s="6"/>
      <c r="E141" s="7" t="s">
        <v>470</v>
      </c>
    </row>
    <row r="142" spans="1:8">
      <c r="A142" s="108"/>
      <c r="B142" s="3" t="s">
        <v>159</v>
      </c>
      <c r="C142" s="5" t="s">
        <v>175</v>
      </c>
      <c r="D142" s="6"/>
      <c r="E142" s="7" t="s">
        <v>471</v>
      </c>
    </row>
    <row r="143" spans="1:8">
      <c r="A143" s="108"/>
      <c r="B143" s="3" t="s">
        <v>160</v>
      </c>
      <c r="C143" s="5" t="s">
        <v>164</v>
      </c>
      <c r="D143" s="6"/>
      <c r="E143" s="7" t="s">
        <v>472</v>
      </c>
    </row>
    <row r="144" spans="1:8">
      <c r="A144" s="108"/>
      <c r="B144" s="3" t="s">
        <v>161</v>
      </c>
      <c r="C144" s="5" t="s">
        <v>171</v>
      </c>
      <c r="D144" s="6"/>
      <c r="E144" s="7" t="s">
        <v>473</v>
      </c>
    </row>
    <row r="145" spans="1:8">
      <c r="A145" s="108"/>
      <c r="B145" s="3" t="s">
        <v>162</v>
      </c>
      <c r="C145" s="5" t="s">
        <v>174</v>
      </c>
      <c r="D145" s="3" t="s">
        <v>680</v>
      </c>
      <c r="E145" s="7" t="s">
        <v>474</v>
      </c>
      <c r="F145" s="3">
        <f>468/2</f>
        <v>234</v>
      </c>
      <c r="G145" s="8">
        <f t="shared" ref="G145:G148" si="6">F145/SUM(F$145:F$152)</f>
        <v>0.29440442864781552</v>
      </c>
    </row>
    <row r="146" spans="1:8">
      <c r="A146" s="108"/>
      <c r="B146" s="3" t="s">
        <v>163</v>
      </c>
      <c r="C146" s="5" t="s">
        <v>173</v>
      </c>
      <c r="D146" s="6"/>
      <c r="E146" s="7" t="s">
        <v>475</v>
      </c>
    </row>
    <row r="147" spans="1:8">
      <c r="A147" s="108"/>
      <c r="B147" s="3" t="s">
        <v>164</v>
      </c>
      <c r="C147" s="5" t="s">
        <v>172</v>
      </c>
      <c r="D147" s="6"/>
      <c r="E147" s="7" t="s">
        <v>476</v>
      </c>
    </row>
    <row r="148" spans="1:8">
      <c r="A148" s="108"/>
      <c r="B148" s="3" t="s">
        <v>165</v>
      </c>
      <c r="C148" s="5" t="s">
        <v>161</v>
      </c>
      <c r="D148" s="3" t="s">
        <v>681</v>
      </c>
      <c r="E148" s="7" t="s">
        <v>477</v>
      </c>
      <c r="F148" s="3">
        <f>558.45/2</f>
        <v>279.22500000000002</v>
      </c>
      <c r="G148" s="8">
        <f t="shared" si="6"/>
        <v>0.35130374610763376</v>
      </c>
    </row>
    <row r="149" spans="1:8">
      <c r="A149" s="108"/>
      <c r="B149" s="3" t="s">
        <v>166</v>
      </c>
      <c r="C149" s="5" t="s">
        <v>162</v>
      </c>
      <c r="D149" s="6"/>
      <c r="E149" s="7" t="s">
        <v>478</v>
      </c>
    </row>
    <row r="150" spans="1:8" ht="30">
      <c r="A150" s="108"/>
      <c r="B150" s="3" t="s">
        <v>167</v>
      </c>
      <c r="C150" s="5" t="s">
        <v>158</v>
      </c>
      <c r="D150" s="6"/>
      <c r="E150" s="7" t="s">
        <v>479</v>
      </c>
    </row>
    <row r="151" spans="1:8">
      <c r="A151" s="108"/>
      <c r="B151" s="3" t="s">
        <v>168</v>
      </c>
      <c r="C151" s="5" t="s">
        <v>159</v>
      </c>
      <c r="D151" s="6"/>
      <c r="E151" s="7" t="s">
        <v>480</v>
      </c>
    </row>
    <row r="152" spans="1:8">
      <c r="A152" s="108"/>
      <c r="B152" s="3" t="s">
        <v>169</v>
      </c>
      <c r="C152" s="5" t="s">
        <v>155</v>
      </c>
      <c r="D152" s="3" t="s">
        <v>682</v>
      </c>
      <c r="E152" s="7" t="s">
        <v>481</v>
      </c>
      <c r="F152" s="3">
        <f>563.2/2</f>
        <v>281.60000000000002</v>
      </c>
      <c r="G152" s="8">
        <f>F152/SUM(F$145:F$152)</f>
        <v>0.35429182524455072</v>
      </c>
    </row>
    <row r="153" spans="1:8">
      <c r="A153" s="108"/>
      <c r="B153" s="3" t="s">
        <v>170</v>
      </c>
      <c r="C153" s="5" t="s">
        <v>169</v>
      </c>
      <c r="D153" s="6"/>
      <c r="E153" s="7" t="s">
        <v>482</v>
      </c>
    </row>
    <row r="154" spans="1:8">
      <c r="A154" s="108"/>
      <c r="B154" s="3" t="s">
        <v>171</v>
      </c>
      <c r="C154" s="5" t="s">
        <v>170</v>
      </c>
      <c r="D154" s="6"/>
      <c r="E154" s="7" t="s">
        <v>483</v>
      </c>
    </row>
    <row r="155" spans="1:8">
      <c r="A155" s="108"/>
      <c r="B155" s="3" t="s">
        <v>172</v>
      </c>
      <c r="C155" s="5" t="s">
        <v>160</v>
      </c>
      <c r="D155" s="6"/>
      <c r="E155" s="7" t="s">
        <v>484</v>
      </c>
    </row>
    <row r="156" spans="1:8">
      <c r="A156" s="108"/>
      <c r="B156" s="3" t="s">
        <v>173</v>
      </c>
      <c r="C156" s="5" t="s">
        <v>157</v>
      </c>
      <c r="D156" s="6"/>
      <c r="E156" s="7" t="s">
        <v>485</v>
      </c>
    </row>
    <row r="157" spans="1:8">
      <c r="A157" s="108"/>
      <c r="B157" s="3" t="s">
        <v>174</v>
      </c>
      <c r="C157" s="5" t="s">
        <v>165</v>
      </c>
      <c r="D157" s="6"/>
      <c r="E157" s="7" t="s">
        <v>486</v>
      </c>
    </row>
    <row r="158" spans="1:8">
      <c r="A158" s="108"/>
      <c r="B158" s="3" t="s">
        <v>175</v>
      </c>
      <c r="C158" s="5" t="s">
        <v>168</v>
      </c>
      <c r="D158" s="6"/>
      <c r="E158" s="7" t="s">
        <v>487</v>
      </c>
    </row>
    <row r="159" spans="1:8">
      <c r="A159" s="26" t="s">
        <v>624</v>
      </c>
      <c r="C159" s="5" t="s">
        <v>488</v>
      </c>
      <c r="D159" s="6"/>
      <c r="E159" s="7" t="s">
        <v>489</v>
      </c>
      <c r="G159" s="8">
        <v>1</v>
      </c>
      <c r="H159" s="3" t="s">
        <v>950</v>
      </c>
    </row>
    <row r="160" spans="1:8">
      <c r="A160" s="26" t="s">
        <v>14</v>
      </c>
      <c r="B160" s="3" t="s">
        <v>176</v>
      </c>
      <c r="C160" s="5" t="s">
        <v>176</v>
      </c>
      <c r="D160" s="6"/>
      <c r="E160" s="7" t="s">
        <v>490</v>
      </c>
      <c r="G160" s="8">
        <v>1</v>
      </c>
      <c r="H160" s="3" t="s">
        <v>950</v>
      </c>
    </row>
    <row r="161" spans="1:8">
      <c r="A161" s="108" t="s">
        <v>623</v>
      </c>
      <c r="B161" s="3" t="s">
        <v>491</v>
      </c>
      <c r="C161" s="5" t="s">
        <v>491</v>
      </c>
      <c r="D161" s="6"/>
      <c r="E161" s="7" t="s">
        <v>492</v>
      </c>
      <c r="G161" s="8">
        <v>0.5</v>
      </c>
      <c r="H161" s="3" t="s">
        <v>950</v>
      </c>
    </row>
    <row r="162" spans="1:8">
      <c r="A162" s="108"/>
      <c r="B162" s="3" t="s">
        <v>493</v>
      </c>
      <c r="C162" s="5" t="s">
        <v>493</v>
      </c>
      <c r="D162" s="6"/>
      <c r="E162" s="7" t="s">
        <v>494</v>
      </c>
      <c r="G162" s="8">
        <v>0.5</v>
      </c>
      <c r="H162" s="3" t="s">
        <v>950</v>
      </c>
    </row>
    <row r="163" spans="1:8">
      <c r="A163" s="26" t="s">
        <v>15</v>
      </c>
      <c r="B163" s="3" t="s">
        <v>177</v>
      </c>
      <c r="C163" s="5" t="s">
        <v>177</v>
      </c>
      <c r="D163" s="6"/>
      <c r="E163" s="7" t="s">
        <v>15</v>
      </c>
      <c r="G163" s="8">
        <v>1</v>
      </c>
      <c r="H163" s="3" t="s">
        <v>950</v>
      </c>
    </row>
    <row r="164" spans="1:8">
      <c r="A164" s="108" t="s">
        <v>16</v>
      </c>
      <c r="B164" s="3" t="s">
        <v>178</v>
      </c>
      <c r="C164" s="5" t="s">
        <v>182</v>
      </c>
      <c r="D164" s="6"/>
      <c r="E164" s="7" t="s">
        <v>495</v>
      </c>
    </row>
    <row r="165" spans="1:8">
      <c r="A165" s="108"/>
      <c r="B165" s="3" t="s">
        <v>179</v>
      </c>
      <c r="C165" s="5" t="s">
        <v>181</v>
      </c>
      <c r="D165" s="6"/>
      <c r="E165" s="7" t="s">
        <v>496</v>
      </c>
    </row>
    <row r="166" spans="1:8">
      <c r="A166" s="108"/>
      <c r="B166" s="3" t="s">
        <v>180</v>
      </c>
      <c r="C166" s="5" t="s">
        <v>180</v>
      </c>
      <c r="D166" s="6"/>
      <c r="E166" s="7" t="s">
        <v>497</v>
      </c>
    </row>
    <row r="167" spans="1:8">
      <c r="A167" s="108"/>
      <c r="B167" s="3" t="s">
        <v>181</v>
      </c>
      <c r="C167" s="5" t="s">
        <v>179</v>
      </c>
      <c r="D167" s="6"/>
      <c r="E167" s="7" t="s">
        <v>498</v>
      </c>
    </row>
    <row r="168" spans="1:8">
      <c r="A168" s="108"/>
      <c r="B168" s="3" t="s">
        <v>182</v>
      </c>
      <c r="C168" s="5" t="s">
        <v>184</v>
      </c>
      <c r="D168" s="6"/>
      <c r="E168" s="7" t="s">
        <v>499</v>
      </c>
    </row>
    <row r="169" spans="1:8">
      <c r="A169" s="108"/>
      <c r="B169" s="3" t="s">
        <v>183</v>
      </c>
      <c r="C169" s="5" t="s">
        <v>183</v>
      </c>
      <c r="D169" s="3" t="s">
        <v>683</v>
      </c>
      <c r="E169" s="7" t="s">
        <v>500</v>
      </c>
      <c r="F169" s="3">
        <f>665000/2</f>
        <v>332500</v>
      </c>
      <c r="G169" s="8">
        <v>1</v>
      </c>
    </row>
    <row r="170" spans="1:8">
      <c r="A170" s="108"/>
      <c r="B170" s="3" t="s">
        <v>184</v>
      </c>
      <c r="C170" s="5" t="s">
        <v>178</v>
      </c>
      <c r="D170" s="6"/>
      <c r="E170" s="7" t="s">
        <v>501</v>
      </c>
    </row>
    <row r="171" spans="1:8">
      <c r="A171" s="108"/>
      <c r="B171" s="3" t="s">
        <v>185</v>
      </c>
      <c r="C171" s="5" t="s">
        <v>185</v>
      </c>
      <c r="D171" s="6"/>
      <c r="E171" s="7" t="s">
        <v>502</v>
      </c>
    </row>
    <row r="172" spans="1:8">
      <c r="A172" s="26" t="s">
        <v>504</v>
      </c>
      <c r="C172" s="5" t="s">
        <v>503</v>
      </c>
      <c r="D172" s="6"/>
      <c r="E172" s="7" t="s">
        <v>504</v>
      </c>
      <c r="G172" s="8">
        <v>1</v>
      </c>
      <c r="H172" s="3" t="s">
        <v>950</v>
      </c>
    </row>
    <row r="173" spans="1:8">
      <c r="A173" s="108" t="s">
        <v>17</v>
      </c>
      <c r="B173" s="3" t="s">
        <v>186</v>
      </c>
      <c r="C173" s="5" t="s">
        <v>193</v>
      </c>
      <c r="D173" s="6"/>
      <c r="E173" s="7" t="s">
        <v>505</v>
      </c>
    </row>
    <row r="174" spans="1:8">
      <c r="A174" s="108"/>
      <c r="B174" s="3" t="s">
        <v>187</v>
      </c>
      <c r="C174" s="5" t="s">
        <v>195</v>
      </c>
      <c r="D174" s="6"/>
      <c r="E174" s="7" t="s">
        <v>506</v>
      </c>
    </row>
    <row r="175" spans="1:8">
      <c r="A175" s="108"/>
      <c r="B175" s="3" t="s">
        <v>188</v>
      </c>
      <c r="C175" s="5" t="s">
        <v>197</v>
      </c>
      <c r="D175" s="6"/>
      <c r="E175" s="7" t="s">
        <v>507</v>
      </c>
    </row>
    <row r="176" spans="1:8">
      <c r="A176" s="108"/>
      <c r="B176" s="3" t="s">
        <v>189</v>
      </c>
      <c r="C176" s="5" t="s">
        <v>188</v>
      </c>
      <c r="D176" s="6"/>
      <c r="E176" s="7" t="s">
        <v>508</v>
      </c>
    </row>
    <row r="177" spans="1:7">
      <c r="A177" s="108"/>
      <c r="B177" s="3" t="s">
        <v>190</v>
      </c>
      <c r="C177" s="5" t="s">
        <v>194</v>
      </c>
      <c r="D177" s="6"/>
      <c r="E177" s="7" t="s">
        <v>509</v>
      </c>
    </row>
    <row r="178" spans="1:7">
      <c r="A178" s="108"/>
      <c r="B178" s="3" t="s">
        <v>191</v>
      </c>
      <c r="C178" s="5" t="s">
        <v>196</v>
      </c>
      <c r="D178" s="6"/>
      <c r="E178" s="7" t="s">
        <v>510</v>
      </c>
    </row>
    <row r="179" spans="1:7">
      <c r="A179" s="108"/>
      <c r="B179" s="3" t="s">
        <v>192</v>
      </c>
      <c r="C179" s="5" t="s">
        <v>190</v>
      </c>
      <c r="D179" s="6"/>
      <c r="E179" s="7" t="s">
        <v>511</v>
      </c>
    </row>
    <row r="180" spans="1:7">
      <c r="A180" s="108"/>
      <c r="B180" s="3" t="s">
        <v>193</v>
      </c>
      <c r="C180" s="5" t="s">
        <v>189</v>
      </c>
      <c r="D180" s="6"/>
      <c r="E180" s="7" t="s">
        <v>512</v>
      </c>
    </row>
    <row r="181" spans="1:7">
      <c r="A181" s="108"/>
      <c r="B181" s="3" t="s">
        <v>194</v>
      </c>
      <c r="C181" s="5" t="s">
        <v>186</v>
      </c>
      <c r="D181" s="6"/>
      <c r="E181" s="7" t="s">
        <v>513</v>
      </c>
    </row>
    <row r="182" spans="1:7">
      <c r="A182" s="108"/>
      <c r="B182" s="3" t="s">
        <v>195</v>
      </c>
      <c r="C182" s="5" t="s">
        <v>187</v>
      </c>
      <c r="D182" s="3" t="s">
        <v>679</v>
      </c>
      <c r="E182" s="7" t="s">
        <v>514</v>
      </c>
      <c r="F182" s="3">
        <f>1825/2</f>
        <v>912.5</v>
      </c>
      <c r="G182" s="8">
        <f>F182/SUM(F$182:F$184)</f>
        <v>0.4466470876162506</v>
      </c>
    </row>
    <row r="183" spans="1:7">
      <c r="A183" s="108"/>
      <c r="B183" s="3" t="s">
        <v>196</v>
      </c>
      <c r="C183" s="5" t="s">
        <v>191</v>
      </c>
      <c r="D183" s="3" t="s">
        <v>678</v>
      </c>
      <c r="E183" s="7" t="s">
        <v>515</v>
      </c>
      <c r="F183" s="3">
        <f>910/2</f>
        <v>455</v>
      </c>
      <c r="G183" s="8">
        <f t="shared" ref="G183:G184" si="7">F183/SUM(F$182:F$184)</f>
        <v>0.22271169848262359</v>
      </c>
    </row>
    <row r="184" spans="1:7">
      <c r="A184" s="108"/>
      <c r="B184" s="3" t="s">
        <v>197</v>
      </c>
      <c r="C184" s="5" t="s">
        <v>192</v>
      </c>
      <c r="D184" s="3" t="s">
        <v>677</v>
      </c>
      <c r="E184" s="7" t="s">
        <v>516</v>
      </c>
      <c r="F184" s="3">
        <f>1351/2</f>
        <v>675.5</v>
      </c>
      <c r="G184" s="8">
        <f t="shared" si="7"/>
        <v>0.33064121390112577</v>
      </c>
    </row>
    <row r="185" spans="1:7">
      <c r="A185" s="108" t="s">
        <v>18</v>
      </c>
      <c r="B185" s="3" t="s">
        <v>198</v>
      </c>
      <c r="C185" s="5" t="s">
        <v>206</v>
      </c>
      <c r="D185" s="6"/>
      <c r="E185" s="7" t="s">
        <v>517</v>
      </c>
    </row>
    <row r="186" spans="1:7">
      <c r="A186" s="108"/>
      <c r="B186" s="3" t="s">
        <v>199</v>
      </c>
      <c r="C186" s="5" t="s">
        <v>204</v>
      </c>
      <c r="D186" s="6" t="s">
        <v>662</v>
      </c>
      <c r="E186" s="7" t="s">
        <v>518</v>
      </c>
      <c r="F186" s="3">
        <f>500/2</f>
        <v>250</v>
      </c>
      <c r="G186" s="8">
        <v>1</v>
      </c>
    </row>
    <row r="187" spans="1:7">
      <c r="A187" s="108"/>
      <c r="B187" s="3" t="s">
        <v>200</v>
      </c>
      <c r="C187" s="5" t="s">
        <v>203</v>
      </c>
      <c r="D187" s="6"/>
      <c r="E187" s="7" t="s">
        <v>519</v>
      </c>
    </row>
    <row r="188" spans="1:7">
      <c r="A188" s="108"/>
      <c r="B188" s="3" t="s">
        <v>201</v>
      </c>
      <c r="C188" s="5" t="s">
        <v>205</v>
      </c>
      <c r="D188" s="6"/>
      <c r="E188" s="7" t="s">
        <v>520</v>
      </c>
    </row>
    <row r="189" spans="1:7">
      <c r="A189" s="108"/>
      <c r="B189" s="3" t="s">
        <v>202</v>
      </c>
      <c r="C189" s="5" t="s">
        <v>200</v>
      </c>
      <c r="D189" s="6"/>
      <c r="E189" s="7" t="s">
        <v>521</v>
      </c>
    </row>
    <row r="190" spans="1:7">
      <c r="A190" s="108"/>
      <c r="B190" s="3" t="s">
        <v>203</v>
      </c>
      <c r="C190" s="5" t="s">
        <v>202</v>
      </c>
      <c r="D190" s="6"/>
      <c r="E190" s="7" t="s">
        <v>522</v>
      </c>
    </row>
    <row r="191" spans="1:7">
      <c r="A191" s="108"/>
      <c r="B191" s="3" t="s">
        <v>204</v>
      </c>
      <c r="C191" s="5" t="s">
        <v>201</v>
      </c>
      <c r="D191" s="6"/>
      <c r="E191" s="7" t="s">
        <v>523</v>
      </c>
    </row>
    <row r="192" spans="1:7">
      <c r="A192" s="108"/>
      <c r="B192" s="3" t="s">
        <v>205</v>
      </c>
      <c r="C192" s="5" t="s">
        <v>199</v>
      </c>
      <c r="D192" s="6"/>
      <c r="E192" s="7" t="s">
        <v>524</v>
      </c>
    </row>
    <row r="193" spans="1:5">
      <c r="A193" s="108"/>
      <c r="B193" s="3" t="s">
        <v>206</v>
      </c>
      <c r="C193" s="5" t="s">
        <v>198</v>
      </c>
      <c r="D193" s="6"/>
      <c r="E193" s="7" t="s">
        <v>525</v>
      </c>
    </row>
    <row r="194" spans="1:5">
      <c r="A194" s="108" t="s">
        <v>19</v>
      </c>
      <c r="B194" s="3" t="s">
        <v>207</v>
      </c>
      <c r="C194" s="5" t="s">
        <v>219</v>
      </c>
      <c r="D194" s="6"/>
      <c r="E194" s="7" t="s">
        <v>526</v>
      </c>
    </row>
    <row r="195" spans="1:5">
      <c r="A195" s="108"/>
      <c r="B195" s="3" t="s">
        <v>208</v>
      </c>
      <c r="C195" s="5" t="s">
        <v>210</v>
      </c>
      <c r="D195" s="6"/>
      <c r="E195" s="7" t="s">
        <v>527</v>
      </c>
    </row>
    <row r="196" spans="1:5">
      <c r="A196" s="108"/>
      <c r="B196" s="3" t="s">
        <v>209</v>
      </c>
      <c r="C196" s="5" t="s">
        <v>221</v>
      </c>
      <c r="D196" s="6"/>
      <c r="E196" s="7" t="s">
        <v>528</v>
      </c>
    </row>
    <row r="197" spans="1:5">
      <c r="A197" s="108"/>
      <c r="B197" s="3" t="s">
        <v>210</v>
      </c>
      <c r="C197" s="5" t="s">
        <v>207</v>
      </c>
      <c r="D197" s="6"/>
      <c r="E197" s="7" t="s">
        <v>529</v>
      </c>
    </row>
    <row r="198" spans="1:5">
      <c r="A198" s="108"/>
      <c r="B198" s="3" t="s">
        <v>211</v>
      </c>
      <c r="C198" s="5" t="s">
        <v>216</v>
      </c>
      <c r="D198" s="6"/>
      <c r="E198" s="7" t="s">
        <v>530</v>
      </c>
    </row>
    <row r="199" spans="1:5">
      <c r="A199" s="108"/>
      <c r="B199" s="3" t="s">
        <v>212</v>
      </c>
      <c r="C199" s="5" t="s">
        <v>218</v>
      </c>
      <c r="D199" s="6"/>
      <c r="E199" s="7" t="s">
        <v>531</v>
      </c>
    </row>
    <row r="200" spans="1:5">
      <c r="A200" s="108"/>
      <c r="B200" s="3" t="s">
        <v>213</v>
      </c>
      <c r="C200" s="5" t="s">
        <v>213</v>
      </c>
      <c r="D200" s="6"/>
      <c r="E200" s="7" t="s">
        <v>532</v>
      </c>
    </row>
    <row r="201" spans="1:5">
      <c r="A201" s="108"/>
      <c r="B201" s="3" t="s">
        <v>214</v>
      </c>
      <c r="C201" s="5" t="s">
        <v>220</v>
      </c>
      <c r="D201" s="6"/>
      <c r="E201" s="7" t="s">
        <v>533</v>
      </c>
    </row>
    <row r="202" spans="1:5">
      <c r="A202" s="108"/>
      <c r="B202" s="3" t="s">
        <v>215</v>
      </c>
      <c r="C202" s="5" t="s">
        <v>208</v>
      </c>
      <c r="D202" s="6"/>
      <c r="E202" s="7" t="s">
        <v>534</v>
      </c>
    </row>
    <row r="203" spans="1:5">
      <c r="A203" s="108"/>
      <c r="B203" s="3" t="s">
        <v>216</v>
      </c>
      <c r="C203" s="5" t="s">
        <v>211</v>
      </c>
      <c r="D203" s="6"/>
      <c r="E203" s="7" t="s">
        <v>535</v>
      </c>
    </row>
    <row r="204" spans="1:5">
      <c r="A204" s="108"/>
      <c r="B204" s="3" t="s">
        <v>217</v>
      </c>
      <c r="C204" s="5" t="s">
        <v>223</v>
      </c>
      <c r="D204" s="6"/>
      <c r="E204" s="7" t="s">
        <v>536</v>
      </c>
    </row>
    <row r="205" spans="1:5">
      <c r="A205" s="108"/>
      <c r="B205" s="3" t="s">
        <v>218</v>
      </c>
      <c r="C205" s="5" t="s">
        <v>222</v>
      </c>
      <c r="D205" s="6"/>
      <c r="E205" s="7" t="s">
        <v>537</v>
      </c>
    </row>
    <row r="206" spans="1:5">
      <c r="A206" s="108"/>
      <c r="B206" s="3" t="s">
        <v>219</v>
      </c>
      <c r="C206" s="5" t="s">
        <v>217</v>
      </c>
      <c r="D206" s="6"/>
      <c r="E206" s="7" t="s">
        <v>538</v>
      </c>
    </row>
    <row r="207" spans="1:5">
      <c r="A207" s="108"/>
      <c r="B207" s="3" t="s">
        <v>220</v>
      </c>
      <c r="C207" s="5" t="s">
        <v>209</v>
      </c>
      <c r="D207" s="6"/>
      <c r="E207" s="7" t="s">
        <v>539</v>
      </c>
    </row>
    <row r="208" spans="1:5">
      <c r="A208" s="108"/>
      <c r="B208" s="3" t="s">
        <v>221</v>
      </c>
      <c r="C208" s="5" t="s">
        <v>212</v>
      </c>
      <c r="D208" s="6"/>
      <c r="E208" s="7" t="s">
        <v>540</v>
      </c>
    </row>
    <row r="209" spans="1:8">
      <c r="A209" s="108"/>
      <c r="B209" s="3" t="s">
        <v>222</v>
      </c>
      <c r="C209" s="5" t="s">
        <v>214</v>
      </c>
      <c r="D209" s="6"/>
      <c r="E209" s="7" t="s">
        <v>541</v>
      </c>
    </row>
    <row r="210" spans="1:8">
      <c r="A210" s="108"/>
      <c r="B210" s="3" t="s">
        <v>223</v>
      </c>
      <c r="C210" s="5" t="s">
        <v>215</v>
      </c>
      <c r="D210" s="3" t="s">
        <v>676</v>
      </c>
      <c r="E210" s="7" t="s">
        <v>542</v>
      </c>
      <c r="F210" s="3">
        <f>700/2</f>
        <v>350</v>
      </c>
      <c r="G210" s="8">
        <v>1</v>
      </c>
    </row>
    <row r="211" spans="1:8">
      <c r="A211" s="108" t="s">
        <v>20</v>
      </c>
      <c r="B211" s="3" t="s">
        <v>224</v>
      </c>
      <c r="C211" s="5" t="s">
        <v>226</v>
      </c>
      <c r="D211" s="6"/>
      <c r="E211" s="7" t="s">
        <v>543</v>
      </c>
    </row>
    <row r="212" spans="1:8">
      <c r="A212" s="108"/>
      <c r="B212" s="3" t="s">
        <v>225</v>
      </c>
      <c r="C212" s="5" t="s">
        <v>225</v>
      </c>
      <c r="D212" s="6"/>
      <c r="E212" s="7" t="s">
        <v>544</v>
      </c>
    </row>
    <row r="213" spans="1:8">
      <c r="A213" s="108"/>
      <c r="B213" s="3" t="s">
        <v>226</v>
      </c>
      <c r="C213" s="5" t="s">
        <v>228</v>
      </c>
      <c r="D213" s="6"/>
      <c r="E213" s="7" t="s">
        <v>545</v>
      </c>
    </row>
    <row r="214" spans="1:8">
      <c r="A214" s="108"/>
      <c r="B214" s="3" t="s">
        <v>227</v>
      </c>
      <c r="C214" s="5" t="s">
        <v>224</v>
      </c>
      <c r="D214" s="6"/>
      <c r="E214" s="7" t="s">
        <v>546</v>
      </c>
    </row>
    <row r="215" spans="1:8">
      <c r="A215" s="108"/>
      <c r="B215" s="3" t="s">
        <v>228</v>
      </c>
      <c r="C215" s="5" t="s">
        <v>227</v>
      </c>
      <c r="D215" s="3" t="s">
        <v>675</v>
      </c>
      <c r="E215" s="7" t="s">
        <v>547</v>
      </c>
      <c r="F215" s="3">
        <f>1000/2</f>
        <v>500</v>
      </c>
      <c r="G215" s="8">
        <v>1</v>
      </c>
    </row>
    <row r="216" spans="1:8">
      <c r="A216" s="108"/>
      <c r="C216" s="5" t="s">
        <v>548</v>
      </c>
      <c r="D216" s="6"/>
      <c r="E216" s="7" t="s">
        <v>549</v>
      </c>
    </row>
    <row r="217" spans="1:8">
      <c r="A217" s="108"/>
      <c r="C217" s="5" t="s">
        <v>550</v>
      </c>
      <c r="D217" s="6"/>
      <c r="E217" s="7" t="s">
        <v>551</v>
      </c>
    </row>
    <row r="218" spans="1:8">
      <c r="A218" s="108" t="s">
        <v>21</v>
      </c>
      <c r="B218" s="3" t="s">
        <v>229</v>
      </c>
      <c r="C218" s="5" t="s">
        <v>231</v>
      </c>
      <c r="D218" s="6"/>
      <c r="E218" s="7" t="s">
        <v>552</v>
      </c>
      <c r="G218" s="8">
        <f>1/ROWS(C218:C225)</f>
        <v>0.125</v>
      </c>
      <c r="H218" s="3" t="s">
        <v>950</v>
      </c>
    </row>
    <row r="219" spans="1:8">
      <c r="A219" s="108"/>
      <c r="B219" s="3" t="s">
        <v>230</v>
      </c>
      <c r="C219" s="5" t="s">
        <v>236</v>
      </c>
      <c r="D219" s="6"/>
      <c r="E219" s="7" t="s">
        <v>553</v>
      </c>
      <c r="G219" s="8">
        <f>1/ROWS(C219:C226)</f>
        <v>0.125</v>
      </c>
      <c r="H219" s="3" t="s">
        <v>950</v>
      </c>
    </row>
    <row r="220" spans="1:8">
      <c r="A220" s="108"/>
      <c r="B220" s="3" t="s">
        <v>231</v>
      </c>
      <c r="C220" s="5" t="s">
        <v>232</v>
      </c>
      <c r="D220" s="6"/>
      <c r="E220" s="7" t="s">
        <v>554</v>
      </c>
      <c r="G220" s="8">
        <f t="shared" ref="G220:G225" si="8">1/ROWS(C220:C227)</f>
        <v>0.125</v>
      </c>
      <c r="H220" s="3" t="s">
        <v>950</v>
      </c>
    </row>
    <row r="221" spans="1:8">
      <c r="A221" s="108"/>
      <c r="B221" s="3" t="s">
        <v>232</v>
      </c>
      <c r="C221" s="5" t="s">
        <v>230</v>
      </c>
      <c r="D221" s="6"/>
      <c r="E221" s="7" t="s">
        <v>555</v>
      </c>
      <c r="G221" s="8">
        <f t="shared" si="8"/>
        <v>0.125</v>
      </c>
      <c r="H221" s="3" t="s">
        <v>950</v>
      </c>
    </row>
    <row r="222" spans="1:8">
      <c r="A222" s="108"/>
      <c r="B222" s="3" t="s">
        <v>233</v>
      </c>
      <c r="C222" s="5" t="s">
        <v>234</v>
      </c>
      <c r="D222" s="6"/>
      <c r="E222" s="7" t="s">
        <v>556</v>
      </c>
      <c r="G222" s="8">
        <f t="shared" si="8"/>
        <v>0.125</v>
      </c>
      <c r="H222" s="3" t="s">
        <v>950</v>
      </c>
    </row>
    <row r="223" spans="1:8">
      <c r="A223" s="108"/>
      <c r="B223" s="3" t="s">
        <v>234</v>
      </c>
      <c r="C223" s="5" t="s">
        <v>233</v>
      </c>
      <c r="D223" s="6"/>
      <c r="E223" s="7" t="s">
        <v>557</v>
      </c>
      <c r="G223" s="8">
        <f t="shared" si="8"/>
        <v>0.125</v>
      </c>
      <c r="H223" s="3" t="s">
        <v>950</v>
      </c>
    </row>
    <row r="224" spans="1:8">
      <c r="A224" s="108"/>
      <c r="B224" s="3" t="s">
        <v>235</v>
      </c>
      <c r="C224" s="5" t="s">
        <v>229</v>
      </c>
      <c r="D224" s="6"/>
      <c r="E224" s="7" t="s">
        <v>558</v>
      </c>
      <c r="G224" s="8">
        <f t="shared" si="8"/>
        <v>0.125</v>
      </c>
      <c r="H224" s="3" t="s">
        <v>950</v>
      </c>
    </row>
    <row r="225" spans="1:8">
      <c r="A225" s="108"/>
      <c r="B225" s="3" t="s">
        <v>236</v>
      </c>
      <c r="C225" s="5" t="s">
        <v>235</v>
      </c>
      <c r="D225" s="6"/>
      <c r="E225" s="7" t="s">
        <v>559</v>
      </c>
      <c r="G225" s="8">
        <f t="shared" si="8"/>
        <v>0.125</v>
      </c>
      <c r="H225" s="3" t="s">
        <v>950</v>
      </c>
    </row>
    <row r="226" spans="1:8">
      <c r="A226" s="108" t="s">
        <v>22</v>
      </c>
      <c r="B226" s="3" t="s">
        <v>237</v>
      </c>
      <c r="C226" s="5" t="s">
        <v>237</v>
      </c>
      <c r="D226" s="6"/>
      <c r="E226" s="7" t="s">
        <v>560</v>
      </c>
      <c r="G226" s="8">
        <f>1/ROWS(C226:C227)</f>
        <v>0.5</v>
      </c>
      <c r="H226" s="3" t="s">
        <v>950</v>
      </c>
    </row>
    <row r="227" spans="1:8">
      <c r="A227" s="108"/>
      <c r="B227" s="3" t="s">
        <v>238</v>
      </c>
      <c r="C227" s="5" t="s">
        <v>238</v>
      </c>
      <c r="D227" s="6"/>
      <c r="E227" s="7" t="s">
        <v>561</v>
      </c>
      <c r="G227" s="8">
        <f>1/ROWS(C227:C228)</f>
        <v>0.5</v>
      </c>
      <c r="H227" s="3" t="s">
        <v>950</v>
      </c>
    </row>
    <row r="228" spans="1:8">
      <c r="A228" s="108" t="s">
        <v>23</v>
      </c>
      <c r="B228" s="3" t="s">
        <v>239</v>
      </c>
      <c r="C228" s="5" t="s">
        <v>241</v>
      </c>
      <c r="D228" s="6" t="s">
        <v>674</v>
      </c>
      <c r="E228" s="7" t="s">
        <v>562</v>
      </c>
      <c r="F228" s="3">
        <f>220/2</f>
        <v>110</v>
      </c>
      <c r="G228" s="8">
        <v>1</v>
      </c>
    </row>
    <row r="229" spans="1:8">
      <c r="A229" s="108"/>
      <c r="B229" s="3" t="s">
        <v>240</v>
      </c>
      <c r="C229" s="5" t="s">
        <v>239</v>
      </c>
      <c r="D229" s="6"/>
      <c r="E229" s="7" t="s">
        <v>563</v>
      </c>
    </row>
    <row r="230" spans="1:8">
      <c r="A230" s="108"/>
      <c r="B230" s="3" t="s">
        <v>241</v>
      </c>
      <c r="C230" s="5" t="s">
        <v>242</v>
      </c>
      <c r="D230" s="6"/>
      <c r="E230" s="7" t="s">
        <v>564</v>
      </c>
    </row>
    <row r="231" spans="1:8">
      <c r="A231" s="108"/>
      <c r="B231" s="3" t="s">
        <v>242</v>
      </c>
      <c r="C231" s="5" t="s">
        <v>240</v>
      </c>
      <c r="D231" s="6"/>
      <c r="E231" s="7" t="s">
        <v>565</v>
      </c>
    </row>
    <row r="232" spans="1:8">
      <c r="A232" s="108" t="s">
        <v>24</v>
      </c>
      <c r="B232" s="3" t="s">
        <v>243</v>
      </c>
      <c r="C232" s="5" t="s">
        <v>243</v>
      </c>
      <c r="D232" s="6"/>
      <c r="E232" s="7" t="s">
        <v>566</v>
      </c>
    </row>
    <row r="233" spans="1:8">
      <c r="A233" s="108"/>
      <c r="B233" s="3" t="s">
        <v>244</v>
      </c>
      <c r="C233" s="5" t="s">
        <v>245</v>
      </c>
      <c r="D233" s="6" t="s">
        <v>663</v>
      </c>
      <c r="E233" s="7" t="s">
        <v>567</v>
      </c>
      <c r="F233" s="3">
        <f>420/2</f>
        <v>210</v>
      </c>
      <c r="G233" s="8">
        <v>1</v>
      </c>
    </row>
    <row r="234" spans="1:8">
      <c r="A234" s="108"/>
      <c r="B234" s="3" t="s">
        <v>245</v>
      </c>
      <c r="C234" s="5" t="s">
        <v>244</v>
      </c>
      <c r="D234" s="6"/>
      <c r="E234" s="7" t="s">
        <v>568</v>
      </c>
    </row>
    <row r="235" spans="1:8">
      <c r="A235" s="108"/>
      <c r="B235" s="3" t="s">
        <v>246</v>
      </c>
      <c r="C235" s="5" t="s">
        <v>246</v>
      </c>
      <c r="D235" s="6"/>
      <c r="E235" s="7" t="s">
        <v>569</v>
      </c>
    </row>
    <row r="236" spans="1:8">
      <c r="A236" s="108"/>
      <c r="C236" s="5" t="s">
        <v>570</v>
      </c>
      <c r="D236" s="6"/>
      <c r="E236" s="7" t="s">
        <v>571</v>
      </c>
    </row>
    <row r="237" spans="1:8">
      <c r="A237" s="108" t="s">
        <v>25</v>
      </c>
      <c r="B237" s="3" t="s">
        <v>247</v>
      </c>
      <c r="C237" s="5" t="s">
        <v>247</v>
      </c>
      <c r="D237" s="6"/>
      <c r="E237" s="7" t="s">
        <v>572</v>
      </c>
    </row>
    <row r="238" spans="1:8">
      <c r="A238" s="108"/>
      <c r="B238" s="3" t="s">
        <v>248</v>
      </c>
      <c r="C238" s="5" t="s">
        <v>248</v>
      </c>
      <c r="D238" s="6"/>
      <c r="E238" s="7" t="s">
        <v>573</v>
      </c>
    </row>
    <row r="239" spans="1:8">
      <c r="A239" s="108"/>
      <c r="B239" s="3" t="s">
        <v>249</v>
      </c>
      <c r="C239" s="5" t="s">
        <v>252</v>
      </c>
      <c r="D239" s="6"/>
      <c r="E239" s="7" t="s">
        <v>574</v>
      </c>
    </row>
    <row r="240" spans="1:8">
      <c r="A240" s="108"/>
      <c r="B240" s="3" t="s">
        <v>250</v>
      </c>
      <c r="C240" s="5" t="s">
        <v>254</v>
      </c>
      <c r="D240" s="6"/>
      <c r="E240" s="7" t="s">
        <v>575</v>
      </c>
    </row>
    <row r="241" spans="1:7">
      <c r="A241" s="108"/>
      <c r="B241" s="3" t="s">
        <v>251</v>
      </c>
      <c r="C241" s="5" t="s">
        <v>251</v>
      </c>
      <c r="D241" s="3" t="s">
        <v>670</v>
      </c>
      <c r="E241" s="7" t="s">
        <v>576</v>
      </c>
      <c r="F241" s="3">
        <f>625/2</f>
        <v>312.5</v>
      </c>
      <c r="G241" s="8">
        <v>1</v>
      </c>
    </row>
    <row r="242" spans="1:7">
      <c r="A242" s="108"/>
      <c r="B242" s="3" t="s">
        <v>252</v>
      </c>
      <c r="C242" s="5" t="s">
        <v>253</v>
      </c>
      <c r="D242" s="6"/>
      <c r="E242" s="7" t="s">
        <v>577</v>
      </c>
    </row>
    <row r="243" spans="1:7">
      <c r="A243" s="108"/>
      <c r="B243" s="3" t="s">
        <v>253</v>
      </c>
      <c r="C243" s="5" t="s">
        <v>250</v>
      </c>
      <c r="D243" s="6"/>
      <c r="E243" s="7" t="s">
        <v>578</v>
      </c>
    </row>
    <row r="244" spans="1:7">
      <c r="A244" s="108"/>
      <c r="B244" s="3" t="s">
        <v>254</v>
      </c>
      <c r="C244" s="5" t="s">
        <v>249</v>
      </c>
      <c r="D244" s="6"/>
      <c r="E244" s="7" t="s">
        <v>579</v>
      </c>
    </row>
    <row r="245" spans="1:7">
      <c r="A245" s="108" t="s">
        <v>26</v>
      </c>
      <c r="B245" s="3" t="s">
        <v>255</v>
      </c>
      <c r="C245" s="5" t="s">
        <v>294</v>
      </c>
      <c r="D245" s="3" t="s">
        <v>673</v>
      </c>
      <c r="E245" s="7" t="s">
        <v>580</v>
      </c>
      <c r="F245" s="3">
        <f>865/2</f>
        <v>432.5</v>
      </c>
      <c r="G245" s="8">
        <f>F245/(F245+F282)</f>
        <v>0.37044967880085655</v>
      </c>
    </row>
    <row r="246" spans="1:7">
      <c r="A246" s="108"/>
      <c r="B246" s="3" t="s">
        <v>256</v>
      </c>
      <c r="C246" s="5" t="s">
        <v>268</v>
      </c>
      <c r="D246" s="6"/>
      <c r="E246" s="7" t="s">
        <v>581</v>
      </c>
    </row>
    <row r="247" spans="1:7">
      <c r="A247" s="108"/>
      <c r="B247" s="3" t="s">
        <v>257</v>
      </c>
      <c r="C247" s="5" t="s">
        <v>280</v>
      </c>
      <c r="D247" s="6"/>
      <c r="E247" s="7" t="s">
        <v>582</v>
      </c>
    </row>
    <row r="248" spans="1:7">
      <c r="A248" s="108"/>
      <c r="B248" s="3" t="s">
        <v>258</v>
      </c>
      <c r="C248" s="5" t="s">
        <v>270</v>
      </c>
      <c r="D248" s="6"/>
      <c r="E248" s="7" t="s">
        <v>583</v>
      </c>
    </row>
    <row r="249" spans="1:7">
      <c r="A249" s="108"/>
      <c r="B249" s="3" t="s">
        <v>259</v>
      </c>
      <c r="C249" s="5" t="s">
        <v>285</v>
      </c>
      <c r="D249" s="6"/>
      <c r="E249" s="7" t="s">
        <v>584</v>
      </c>
    </row>
    <row r="250" spans="1:7">
      <c r="A250" s="108"/>
      <c r="B250" s="3" t="s">
        <v>260</v>
      </c>
      <c r="C250" s="5" t="s">
        <v>264</v>
      </c>
      <c r="D250" s="6"/>
      <c r="E250" s="7" t="s">
        <v>585</v>
      </c>
    </row>
    <row r="251" spans="1:7">
      <c r="A251" s="108"/>
      <c r="B251" s="3" t="s">
        <v>261</v>
      </c>
      <c r="C251" s="5" t="s">
        <v>269</v>
      </c>
      <c r="D251" s="6"/>
      <c r="E251" s="7" t="s">
        <v>586</v>
      </c>
    </row>
    <row r="252" spans="1:7" ht="30">
      <c r="A252" s="108"/>
      <c r="B252" s="3" t="s">
        <v>262</v>
      </c>
      <c r="C252" s="5" t="s">
        <v>277</v>
      </c>
      <c r="D252" s="6"/>
      <c r="E252" s="7" t="s">
        <v>587</v>
      </c>
    </row>
    <row r="253" spans="1:7">
      <c r="A253" s="108"/>
      <c r="B253" s="3" t="s">
        <v>263</v>
      </c>
      <c r="C253" s="5" t="s">
        <v>295</v>
      </c>
      <c r="D253" s="6"/>
      <c r="E253" s="7" t="s">
        <v>588</v>
      </c>
    </row>
    <row r="254" spans="1:7">
      <c r="A254" s="108"/>
      <c r="B254" s="3" t="s">
        <v>264</v>
      </c>
      <c r="C254" s="5" t="s">
        <v>266</v>
      </c>
      <c r="D254" s="6"/>
      <c r="E254" s="7" t="s">
        <v>589</v>
      </c>
    </row>
    <row r="255" spans="1:7">
      <c r="A255" s="108"/>
      <c r="B255" s="3" t="s">
        <v>265</v>
      </c>
      <c r="C255" s="5" t="s">
        <v>263</v>
      </c>
      <c r="D255" s="6"/>
      <c r="E255" s="7" t="s">
        <v>590</v>
      </c>
    </row>
    <row r="256" spans="1:7">
      <c r="A256" s="108"/>
      <c r="B256" s="3" t="s">
        <v>266</v>
      </c>
      <c r="C256" s="5" t="s">
        <v>279</v>
      </c>
      <c r="D256" s="6"/>
      <c r="E256" s="7" t="s">
        <v>591</v>
      </c>
    </row>
    <row r="257" spans="1:5" ht="30">
      <c r="A257" s="108"/>
      <c r="B257" s="3" t="s">
        <v>267</v>
      </c>
      <c r="C257" s="5" t="s">
        <v>272</v>
      </c>
      <c r="D257" s="6"/>
      <c r="E257" s="7" t="s">
        <v>592</v>
      </c>
    </row>
    <row r="258" spans="1:5">
      <c r="A258" s="108"/>
      <c r="B258" s="3" t="s">
        <v>268</v>
      </c>
      <c r="C258" s="5" t="s">
        <v>271</v>
      </c>
      <c r="D258" s="6"/>
      <c r="E258" s="7" t="s">
        <v>593</v>
      </c>
    </row>
    <row r="259" spans="1:5" ht="30">
      <c r="A259" s="108"/>
      <c r="B259" s="3" t="s">
        <v>269</v>
      </c>
      <c r="C259" s="5" t="s">
        <v>275</v>
      </c>
      <c r="D259" s="6"/>
      <c r="E259" s="7" t="s">
        <v>594</v>
      </c>
    </row>
    <row r="260" spans="1:5">
      <c r="A260" s="108"/>
      <c r="B260" s="3" t="s">
        <v>270</v>
      </c>
      <c r="C260" s="5" t="s">
        <v>267</v>
      </c>
      <c r="D260" s="6"/>
      <c r="E260" s="7" t="s">
        <v>595</v>
      </c>
    </row>
    <row r="261" spans="1:5">
      <c r="A261" s="108"/>
      <c r="B261" s="3" t="s">
        <v>271</v>
      </c>
      <c r="C261" s="5" t="s">
        <v>274</v>
      </c>
      <c r="D261" s="6"/>
      <c r="E261" s="7" t="s">
        <v>596</v>
      </c>
    </row>
    <row r="262" spans="1:5">
      <c r="A262" s="108"/>
      <c r="B262" s="3" t="s">
        <v>272</v>
      </c>
      <c r="C262" s="5" t="s">
        <v>282</v>
      </c>
      <c r="D262" s="6"/>
      <c r="E262" s="7" t="s">
        <v>597</v>
      </c>
    </row>
    <row r="263" spans="1:5">
      <c r="A263" s="108"/>
      <c r="B263" s="3" t="s">
        <v>273</v>
      </c>
      <c r="C263" s="5" t="s">
        <v>287</v>
      </c>
      <c r="D263" s="6"/>
      <c r="E263" s="7" t="s">
        <v>598</v>
      </c>
    </row>
    <row r="264" spans="1:5">
      <c r="A264" s="108"/>
      <c r="B264" s="3" t="s">
        <v>274</v>
      </c>
      <c r="C264" s="5" t="s">
        <v>265</v>
      </c>
      <c r="D264" s="6"/>
      <c r="E264" s="7" t="s">
        <v>599</v>
      </c>
    </row>
    <row r="265" spans="1:5">
      <c r="A265" s="108"/>
      <c r="B265" s="3" t="s">
        <v>275</v>
      </c>
      <c r="C265" s="5" t="s">
        <v>293</v>
      </c>
      <c r="D265" s="6"/>
      <c r="E265" s="7" t="s">
        <v>600</v>
      </c>
    </row>
    <row r="266" spans="1:5">
      <c r="A266" s="108"/>
      <c r="B266" s="3" t="s">
        <v>276</v>
      </c>
      <c r="C266" s="5" t="s">
        <v>292</v>
      </c>
      <c r="D266" s="6"/>
      <c r="E266" s="7" t="s">
        <v>601</v>
      </c>
    </row>
    <row r="267" spans="1:5">
      <c r="A267" s="108"/>
      <c r="B267" s="3" t="s">
        <v>277</v>
      </c>
      <c r="C267" s="5" t="s">
        <v>291</v>
      </c>
      <c r="D267" s="6"/>
      <c r="E267" s="7" t="s">
        <v>602</v>
      </c>
    </row>
    <row r="268" spans="1:5">
      <c r="A268" s="108"/>
      <c r="B268" s="3" t="s">
        <v>278</v>
      </c>
      <c r="C268" s="5" t="s">
        <v>290</v>
      </c>
      <c r="D268" s="6"/>
      <c r="E268" s="7" t="s">
        <v>603</v>
      </c>
    </row>
    <row r="269" spans="1:5" ht="30">
      <c r="A269" s="108"/>
      <c r="B269" s="3" t="s">
        <v>279</v>
      </c>
      <c r="C269" s="5" t="s">
        <v>289</v>
      </c>
      <c r="D269" s="6"/>
      <c r="E269" s="7" t="s">
        <v>604</v>
      </c>
    </row>
    <row r="270" spans="1:5" ht="30">
      <c r="A270" s="108"/>
      <c r="B270" s="3" t="s">
        <v>280</v>
      </c>
      <c r="C270" s="5" t="s">
        <v>286</v>
      </c>
      <c r="D270" s="6"/>
      <c r="E270" s="7" t="s">
        <v>605</v>
      </c>
    </row>
    <row r="271" spans="1:5">
      <c r="A271" s="108"/>
      <c r="B271" s="3" t="s">
        <v>281</v>
      </c>
      <c r="C271" s="5" t="s">
        <v>283</v>
      </c>
      <c r="D271" s="6"/>
      <c r="E271" s="7" t="s">
        <v>606</v>
      </c>
    </row>
    <row r="272" spans="1:5">
      <c r="A272" s="108"/>
      <c r="B272" s="3" t="s">
        <v>282</v>
      </c>
      <c r="C272" s="5" t="s">
        <v>276</v>
      </c>
      <c r="D272" s="6"/>
      <c r="E272" s="7" t="s">
        <v>607</v>
      </c>
    </row>
    <row r="273" spans="1:8">
      <c r="A273" s="108"/>
      <c r="B273" s="3" t="s">
        <v>283</v>
      </c>
      <c r="C273" s="5" t="s">
        <v>273</v>
      </c>
      <c r="D273" s="6"/>
      <c r="E273" s="7" t="s">
        <v>608</v>
      </c>
    </row>
    <row r="274" spans="1:8" ht="30">
      <c r="A274" s="108"/>
      <c r="B274" s="3" t="s">
        <v>284</v>
      </c>
      <c r="C274" s="5" t="s">
        <v>288</v>
      </c>
      <c r="D274" s="6"/>
      <c r="E274" s="7" t="s">
        <v>609</v>
      </c>
    </row>
    <row r="275" spans="1:8">
      <c r="A275" s="108"/>
      <c r="B275" s="3" t="s">
        <v>285</v>
      </c>
      <c r="C275" s="5" t="s">
        <v>284</v>
      </c>
      <c r="D275" s="6"/>
      <c r="E275" s="7" t="s">
        <v>610</v>
      </c>
    </row>
    <row r="276" spans="1:8">
      <c r="A276" s="108"/>
      <c r="B276" s="3" t="s">
        <v>286</v>
      </c>
      <c r="C276" s="5" t="s">
        <v>281</v>
      </c>
      <c r="D276" s="6"/>
      <c r="E276" s="7" t="s">
        <v>611</v>
      </c>
    </row>
    <row r="277" spans="1:8">
      <c r="A277" s="108"/>
      <c r="B277" s="3" t="s">
        <v>287</v>
      </c>
      <c r="C277" s="5" t="s">
        <v>278</v>
      </c>
      <c r="D277" s="6"/>
      <c r="E277" s="7" t="s">
        <v>612</v>
      </c>
    </row>
    <row r="278" spans="1:8">
      <c r="A278" s="108"/>
      <c r="B278" s="3" t="s">
        <v>288</v>
      </c>
      <c r="C278" s="5" t="s">
        <v>255</v>
      </c>
      <c r="D278" s="6"/>
      <c r="E278" s="7" t="s">
        <v>613</v>
      </c>
    </row>
    <row r="279" spans="1:8">
      <c r="A279" s="108"/>
      <c r="B279" s="3" t="s">
        <v>289</v>
      </c>
      <c r="C279" s="5" t="s">
        <v>256</v>
      </c>
      <c r="D279" s="6"/>
      <c r="E279" s="7" t="s">
        <v>614</v>
      </c>
    </row>
    <row r="280" spans="1:8">
      <c r="A280" s="108"/>
      <c r="B280" s="3" t="s">
        <v>290</v>
      </c>
      <c r="C280" s="5" t="s">
        <v>261</v>
      </c>
      <c r="D280" s="6"/>
      <c r="E280" s="7" t="s">
        <v>615</v>
      </c>
    </row>
    <row r="281" spans="1:8">
      <c r="A281" s="108"/>
      <c r="B281" s="3" t="s">
        <v>291</v>
      </c>
      <c r="C281" s="5" t="s">
        <v>259</v>
      </c>
      <c r="D281" s="6"/>
      <c r="E281" s="7" t="s">
        <v>616</v>
      </c>
    </row>
    <row r="282" spans="1:8" ht="30">
      <c r="A282" s="108"/>
      <c r="B282" s="3" t="s">
        <v>292</v>
      </c>
      <c r="C282" s="5" t="s">
        <v>260</v>
      </c>
      <c r="D282" s="25" t="s">
        <v>672</v>
      </c>
      <c r="E282" s="7" t="s">
        <v>617</v>
      </c>
      <c r="F282" s="3">
        <f>(700+770)/2</f>
        <v>735</v>
      </c>
      <c r="G282" s="8">
        <f>F282/(F282+F245)</f>
        <v>0.62955032119914345</v>
      </c>
    </row>
    <row r="283" spans="1:8">
      <c r="A283" s="108"/>
      <c r="B283" s="3" t="s">
        <v>293</v>
      </c>
      <c r="C283" s="5" t="s">
        <v>258</v>
      </c>
      <c r="D283" s="6"/>
      <c r="E283" s="7" t="s">
        <v>618</v>
      </c>
    </row>
    <row r="284" spans="1:8">
      <c r="A284" s="108"/>
      <c r="B284" s="3" t="s">
        <v>294</v>
      </c>
      <c r="C284" s="5" t="s">
        <v>257</v>
      </c>
      <c r="D284" s="6"/>
      <c r="E284" s="7" t="s">
        <v>619</v>
      </c>
    </row>
    <row r="285" spans="1:8">
      <c r="A285" s="108"/>
      <c r="B285" s="3" t="s">
        <v>295</v>
      </c>
      <c r="C285" s="5" t="s">
        <v>262</v>
      </c>
      <c r="D285" s="6"/>
      <c r="E285" s="7" t="s">
        <v>620</v>
      </c>
    </row>
    <row r="286" spans="1:8">
      <c r="A286" s="108" t="s">
        <v>27</v>
      </c>
      <c r="B286" s="3" t="s">
        <v>296</v>
      </c>
      <c r="C286" s="12" t="s">
        <v>298</v>
      </c>
      <c r="E286" s="11" t="s">
        <v>629</v>
      </c>
      <c r="G286" s="8">
        <f xml:space="preserve"> 1/ROWS(C286:C292)</f>
        <v>0.14285714285714285</v>
      </c>
      <c r="H286" s="3" t="s">
        <v>950</v>
      </c>
    </row>
    <row r="287" spans="1:8">
      <c r="A287" s="108"/>
      <c r="B287" s="3" t="s">
        <v>297</v>
      </c>
      <c r="C287" s="11" t="s">
        <v>297</v>
      </c>
      <c r="E287" s="11" t="s">
        <v>630</v>
      </c>
      <c r="G287" s="8">
        <f xml:space="preserve"> 1/ROWS(C286:C292)</f>
        <v>0.14285714285714285</v>
      </c>
      <c r="H287" s="3" t="s">
        <v>950</v>
      </c>
    </row>
    <row r="288" spans="1:8">
      <c r="A288" s="108"/>
      <c r="B288" s="3" t="s">
        <v>298</v>
      </c>
      <c r="C288" s="11" t="s">
        <v>299</v>
      </c>
      <c r="E288" s="11" t="s">
        <v>631</v>
      </c>
      <c r="G288" s="8">
        <f t="shared" ref="G288:G292" si="9" xml:space="preserve"> 1/ROWS(C287:C293)</f>
        <v>0.14285714285714285</v>
      </c>
      <c r="H288" s="3" t="s">
        <v>950</v>
      </c>
    </row>
    <row r="289" spans="1:8">
      <c r="A289" s="108"/>
      <c r="B289" s="3" t="s">
        <v>299</v>
      </c>
      <c r="C289" s="5" t="s">
        <v>625</v>
      </c>
      <c r="E289" s="11" t="s">
        <v>632</v>
      </c>
      <c r="G289" s="8">
        <f t="shared" si="9"/>
        <v>0.14285714285714285</v>
      </c>
      <c r="H289" s="3" t="s">
        <v>950</v>
      </c>
    </row>
    <row r="290" spans="1:8">
      <c r="A290" s="108"/>
      <c r="B290" s="3" t="s">
        <v>300</v>
      </c>
      <c r="C290" s="12" t="s">
        <v>626</v>
      </c>
      <c r="E290" s="11" t="s">
        <v>633</v>
      </c>
      <c r="G290" s="8">
        <f t="shared" si="9"/>
        <v>0.14285714285714285</v>
      </c>
      <c r="H290" s="3" t="s">
        <v>950</v>
      </c>
    </row>
    <row r="291" spans="1:8">
      <c r="A291" s="108"/>
      <c r="B291" s="3" t="s">
        <v>301</v>
      </c>
      <c r="C291" s="12" t="s">
        <v>627</v>
      </c>
      <c r="E291" s="11" t="s">
        <v>634</v>
      </c>
      <c r="G291" s="8">
        <f t="shared" si="9"/>
        <v>0.14285714285714285</v>
      </c>
      <c r="H291" s="3" t="s">
        <v>950</v>
      </c>
    </row>
    <row r="292" spans="1:8">
      <c r="A292" s="108"/>
      <c r="B292" s="3" t="s">
        <v>302</v>
      </c>
      <c r="C292" s="12" t="s">
        <v>628</v>
      </c>
      <c r="E292" s="11" t="s">
        <v>635</v>
      </c>
      <c r="G292" s="8">
        <f t="shared" si="9"/>
        <v>0.14285714285714285</v>
      </c>
      <c r="H292" s="3" t="s">
        <v>950</v>
      </c>
    </row>
    <row r="293" spans="1:8">
      <c r="A293" s="108"/>
      <c r="C293" s="12" t="s">
        <v>302</v>
      </c>
      <c r="E293" s="11"/>
      <c r="G293" s="8">
        <f>G289*1.3/2.3</f>
        <v>8.0745341614906846E-2</v>
      </c>
    </row>
    <row r="294" spans="1:8">
      <c r="A294" s="108"/>
      <c r="C294" s="12" t="s">
        <v>301</v>
      </c>
      <c r="E294" s="11"/>
      <c r="G294" s="8">
        <f>G289*1/2.3</f>
        <v>6.2111801242236024E-2</v>
      </c>
    </row>
    <row r="295" spans="1:8">
      <c r="A295" s="108"/>
      <c r="C295" s="12" t="s">
        <v>300</v>
      </c>
      <c r="E295" s="11"/>
      <c r="G295" s="8">
        <f>G290</f>
        <v>0.14285714285714285</v>
      </c>
    </row>
    <row r="296" spans="1:8">
      <c r="A296" s="108"/>
      <c r="C296" s="12" t="s">
        <v>296</v>
      </c>
      <c r="E296" s="11"/>
      <c r="G296" s="8">
        <f>G291</f>
        <v>0.14285714285714285</v>
      </c>
    </row>
    <row r="297" spans="1:8">
      <c r="A297" s="108" t="s">
        <v>636</v>
      </c>
      <c r="B297" s="3" t="s">
        <v>303</v>
      </c>
      <c r="C297" s="12" t="s">
        <v>305</v>
      </c>
      <c r="D297" s="13"/>
      <c r="E297" s="12" t="s">
        <v>637</v>
      </c>
      <c r="G297" s="8">
        <f t="shared" ref="G297:G303" si="10" xml:space="preserve"> 1/ROWS(C297:C303)</f>
        <v>0.14285714285714285</v>
      </c>
      <c r="H297" s="3" t="s">
        <v>950</v>
      </c>
    </row>
    <row r="298" spans="1:8">
      <c r="A298" s="108"/>
      <c r="B298" s="3" t="s">
        <v>304</v>
      </c>
      <c r="C298" s="12" t="s">
        <v>307</v>
      </c>
      <c r="D298" s="13"/>
      <c r="E298" s="12" t="s">
        <v>638</v>
      </c>
      <c r="G298" s="8">
        <f t="shared" si="10"/>
        <v>0.14285714285714285</v>
      </c>
      <c r="H298" s="3" t="s">
        <v>950</v>
      </c>
    </row>
    <row r="299" spans="1:8">
      <c r="A299" s="108"/>
      <c r="B299" s="3" t="s">
        <v>305</v>
      </c>
      <c r="C299" s="12" t="s">
        <v>309</v>
      </c>
      <c r="D299" s="13"/>
      <c r="E299" s="12" t="s">
        <v>639</v>
      </c>
      <c r="G299" s="8">
        <f t="shared" si="10"/>
        <v>0.14285714285714285</v>
      </c>
      <c r="H299" s="3" t="s">
        <v>950</v>
      </c>
    </row>
    <row r="300" spans="1:8">
      <c r="A300" s="108"/>
      <c r="B300" s="3" t="s">
        <v>306</v>
      </c>
      <c r="C300" s="12" t="s">
        <v>303</v>
      </c>
      <c r="D300" s="13"/>
      <c r="E300" s="12" t="s">
        <v>640</v>
      </c>
      <c r="G300" s="8">
        <f t="shared" si="10"/>
        <v>0.14285714285714285</v>
      </c>
      <c r="H300" s="3" t="s">
        <v>950</v>
      </c>
    </row>
    <row r="301" spans="1:8">
      <c r="A301" s="108"/>
      <c r="B301" s="3" t="s">
        <v>307</v>
      </c>
      <c r="C301" s="12" t="s">
        <v>308</v>
      </c>
      <c r="D301" s="13"/>
      <c r="E301" s="12" t="s">
        <v>641</v>
      </c>
      <c r="G301" s="8">
        <f t="shared" si="10"/>
        <v>0.14285714285714285</v>
      </c>
      <c r="H301" s="3" t="s">
        <v>950</v>
      </c>
    </row>
    <row r="302" spans="1:8">
      <c r="A302" s="108"/>
      <c r="B302" s="3" t="s">
        <v>308</v>
      </c>
      <c r="C302" s="12" t="s">
        <v>304</v>
      </c>
      <c r="D302" s="13"/>
      <c r="E302" s="12" t="s">
        <v>642</v>
      </c>
      <c r="G302" s="8">
        <f t="shared" si="10"/>
        <v>0.14285714285714285</v>
      </c>
      <c r="H302" s="3" t="s">
        <v>950</v>
      </c>
    </row>
    <row r="303" spans="1:8">
      <c r="A303" s="108"/>
      <c r="B303" s="3" t="s">
        <v>309</v>
      </c>
      <c r="C303" s="12" t="s">
        <v>306</v>
      </c>
      <c r="D303" s="13"/>
      <c r="E303" s="12" t="s">
        <v>643</v>
      </c>
      <c r="G303" s="8">
        <f t="shared" si="10"/>
        <v>0.14285714285714285</v>
      </c>
      <c r="H303" s="3" t="s">
        <v>950</v>
      </c>
    </row>
    <row r="304" spans="1:8">
      <c r="A304" s="26" t="s">
        <v>28</v>
      </c>
      <c r="B304" s="3" t="s">
        <v>310</v>
      </c>
      <c r="C304" s="28" t="s">
        <v>310</v>
      </c>
      <c r="D304" s="27"/>
      <c r="E304" s="28" t="s">
        <v>644</v>
      </c>
      <c r="G304" s="8">
        <v>1</v>
      </c>
      <c r="H304" s="3" t="s">
        <v>950</v>
      </c>
    </row>
    <row r="305" spans="1:8">
      <c r="A305" s="24" t="s">
        <v>29</v>
      </c>
      <c r="B305" s="3" t="s">
        <v>311</v>
      </c>
      <c r="C305" s="11" t="s">
        <v>311</v>
      </c>
      <c r="D305" s="7"/>
      <c r="E305" s="7" t="s">
        <v>645</v>
      </c>
      <c r="G305" s="8">
        <v>1</v>
      </c>
      <c r="H305" s="3" t="s">
        <v>950</v>
      </c>
    </row>
    <row r="306" spans="1:8">
      <c r="A306" s="108" t="s">
        <v>30</v>
      </c>
      <c r="B306" s="3" t="s">
        <v>35</v>
      </c>
      <c r="C306" s="11" t="s">
        <v>33</v>
      </c>
      <c r="D306" s="7"/>
      <c r="E306" s="11" t="s">
        <v>646</v>
      </c>
      <c r="G306" s="8">
        <f xml:space="preserve"> 1/ROWS(C306:C308)</f>
        <v>0.33333333333333331</v>
      </c>
      <c r="H306" s="3" t="s">
        <v>950</v>
      </c>
    </row>
    <row r="307" spans="1:8">
      <c r="A307" s="108"/>
      <c r="B307" s="3" t="s">
        <v>34</v>
      </c>
      <c r="C307" s="11" t="s">
        <v>34</v>
      </c>
      <c r="D307" s="7"/>
      <c r="E307" s="11" t="s">
        <v>647</v>
      </c>
      <c r="G307" s="8">
        <f t="shared" ref="G307:G308" si="11" xml:space="preserve"> 1/ROWS(C307:C309)</f>
        <v>0.33333333333333331</v>
      </c>
      <c r="H307" s="3" t="s">
        <v>950</v>
      </c>
    </row>
    <row r="308" spans="1:8">
      <c r="A308" s="108"/>
      <c r="B308" s="3" t="s">
        <v>33</v>
      </c>
      <c r="C308" s="11" t="s">
        <v>35</v>
      </c>
      <c r="D308" s="7"/>
      <c r="E308" s="11" t="s">
        <v>648</v>
      </c>
      <c r="G308" s="8">
        <f t="shared" si="11"/>
        <v>0.33333333333333331</v>
      </c>
      <c r="H308" s="3" t="s">
        <v>950</v>
      </c>
    </row>
    <row r="309" spans="1:8">
      <c r="A309" s="108" t="s">
        <v>31</v>
      </c>
      <c r="B309" s="3" t="s">
        <v>312</v>
      </c>
      <c r="C309" s="11" t="s">
        <v>315</v>
      </c>
      <c r="D309" s="7" t="s">
        <v>5014</v>
      </c>
      <c r="E309" s="11" t="s">
        <v>649</v>
      </c>
      <c r="F309" s="3">
        <v>200</v>
      </c>
      <c r="G309" s="8">
        <v>1</v>
      </c>
      <c r="H309" s="3" t="s">
        <v>950</v>
      </c>
    </row>
    <row r="310" spans="1:8">
      <c r="A310" s="108"/>
      <c r="B310" s="3" t="s">
        <v>313</v>
      </c>
      <c r="C310" s="11" t="s">
        <v>314</v>
      </c>
      <c r="D310" s="7"/>
      <c r="E310" s="11" t="s">
        <v>650</v>
      </c>
      <c r="G310" s="8">
        <v>0</v>
      </c>
      <c r="H310" s="3" t="s">
        <v>950</v>
      </c>
    </row>
    <row r="311" spans="1:8" ht="30">
      <c r="A311" s="108"/>
      <c r="B311" s="3" t="s">
        <v>314</v>
      </c>
      <c r="C311" s="11" t="s">
        <v>313</v>
      </c>
      <c r="D311" s="7"/>
      <c r="E311" s="7" t="s">
        <v>651</v>
      </c>
      <c r="G311" s="8">
        <v>0</v>
      </c>
      <c r="H311" s="3" t="s">
        <v>950</v>
      </c>
    </row>
    <row r="312" spans="1:8">
      <c r="A312" s="108"/>
      <c r="B312" s="3" t="s">
        <v>315</v>
      </c>
      <c r="C312" s="11" t="s">
        <v>312</v>
      </c>
      <c r="D312" s="7"/>
      <c r="E312" s="7" t="s">
        <v>652</v>
      </c>
      <c r="G312" s="8">
        <v>0</v>
      </c>
      <c r="H312" s="3" t="s">
        <v>950</v>
      </c>
    </row>
    <row r="313" spans="1:8">
      <c r="A313" s="26" t="s">
        <v>32</v>
      </c>
      <c r="B313" s="3" t="s">
        <v>5018</v>
      </c>
      <c r="C313" s="11" t="s">
        <v>5018</v>
      </c>
      <c r="G313" s="8">
        <v>1</v>
      </c>
      <c r="H313" s="3" t="s">
        <v>950</v>
      </c>
    </row>
    <row r="314" spans="1:8">
      <c r="A314" s="26" t="s">
        <v>654</v>
      </c>
      <c r="B314" s="3" t="s">
        <v>656</v>
      </c>
      <c r="C314" s="11" t="s">
        <v>656</v>
      </c>
      <c r="E314" s="3" t="s">
        <v>654</v>
      </c>
      <c r="G314" s="8">
        <v>1</v>
      </c>
      <c r="H314" s="3" t="s">
        <v>950</v>
      </c>
    </row>
    <row r="315" spans="1:8">
      <c r="A315" s="26" t="s">
        <v>2150</v>
      </c>
      <c r="C315" s="11" t="s">
        <v>655</v>
      </c>
      <c r="E315" s="3" t="s">
        <v>653</v>
      </c>
      <c r="G315" s="8">
        <v>1</v>
      </c>
      <c r="H315" s="3" t="s">
        <v>950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5"/>
  <sheetViews>
    <sheetView topLeftCell="A291" zoomScale="85" zoomScaleNormal="85" workbookViewId="0">
      <selection activeCell="F310" sqref="F310"/>
    </sheetView>
  </sheetViews>
  <sheetFormatPr baseColWidth="10" defaultColWidth="10.875" defaultRowHeight="15"/>
  <cols>
    <col min="1" max="1" width="19.625" style="3" bestFit="1" customWidth="1"/>
    <col min="2" max="2" width="13.625" style="3" hidden="1" customWidth="1"/>
    <col min="3" max="3" width="6.375" style="3" bestFit="1" customWidth="1"/>
    <col min="4" max="4" width="17" style="3" bestFit="1" customWidth="1"/>
    <col min="5" max="5" width="30" style="3" bestFit="1" customWidth="1"/>
    <col min="6" max="6" width="22.875" style="3" bestFit="1" customWidth="1"/>
    <col min="7" max="7" width="10.875" style="8" bestFit="1" customWidth="1"/>
    <col min="8" max="8" width="24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4">
      <c r="A1" s="22" t="s">
        <v>0</v>
      </c>
      <c r="B1" s="22" t="s">
        <v>657</v>
      </c>
      <c r="C1" s="22" t="s">
        <v>1</v>
      </c>
      <c r="D1" s="22" t="s">
        <v>2</v>
      </c>
      <c r="E1" s="22" t="s">
        <v>658</v>
      </c>
      <c r="F1" s="22" t="s">
        <v>696</v>
      </c>
      <c r="G1" s="23" t="s">
        <v>692</v>
      </c>
      <c r="H1" s="2"/>
      <c r="I1" s="2"/>
      <c r="J1" s="2"/>
    </row>
    <row r="2" spans="1:14" ht="30">
      <c r="A2" s="108" t="s">
        <v>3</v>
      </c>
      <c r="B2" s="3" t="s">
        <v>37</v>
      </c>
      <c r="C2" s="5" t="s">
        <v>36</v>
      </c>
      <c r="D2" s="6"/>
      <c r="E2" s="7" t="s">
        <v>621</v>
      </c>
      <c r="N2" s="4"/>
    </row>
    <row r="3" spans="1:14">
      <c r="A3" s="108"/>
      <c r="B3" s="3" t="s">
        <v>38</v>
      </c>
      <c r="C3" s="5" t="s">
        <v>46</v>
      </c>
      <c r="D3" s="6" t="s">
        <v>659</v>
      </c>
      <c r="E3" s="7" t="s">
        <v>316</v>
      </c>
      <c r="F3" s="3">
        <f>(1080+610+550)/2</f>
        <v>1120</v>
      </c>
      <c r="G3" s="8">
        <f>F3/(F3+F5)</f>
        <v>0.82352941176470584</v>
      </c>
      <c r="K3" s="4"/>
      <c r="L3" s="9"/>
      <c r="N3" s="4"/>
    </row>
    <row r="4" spans="1:14">
      <c r="A4" s="108"/>
      <c r="B4" s="3" t="s">
        <v>39</v>
      </c>
      <c r="C4" s="5" t="s">
        <v>40</v>
      </c>
      <c r="D4" s="6"/>
      <c r="E4" s="7" t="s">
        <v>317</v>
      </c>
      <c r="N4" s="4"/>
    </row>
    <row r="5" spans="1:14">
      <c r="A5" s="108"/>
      <c r="B5" s="3" t="s">
        <v>40</v>
      </c>
      <c r="C5" s="5" t="s">
        <v>44</v>
      </c>
      <c r="D5" s="6" t="s">
        <v>660</v>
      </c>
      <c r="E5" s="7" t="s">
        <v>318</v>
      </c>
      <c r="F5" s="3">
        <f>480/2</f>
        <v>240</v>
      </c>
      <c r="G5" s="8">
        <f>F5/(F3+F5)</f>
        <v>0.17647058823529413</v>
      </c>
      <c r="N5" s="4"/>
    </row>
    <row r="6" spans="1:14">
      <c r="A6" s="108"/>
      <c r="B6" s="3" t="s">
        <v>41</v>
      </c>
      <c r="C6" s="5" t="s">
        <v>45</v>
      </c>
      <c r="D6" s="6"/>
      <c r="E6" s="7" t="s">
        <v>319</v>
      </c>
      <c r="N6" s="4"/>
    </row>
    <row r="7" spans="1:14">
      <c r="A7" s="108"/>
      <c r="B7" s="3" t="s">
        <v>42</v>
      </c>
      <c r="C7" s="5" t="s">
        <v>37</v>
      </c>
      <c r="D7" s="6"/>
      <c r="E7" s="7" t="s">
        <v>320</v>
      </c>
      <c r="N7" s="4"/>
    </row>
    <row r="8" spans="1:14">
      <c r="A8" s="108"/>
      <c r="B8" s="3" t="s">
        <v>43</v>
      </c>
      <c r="C8" s="5" t="s">
        <v>43</v>
      </c>
      <c r="D8" s="6"/>
      <c r="E8" s="7" t="s">
        <v>321</v>
      </c>
      <c r="N8" s="4"/>
    </row>
    <row r="9" spans="1:14">
      <c r="A9" s="108"/>
      <c r="B9" s="3" t="s">
        <v>44</v>
      </c>
      <c r="C9" s="5" t="s">
        <v>42</v>
      </c>
      <c r="D9" s="6"/>
      <c r="E9" s="7" t="s">
        <v>322</v>
      </c>
      <c r="N9" s="4"/>
    </row>
    <row r="10" spans="1:14">
      <c r="A10" s="108"/>
      <c r="B10" s="3" t="s">
        <v>45</v>
      </c>
      <c r="C10" s="5" t="s">
        <v>41</v>
      </c>
      <c r="D10" s="6"/>
      <c r="E10" s="7" t="s">
        <v>323</v>
      </c>
      <c r="N10" s="4"/>
    </row>
    <row r="11" spans="1:14">
      <c r="A11" s="108"/>
      <c r="B11" s="3" t="s">
        <v>36</v>
      </c>
      <c r="C11" s="5" t="s">
        <v>39</v>
      </c>
      <c r="D11" s="6"/>
      <c r="E11" s="7" t="s">
        <v>324</v>
      </c>
      <c r="N11" s="4"/>
    </row>
    <row r="12" spans="1:14">
      <c r="A12" s="108"/>
      <c r="B12" s="3" t="s">
        <v>46</v>
      </c>
      <c r="C12" s="5" t="s">
        <v>38</v>
      </c>
      <c r="D12" s="6"/>
      <c r="E12" s="7" t="s">
        <v>325</v>
      </c>
      <c r="N12" s="4"/>
    </row>
    <row r="13" spans="1:14">
      <c r="A13" s="108" t="s">
        <v>4</v>
      </c>
      <c r="B13" s="3" t="s">
        <v>47</v>
      </c>
      <c r="C13" s="5" t="s">
        <v>47</v>
      </c>
      <c r="D13" s="6"/>
      <c r="E13" s="7" t="s">
        <v>326</v>
      </c>
      <c r="G13" s="8">
        <f>1/ROWS(C13:C18)</f>
        <v>0.16666666666666666</v>
      </c>
      <c r="H13" s="3" t="s">
        <v>950</v>
      </c>
      <c r="N13" s="4"/>
    </row>
    <row r="14" spans="1:14">
      <c r="A14" s="108"/>
      <c r="B14" s="3" t="s">
        <v>48</v>
      </c>
      <c r="C14" s="5" t="s">
        <v>49</v>
      </c>
      <c r="D14" s="6"/>
      <c r="E14" s="7" t="s">
        <v>327</v>
      </c>
      <c r="G14" s="8">
        <f t="shared" ref="G14:G18" si="0">1/ROWS(C14:C19)</f>
        <v>0.16666666666666666</v>
      </c>
      <c r="H14" s="3" t="s">
        <v>950</v>
      </c>
      <c r="N14" s="4"/>
    </row>
    <row r="15" spans="1:14">
      <c r="A15" s="108"/>
      <c r="B15" s="3" t="s">
        <v>49</v>
      </c>
      <c r="C15" s="5" t="s">
        <v>50</v>
      </c>
      <c r="D15" s="6"/>
      <c r="E15" s="7" t="s">
        <v>328</v>
      </c>
      <c r="G15" s="8">
        <f t="shared" si="0"/>
        <v>0.16666666666666666</v>
      </c>
      <c r="H15" s="3" t="s">
        <v>950</v>
      </c>
      <c r="N15" s="4"/>
    </row>
    <row r="16" spans="1:14">
      <c r="A16" s="108"/>
      <c r="B16" s="3" t="s">
        <v>50</v>
      </c>
      <c r="C16" s="5" t="s">
        <v>51</v>
      </c>
      <c r="D16" s="6"/>
      <c r="E16" s="7" t="s">
        <v>329</v>
      </c>
      <c r="G16" s="8">
        <f t="shared" si="0"/>
        <v>0.16666666666666666</v>
      </c>
      <c r="H16" s="3" t="s">
        <v>950</v>
      </c>
      <c r="N16" s="4"/>
    </row>
    <row r="17" spans="1:14">
      <c r="A17" s="108"/>
      <c r="B17" s="3" t="s">
        <v>51</v>
      </c>
      <c r="C17" s="5" t="s">
        <v>52</v>
      </c>
      <c r="D17" s="6"/>
      <c r="E17" s="7" t="s">
        <v>330</v>
      </c>
      <c r="G17" s="8">
        <f t="shared" si="0"/>
        <v>0.16666666666666666</v>
      </c>
      <c r="H17" s="3" t="s">
        <v>950</v>
      </c>
      <c r="N17" s="4"/>
    </row>
    <row r="18" spans="1:14">
      <c r="A18" s="108"/>
      <c r="B18" s="3" t="s">
        <v>52</v>
      </c>
      <c r="C18" s="5" t="s">
        <v>48</v>
      </c>
      <c r="D18" s="6"/>
      <c r="E18" s="7" t="s">
        <v>331</v>
      </c>
      <c r="G18" s="8">
        <f t="shared" si="0"/>
        <v>0.16666666666666666</v>
      </c>
      <c r="H18" s="3" t="s">
        <v>950</v>
      </c>
      <c r="N18" s="4"/>
    </row>
    <row r="19" spans="1:14">
      <c r="A19" s="108" t="s">
        <v>5</v>
      </c>
      <c r="B19" s="3" t="s">
        <v>53</v>
      </c>
      <c r="C19" s="5" t="s">
        <v>54</v>
      </c>
      <c r="D19" s="6"/>
      <c r="E19" s="7" t="s">
        <v>332</v>
      </c>
      <c r="N19" s="4"/>
    </row>
    <row r="20" spans="1:14">
      <c r="A20" s="108"/>
      <c r="B20" s="3" t="s">
        <v>54</v>
      </c>
      <c r="C20" s="5" t="s">
        <v>53</v>
      </c>
      <c r="D20" s="6"/>
      <c r="E20" s="7" t="s">
        <v>333</v>
      </c>
      <c r="N20" s="4"/>
    </row>
    <row r="21" spans="1:14">
      <c r="A21" s="108"/>
      <c r="B21" s="3" t="s">
        <v>55</v>
      </c>
      <c r="C21" s="5" t="s">
        <v>60</v>
      </c>
      <c r="D21" s="6"/>
      <c r="E21" s="7" t="s">
        <v>334</v>
      </c>
      <c r="N21" s="4"/>
    </row>
    <row r="22" spans="1:14">
      <c r="A22" s="108"/>
      <c r="B22" s="3" t="s">
        <v>56</v>
      </c>
      <c r="C22" s="5" t="s">
        <v>58</v>
      </c>
      <c r="D22" s="3" t="s">
        <v>661</v>
      </c>
      <c r="E22" s="7" t="s">
        <v>335</v>
      </c>
      <c r="F22" s="3">
        <f>544/2</f>
        <v>272</v>
      </c>
      <c r="G22" s="8">
        <v>1</v>
      </c>
      <c r="N22" s="4"/>
    </row>
    <row r="23" spans="1:14">
      <c r="A23" s="108"/>
      <c r="B23" s="3" t="s">
        <v>57</v>
      </c>
      <c r="C23" s="5" t="s">
        <v>57</v>
      </c>
      <c r="D23" s="6"/>
      <c r="E23" s="7" t="s">
        <v>336</v>
      </c>
      <c r="N23" s="4"/>
    </row>
    <row r="24" spans="1:14">
      <c r="A24" s="108"/>
      <c r="B24" s="3" t="s">
        <v>58</v>
      </c>
      <c r="C24" s="5" t="s">
        <v>59</v>
      </c>
      <c r="D24" s="6"/>
      <c r="E24" s="7" t="s">
        <v>337</v>
      </c>
      <c r="N24" s="4"/>
    </row>
    <row r="25" spans="1:14">
      <c r="A25" s="108"/>
      <c r="B25" s="3" t="s">
        <v>59</v>
      </c>
      <c r="C25" s="5" t="s">
        <v>55</v>
      </c>
      <c r="D25" s="6"/>
      <c r="E25" s="7" t="s">
        <v>338</v>
      </c>
      <c r="N25" s="4"/>
    </row>
    <row r="26" spans="1:14">
      <c r="A26" s="108"/>
      <c r="B26" s="3" t="s">
        <v>60</v>
      </c>
      <c r="C26" s="5" t="s">
        <v>56</v>
      </c>
      <c r="D26" s="6"/>
      <c r="E26" s="7" t="s">
        <v>339</v>
      </c>
      <c r="N26" s="4"/>
    </row>
    <row r="27" spans="1:14">
      <c r="A27" s="108" t="s">
        <v>6</v>
      </c>
      <c r="B27" s="3" t="s">
        <v>61</v>
      </c>
      <c r="C27" s="5" t="s">
        <v>64</v>
      </c>
      <c r="D27" s="6"/>
      <c r="E27" s="7" t="s">
        <v>340</v>
      </c>
      <c r="G27" s="8">
        <f>1/ROWS(C27:C31)</f>
        <v>0.2</v>
      </c>
      <c r="H27" s="3" t="s">
        <v>950</v>
      </c>
      <c r="N27" s="4"/>
    </row>
    <row r="28" spans="1:14">
      <c r="A28" s="108"/>
      <c r="B28" s="3" t="s">
        <v>62</v>
      </c>
      <c r="C28" s="5" t="s">
        <v>61</v>
      </c>
      <c r="D28" s="6"/>
      <c r="E28" s="7" t="s">
        <v>341</v>
      </c>
      <c r="G28" s="8">
        <f t="shared" ref="G28:G31" si="1">1/ROWS(C28:C32)</f>
        <v>0.2</v>
      </c>
      <c r="H28" s="3" t="s">
        <v>950</v>
      </c>
      <c r="N28" s="4"/>
    </row>
    <row r="29" spans="1:14">
      <c r="A29" s="108"/>
      <c r="B29" s="3" t="s">
        <v>63</v>
      </c>
      <c r="C29" s="5" t="s">
        <v>63</v>
      </c>
      <c r="D29" s="6"/>
      <c r="E29" s="7" t="s">
        <v>342</v>
      </c>
      <c r="G29" s="8">
        <f t="shared" si="1"/>
        <v>0.2</v>
      </c>
      <c r="H29" s="3" t="s">
        <v>950</v>
      </c>
      <c r="N29" s="4"/>
    </row>
    <row r="30" spans="1:14">
      <c r="A30" s="108"/>
      <c r="B30" s="3" t="s">
        <v>64</v>
      </c>
      <c r="C30" s="5" t="s">
        <v>65</v>
      </c>
      <c r="D30" s="6"/>
      <c r="E30" s="7" t="s">
        <v>343</v>
      </c>
      <c r="G30" s="8">
        <f t="shared" si="1"/>
        <v>0.2</v>
      </c>
      <c r="H30" s="3" t="s">
        <v>950</v>
      </c>
      <c r="N30" s="4"/>
    </row>
    <row r="31" spans="1:14">
      <c r="A31" s="108"/>
      <c r="B31" s="3" t="s">
        <v>65</v>
      </c>
      <c r="C31" s="5" t="s">
        <v>62</v>
      </c>
      <c r="D31" s="6"/>
      <c r="E31" s="7" t="s">
        <v>344</v>
      </c>
      <c r="G31" s="8">
        <f t="shared" si="1"/>
        <v>0.2</v>
      </c>
      <c r="H31" s="3" t="s">
        <v>950</v>
      </c>
      <c r="N31" s="4"/>
    </row>
    <row r="32" spans="1:14">
      <c r="A32" s="108" t="s">
        <v>7</v>
      </c>
      <c r="B32" s="3" t="s">
        <v>66</v>
      </c>
      <c r="C32" s="5" t="s">
        <v>101</v>
      </c>
      <c r="D32" s="6"/>
      <c r="E32" s="7" t="s">
        <v>345</v>
      </c>
      <c r="N32" s="4"/>
    </row>
    <row r="33" spans="1:14">
      <c r="A33" s="108"/>
      <c r="B33" s="3" t="s">
        <v>67</v>
      </c>
      <c r="C33" s="5" t="s">
        <v>102</v>
      </c>
      <c r="D33" s="6"/>
      <c r="E33" s="7" t="s">
        <v>346</v>
      </c>
      <c r="N33" s="4"/>
    </row>
    <row r="34" spans="1:14">
      <c r="A34" s="108"/>
      <c r="B34" s="3" t="s">
        <v>68</v>
      </c>
      <c r="C34" s="5" t="s">
        <v>103</v>
      </c>
      <c r="D34" s="6"/>
      <c r="E34" s="7" t="s">
        <v>347</v>
      </c>
      <c r="N34" s="4"/>
    </row>
    <row r="35" spans="1:14">
      <c r="A35" s="108"/>
      <c r="B35" s="3" t="s">
        <v>69</v>
      </c>
      <c r="C35" s="5" t="s">
        <v>100</v>
      </c>
      <c r="D35" s="6"/>
      <c r="E35" s="7" t="s">
        <v>348</v>
      </c>
      <c r="N35" s="4"/>
    </row>
    <row r="36" spans="1:14" ht="30">
      <c r="A36" s="108"/>
      <c r="B36" s="3" t="s">
        <v>70</v>
      </c>
      <c r="C36" s="5" t="s">
        <v>97</v>
      </c>
      <c r="D36" s="25" t="s">
        <v>689</v>
      </c>
      <c r="E36" s="7" t="s">
        <v>349</v>
      </c>
      <c r="F36" s="3">
        <f>(450+400)/2</f>
        <v>425</v>
      </c>
      <c r="G36" s="8">
        <f>F36/SUM($F$36:$F$68)</f>
        <v>0.15044247787610621</v>
      </c>
      <c r="N36" s="4"/>
    </row>
    <row r="37" spans="1:14">
      <c r="A37" s="108"/>
      <c r="B37" s="3" t="s">
        <v>71</v>
      </c>
      <c r="C37" s="5" t="s">
        <v>98</v>
      </c>
      <c r="D37" s="6"/>
      <c r="E37" s="7" t="s">
        <v>350</v>
      </c>
      <c r="N37" s="4"/>
    </row>
    <row r="38" spans="1:14">
      <c r="A38" s="108"/>
      <c r="B38" s="3" t="s">
        <v>72</v>
      </c>
      <c r="C38" s="5" t="s">
        <v>95</v>
      </c>
      <c r="D38" s="6"/>
      <c r="E38" s="7" t="s">
        <v>351</v>
      </c>
      <c r="N38" s="4"/>
    </row>
    <row r="39" spans="1:14">
      <c r="A39" s="108"/>
      <c r="B39" s="3" t="s">
        <v>73</v>
      </c>
      <c r="C39" s="5" t="s">
        <v>96</v>
      </c>
      <c r="D39" s="6"/>
      <c r="E39" s="7" t="s">
        <v>352</v>
      </c>
      <c r="N39" s="4"/>
    </row>
    <row r="40" spans="1:14">
      <c r="A40" s="108"/>
      <c r="B40" s="3" t="s">
        <v>74</v>
      </c>
      <c r="C40" s="5" t="s">
        <v>99</v>
      </c>
      <c r="D40" s="6"/>
      <c r="E40" s="7" t="s">
        <v>353</v>
      </c>
      <c r="N40" s="4"/>
    </row>
    <row r="41" spans="1:14">
      <c r="A41" s="108"/>
      <c r="B41" s="3" t="s">
        <v>75</v>
      </c>
      <c r="C41" s="5" t="s">
        <v>93</v>
      </c>
      <c r="D41" s="6"/>
      <c r="E41" s="7" t="s">
        <v>354</v>
      </c>
      <c r="N41" s="4"/>
    </row>
    <row r="42" spans="1:14">
      <c r="A42" s="108"/>
      <c r="B42" s="3" t="s">
        <v>76</v>
      </c>
      <c r="C42" s="5" t="s">
        <v>94</v>
      </c>
      <c r="D42" s="6"/>
      <c r="E42" s="7" t="s">
        <v>355</v>
      </c>
      <c r="N42" s="4"/>
    </row>
    <row r="43" spans="1:14">
      <c r="A43" s="108"/>
      <c r="B43" s="3" t="s">
        <v>77</v>
      </c>
      <c r="C43" s="5" t="s">
        <v>92</v>
      </c>
      <c r="D43" s="6"/>
      <c r="E43" s="7" t="s">
        <v>356</v>
      </c>
      <c r="N43" s="4"/>
    </row>
    <row r="44" spans="1:14">
      <c r="A44" s="108"/>
      <c r="B44" s="3" t="s">
        <v>78</v>
      </c>
      <c r="C44" s="5" t="s">
        <v>91</v>
      </c>
      <c r="D44" s="6"/>
      <c r="E44" s="7" t="s">
        <v>357</v>
      </c>
      <c r="N44" s="4"/>
    </row>
    <row r="45" spans="1:14">
      <c r="A45" s="108"/>
      <c r="B45" s="3" t="s">
        <v>79</v>
      </c>
      <c r="C45" s="5" t="s">
        <v>90</v>
      </c>
      <c r="D45" s="6"/>
      <c r="E45" s="7" t="s">
        <v>358</v>
      </c>
      <c r="N45" s="4"/>
    </row>
    <row r="46" spans="1:14">
      <c r="A46" s="108"/>
      <c r="B46" s="3" t="s">
        <v>80</v>
      </c>
      <c r="C46" s="5" t="s">
        <v>89</v>
      </c>
      <c r="D46" s="6"/>
      <c r="E46" s="7" t="s">
        <v>359</v>
      </c>
      <c r="N46" s="4"/>
    </row>
    <row r="47" spans="1:14">
      <c r="A47" s="108"/>
      <c r="B47" s="3" t="s">
        <v>81</v>
      </c>
      <c r="C47" s="5" t="s">
        <v>88</v>
      </c>
      <c r="D47" s="6"/>
      <c r="E47" s="7" t="s">
        <v>360</v>
      </c>
      <c r="N47" s="4"/>
    </row>
    <row r="48" spans="1:14">
      <c r="A48" s="108"/>
      <c r="B48" s="3" t="s">
        <v>82</v>
      </c>
      <c r="C48" s="5" t="s">
        <v>87</v>
      </c>
      <c r="D48" s="6"/>
      <c r="E48" s="7" t="s">
        <v>361</v>
      </c>
      <c r="N48" s="4"/>
    </row>
    <row r="49" spans="1:14">
      <c r="A49" s="108"/>
      <c r="B49" s="3" t="s">
        <v>83</v>
      </c>
      <c r="C49" s="5" t="s">
        <v>86</v>
      </c>
      <c r="D49" s="6"/>
      <c r="E49" s="7" t="s">
        <v>362</v>
      </c>
      <c r="N49" s="4"/>
    </row>
    <row r="50" spans="1:14">
      <c r="A50" s="108"/>
      <c r="B50" s="3" t="s">
        <v>84</v>
      </c>
      <c r="C50" s="5" t="s">
        <v>85</v>
      </c>
      <c r="D50" s="6"/>
      <c r="E50" s="7" t="s">
        <v>363</v>
      </c>
      <c r="N50" s="4"/>
    </row>
    <row r="51" spans="1:14">
      <c r="A51" s="108"/>
      <c r="B51" s="3" t="s">
        <v>85</v>
      </c>
      <c r="C51" s="5" t="s">
        <v>84</v>
      </c>
      <c r="D51" s="6"/>
      <c r="E51" s="7" t="s">
        <v>364</v>
      </c>
      <c r="N51" s="4"/>
    </row>
    <row r="52" spans="1:14">
      <c r="A52" s="108"/>
      <c r="B52" s="3" t="s">
        <v>86</v>
      </c>
      <c r="C52" s="5" t="s">
        <v>83</v>
      </c>
      <c r="D52" s="6"/>
      <c r="E52" s="7" t="s">
        <v>365</v>
      </c>
      <c r="N52" s="4"/>
    </row>
    <row r="53" spans="1:14">
      <c r="A53" s="108"/>
      <c r="B53" s="3" t="s">
        <v>87</v>
      </c>
      <c r="C53" s="5" t="s">
        <v>82</v>
      </c>
      <c r="D53" s="6"/>
      <c r="E53" s="7" t="s">
        <v>366</v>
      </c>
      <c r="N53" s="4"/>
    </row>
    <row r="54" spans="1:14">
      <c r="A54" s="108"/>
      <c r="B54" s="3" t="s">
        <v>88</v>
      </c>
      <c r="C54" s="5" t="s">
        <v>81</v>
      </c>
      <c r="D54" s="6"/>
      <c r="E54" s="7" t="s">
        <v>367</v>
      </c>
      <c r="N54" s="4"/>
    </row>
    <row r="55" spans="1:14">
      <c r="A55" s="108"/>
      <c r="B55" s="3" t="s">
        <v>89</v>
      </c>
      <c r="C55" s="5" t="s">
        <v>78</v>
      </c>
      <c r="D55" s="3" t="s">
        <v>686</v>
      </c>
      <c r="E55" s="7" t="s">
        <v>368</v>
      </c>
      <c r="F55" s="3">
        <f>1050/2</f>
        <v>525</v>
      </c>
      <c r="G55" s="8">
        <f t="shared" ref="G55:G68" si="2">F55/SUM($F$36:$F$68)</f>
        <v>0.18584070796460178</v>
      </c>
      <c r="N55" s="4"/>
    </row>
    <row r="56" spans="1:14" ht="30">
      <c r="A56" s="108"/>
      <c r="B56" s="3" t="s">
        <v>90</v>
      </c>
      <c r="C56" s="5" t="s">
        <v>77</v>
      </c>
      <c r="D56" s="25" t="s">
        <v>690</v>
      </c>
      <c r="E56" s="7" t="s">
        <v>369</v>
      </c>
      <c r="F56" s="3">
        <f>(1165+1040+260)/2</f>
        <v>1232.5</v>
      </c>
      <c r="G56" s="8">
        <f t="shared" si="2"/>
        <v>0.43628318584070797</v>
      </c>
      <c r="N56" s="4"/>
    </row>
    <row r="57" spans="1:14">
      <c r="A57" s="108"/>
      <c r="B57" s="3" t="s">
        <v>91</v>
      </c>
      <c r="C57" s="5" t="s">
        <v>76</v>
      </c>
      <c r="D57" s="6"/>
      <c r="E57" s="7" t="s">
        <v>370</v>
      </c>
      <c r="N57" s="4"/>
    </row>
    <row r="58" spans="1:14">
      <c r="A58" s="108"/>
      <c r="B58" s="3" t="s">
        <v>92</v>
      </c>
      <c r="C58" s="5" t="s">
        <v>79</v>
      </c>
      <c r="D58" s="6"/>
      <c r="E58" s="7" t="s">
        <v>371</v>
      </c>
      <c r="N58" s="4"/>
    </row>
    <row r="59" spans="1:14">
      <c r="A59" s="108"/>
      <c r="B59" s="3" t="s">
        <v>93</v>
      </c>
      <c r="C59" s="5" t="s">
        <v>80</v>
      </c>
      <c r="D59" s="6"/>
      <c r="E59" s="7" t="s">
        <v>372</v>
      </c>
      <c r="N59" s="4"/>
    </row>
    <row r="60" spans="1:14">
      <c r="A60" s="108"/>
      <c r="B60" s="3" t="s">
        <v>94</v>
      </c>
      <c r="C60" s="5" t="s">
        <v>75</v>
      </c>
      <c r="D60" s="6"/>
      <c r="E60" s="7" t="s">
        <v>373</v>
      </c>
      <c r="N60" s="4"/>
    </row>
    <row r="61" spans="1:14">
      <c r="A61" s="108"/>
      <c r="B61" s="3" t="s">
        <v>95</v>
      </c>
      <c r="C61" s="5" t="s">
        <v>73</v>
      </c>
      <c r="D61" s="6"/>
      <c r="E61" s="7" t="s">
        <v>374</v>
      </c>
      <c r="N61" s="4"/>
    </row>
    <row r="62" spans="1:14">
      <c r="A62" s="108"/>
      <c r="B62" s="3" t="s">
        <v>96</v>
      </c>
      <c r="C62" s="5" t="s">
        <v>74</v>
      </c>
      <c r="D62" s="3" t="s">
        <v>688</v>
      </c>
      <c r="E62" s="7" t="s">
        <v>375</v>
      </c>
      <c r="F62" s="3">
        <f>620/2</f>
        <v>310</v>
      </c>
      <c r="G62" s="8">
        <f t="shared" si="2"/>
        <v>0.10973451327433628</v>
      </c>
      <c r="N62" s="4"/>
    </row>
    <row r="63" spans="1:14">
      <c r="A63" s="108"/>
      <c r="B63" s="3" t="s">
        <v>97</v>
      </c>
      <c r="C63" s="5" t="s">
        <v>72</v>
      </c>
      <c r="D63" s="6"/>
      <c r="E63" s="7" t="s">
        <v>376</v>
      </c>
      <c r="N63" s="4"/>
    </row>
    <row r="64" spans="1:14">
      <c r="A64" s="108"/>
      <c r="B64" s="3" t="s">
        <v>98</v>
      </c>
      <c r="C64" s="5" t="s">
        <v>69</v>
      </c>
      <c r="D64" s="6"/>
      <c r="E64" s="7" t="s">
        <v>377</v>
      </c>
      <c r="N64" s="4"/>
    </row>
    <row r="65" spans="1:14">
      <c r="A65" s="108"/>
      <c r="B65" s="3" t="s">
        <v>99</v>
      </c>
      <c r="C65" s="5" t="s">
        <v>70</v>
      </c>
      <c r="D65" s="6"/>
      <c r="E65" s="7" t="s">
        <v>378</v>
      </c>
      <c r="N65" s="4"/>
    </row>
    <row r="66" spans="1:14">
      <c r="A66" s="108"/>
      <c r="B66" s="3" t="s">
        <v>100</v>
      </c>
      <c r="C66" s="5" t="s">
        <v>68</v>
      </c>
      <c r="D66" s="3" t="s">
        <v>684</v>
      </c>
      <c r="E66" s="7" t="s">
        <v>379</v>
      </c>
      <c r="F66" s="3">
        <f>565/2</f>
        <v>282.5</v>
      </c>
      <c r="G66" s="8">
        <f t="shared" si="2"/>
        <v>0.1</v>
      </c>
      <c r="N66" s="4"/>
    </row>
    <row r="67" spans="1:14">
      <c r="A67" s="108"/>
      <c r="B67" s="3" t="s">
        <v>101</v>
      </c>
      <c r="C67" s="5" t="s">
        <v>71</v>
      </c>
      <c r="D67" s="6"/>
      <c r="E67" s="7" t="s">
        <v>380</v>
      </c>
      <c r="N67" s="4"/>
    </row>
    <row r="68" spans="1:14">
      <c r="A68" s="108"/>
      <c r="B68" s="3" t="s">
        <v>102</v>
      </c>
      <c r="C68" s="5" t="s">
        <v>67</v>
      </c>
      <c r="D68" s="3" t="s">
        <v>687</v>
      </c>
      <c r="E68" s="7" t="s">
        <v>381</v>
      </c>
      <c r="F68" s="3">
        <f>100/2</f>
        <v>50</v>
      </c>
      <c r="G68" s="8">
        <f t="shared" si="2"/>
        <v>1.7699115044247787E-2</v>
      </c>
      <c r="N68" s="4"/>
    </row>
    <row r="69" spans="1:14">
      <c r="A69" s="108"/>
      <c r="B69" s="3" t="s">
        <v>103</v>
      </c>
      <c r="C69" s="5" t="s">
        <v>66</v>
      </c>
      <c r="D69" s="6"/>
      <c r="E69" s="7" t="s">
        <v>382</v>
      </c>
      <c r="N69" s="4"/>
    </row>
    <row r="70" spans="1:14">
      <c r="A70" s="24" t="s">
        <v>622</v>
      </c>
      <c r="B70" s="3" t="s">
        <v>383</v>
      </c>
      <c r="C70" s="5" t="s">
        <v>383</v>
      </c>
      <c r="D70" s="6"/>
      <c r="E70" s="7" t="s">
        <v>384</v>
      </c>
      <c r="G70" s="8">
        <v>1</v>
      </c>
      <c r="H70" s="3" t="s">
        <v>950</v>
      </c>
      <c r="N70" s="4"/>
    </row>
    <row r="71" spans="1:14">
      <c r="A71" s="108" t="s">
        <v>8</v>
      </c>
      <c r="B71" s="3" t="s">
        <v>104</v>
      </c>
      <c r="C71" s="5" t="s">
        <v>106</v>
      </c>
      <c r="D71" s="6"/>
      <c r="E71" s="7" t="s">
        <v>385</v>
      </c>
      <c r="G71" s="8">
        <f>1/ROWS(C71:C73)</f>
        <v>0.33333333333333331</v>
      </c>
      <c r="H71" s="3" t="s">
        <v>950</v>
      </c>
      <c r="N71" s="4"/>
    </row>
    <row r="72" spans="1:14">
      <c r="A72" s="108"/>
      <c r="B72" s="3" t="s">
        <v>105</v>
      </c>
      <c r="C72" s="5" t="s">
        <v>105</v>
      </c>
      <c r="D72" s="6"/>
      <c r="E72" s="7" t="s">
        <v>386</v>
      </c>
      <c r="G72" s="8">
        <f t="shared" ref="G72:G73" si="3">1/ROWS(C72:C74)</f>
        <v>0.33333333333333331</v>
      </c>
      <c r="H72" s="3" t="s">
        <v>950</v>
      </c>
      <c r="N72" s="4"/>
    </row>
    <row r="73" spans="1:14">
      <c r="A73" s="108"/>
      <c r="B73" s="3" t="s">
        <v>106</v>
      </c>
      <c r="C73" s="5" t="s">
        <v>104</v>
      </c>
      <c r="D73" s="6"/>
      <c r="E73" s="7" t="s">
        <v>387</v>
      </c>
      <c r="G73" s="8">
        <f t="shared" si="3"/>
        <v>0.33333333333333331</v>
      </c>
      <c r="H73" s="3" t="s">
        <v>950</v>
      </c>
      <c r="N73" s="4"/>
    </row>
    <row r="74" spans="1:14">
      <c r="A74" s="108" t="s">
        <v>9</v>
      </c>
      <c r="B74" s="3" t="s">
        <v>107</v>
      </c>
      <c r="C74" s="5" t="s">
        <v>114</v>
      </c>
      <c r="D74" s="6"/>
      <c r="E74" s="7" t="s">
        <v>388</v>
      </c>
      <c r="G74" s="8">
        <f>1/ROWS(C74:C86)</f>
        <v>7.6923076923076927E-2</v>
      </c>
      <c r="H74" s="3" t="s">
        <v>950</v>
      </c>
      <c r="N74" s="4"/>
    </row>
    <row r="75" spans="1:14">
      <c r="A75" s="108"/>
      <c r="B75" s="3" t="s">
        <v>108</v>
      </c>
      <c r="C75" s="5" t="s">
        <v>389</v>
      </c>
      <c r="D75" s="6"/>
      <c r="E75" s="7" t="s">
        <v>390</v>
      </c>
      <c r="G75" s="8">
        <f t="shared" ref="G75:G86" si="4">1/ROWS(C75:C87)</f>
        <v>7.6923076923076927E-2</v>
      </c>
      <c r="H75" s="3" t="s">
        <v>950</v>
      </c>
      <c r="N75" s="4"/>
    </row>
    <row r="76" spans="1:14">
      <c r="A76" s="108"/>
      <c r="B76" s="3" t="s">
        <v>109</v>
      </c>
      <c r="C76" s="5" t="s">
        <v>391</v>
      </c>
      <c r="D76" s="6"/>
      <c r="E76" s="7" t="s">
        <v>392</v>
      </c>
      <c r="G76" s="8">
        <f t="shared" si="4"/>
        <v>7.6923076923076927E-2</v>
      </c>
      <c r="H76" s="3" t="s">
        <v>950</v>
      </c>
    </row>
    <row r="77" spans="1:14">
      <c r="A77" s="108"/>
      <c r="B77" s="3" t="s">
        <v>110</v>
      </c>
      <c r="C77" s="5" t="s">
        <v>393</v>
      </c>
      <c r="D77" s="6"/>
      <c r="E77" s="7" t="s">
        <v>394</v>
      </c>
      <c r="G77" s="8">
        <f t="shared" si="4"/>
        <v>7.6923076923076927E-2</v>
      </c>
      <c r="H77" s="3" t="s">
        <v>950</v>
      </c>
    </row>
    <row r="78" spans="1:14">
      <c r="A78" s="108"/>
      <c r="B78" s="3" t="s">
        <v>111</v>
      </c>
      <c r="C78" s="5" t="s">
        <v>115</v>
      </c>
      <c r="D78" s="6"/>
      <c r="E78" s="7" t="s">
        <v>395</v>
      </c>
      <c r="G78" s="8">
        <f t="shared" si="4"/>
        <v>7.6923076923076927E-2</v>
      </c>
      <c r="H78" s="3" t="s">
        <v>950</v>
      </c>
    </row>
    <row r="79" spans="1:14">
      <c r="A79" s="108"/>
      <c r="B79" s="3" t="s">
        <v>112</v>
      </c>
      <c r="C79" s="5" t="s">
        <v>110</v>
      </c>
      <c r="D79" s="6"/>
      <c r="E79" s="7" t="s">
        <v>396</v>
      </c>
      <c r="G79" s="8">
        <f t="shared" si="4"/>
        <v>7.6923076923076927E-2</v>
      </c>
      <c r="H79" s="3" t="s">
        <v>950</v>
      </c>
    </row>
    <row r="80" spans="1:14">
      <c r="A80" s="108"/>
      <c r="B80" s="3" t="s">
        <v>113</v>
      </c>
      <c r="C80" s="5" t="s">
        <v>112</v>
      </c>
      <c r="D80" s="6"/>
      <c r="E80" s="7" t="s">
        <v>397</v>
      </c>
      <c r="G80" s="8">
        <f t="shared" si="4"/>
        <v>7.6923076923076927E-2</v>
      </c>
      <c r="H80" s="3" t="s">
        <v>950</v>
      </c>
    </row>
    <row r="81" spans="1:8">
      <c r="A81" s="108"/>
      <c r="B81" s="3" t="s">
        <v>114</v>
      </c>
      <c r="C81" s="5" t="s">
        <v>111</v>
      </c>
      <c r="D81" s="6"/>
      <c r="E81" s="7" t="s">
        <v>398</v>
      </c>
      <c r="G81" s="8">
        <f t="shared" si="4"/>
        <v>7.6923076923076927E-2</v>
      </c>
      <c r="H81" s="3" t="s">
        <v>950</v>
      </c>
    </row>
    <row r="82" spans="1:8">
      <c r="A82" s="108"/>
      <c r="B82" s="3" t="s">
        <v>115</v>
      </c>
      <c r="C82" s="5" t="s">
        <v>107</v>
      </c>
      <c r="D82" s="6"/>
      <c r="E82" s="7" t="s">
        <v>399</v>
      </c>
      <c r="G82" s="8">
        <f t="shared" si="4"/>
        <v>7.6923076923076927E-2</v>
      </c>
      <c r="H82" s="3" t="s">
        <v>950</v>
      </c>
    </row>
    <row r="83" spans="1:8">
      <c r="A83" s="108"/>
      <c r="C83" s="5" t="s">
        <v>400</v>
      </c>
      <c r="D83" s="6"/>
      <c r="E83" s="7" t="s">
        <v>401</v>
      </c>
      <c r="G83" s="8">
        <f t="shared" si="4"/>
        <v>7.6923076923076927E-2</v>
      </c>
      <c r="H83" s="3" t="s">
        <v>950</v>
      </c>
    </row>
    <row r="84" spans="1:8">
      <c r="A84" s="108"/>
      <c r="C84" s="5" t="s">
        <v>113</v>
      </c>
      <c r="D84" s="6"/>
      <c r="E84" s="7" t="s">
        <v>402</v>
      </c>
      <c r="G84" s="8">
        <f t="shared" si="4"/>
        <v>7.6923076923076927E-2</v>
      </c>
      <c r="H84" s="3" t="s">
        <v>950</v>
      </c>
    </row>
    <row r="85" spans="1:8">
      <c r="A85" s="108"/>
      <c r="C85" s="5" t="s">
        <v>108</v>
      </c>
      <c r="D85" s="6"/>
      <c r="E85" s="7" t="s">
        <v>403</v>
      </c>
      <c r="G85" s="8">
        <f t="shared" si="4"/>
        <v>7.6923076923076927E-2</v>
      </c>
      <c r="H85" s="3" t="s">
        <v>950</v>
      </c>
    </row>
    <row r="86" spans="1:8">
      <c r="A86" s="108"/>
      <c r="C86" s="5" t="s">
        <v>109</v>
      </c>
      <c r="D86" s="6"/>
      <c r="E86" s="7" t="s">
        <v>404</v>
      </c>
      <c r="G86" s="8">
        <f t="shared" si="4"/>
        <v>7.6923076923076927E-2</v>
      </c>
      <c r="H86" s="3" t="s">
        <v>950</v>
      </c>
    </row>
    <row r="87" spans="1:8">
      <c r="A87" s="108" t="s">
        <v>10</v>
      </c>
      <c r="B87" s="3" t="s">
        <v>116</v>
      </c>
      <c r="C87" s="5" t="s">
        <v>120</v>
      </c>
      <c r="D87" s="6"/>
      <c r="E87" s="7" t="s">
        <v>405</v>
      </c>
    </row>
    <row r="88" spans="1:8">
      <c r="A88" s="108"/>
      <c r="B88" s="3" t="s">
        <v>117</v>
      </c>
      <c r="C88" s="5" t="s">
        <v>117</v>
      </c>
      <c r="D88" s="6"/>
      <c r="E88" s="7" t="s">
        <v>406</v>
      </c>
    </row>
    <row r="89" spans="1:8">
      <c r="A89" s="108"/>
      <c r="B89" s="3" t="s">
        <v>118</v>
      </c>
      <c r="C89" s="5" t="s">
        <v>128</v>
      </c>
      <c r="D89" s="6"/>
      <c r="E89" s="7" t="s">
        <v>407</v>
      </c>
    </row>
    <row r="90" spans="1:8">
      <c r="A90" s="108"/>
      <c r="B90" s="3" t="s">
        <v>119</v>
      </c>
      <c r="C90" s="5" t="s">
        <v>118</v>
      </c>
      <c r="D90" s="6"/>
      <c r="E90" s="7" t="s">
        <v>408</v>
      </c>
    </row>
    <row r="91" spans="1:8">
      <c r="A91" s="108"/>
      <c r="B91" s="3" t="s">
        <v>120</v>
      </c>
      <c r="C91" s="5" t="s">
        <v>123</v>
      </c>
      <c r="D91" s="6"/>
      <c r="E91" s="7" t="s">
        <v>409</v>
      </c>
    </row>
    <row r="92" spans="1:8">
      <c r="A92" s="108"/>
      <c r="B92" s="3" t="s">
        <v>121</v>
      </c>
      <c r="C92" s="5" t="s">
        <v>119</v>
      </c>
      <c r="D92" s="6"/>
      <c r="E92" s="7" t="s">
        <v>410</v>
      </c>
    </row>
    <row r="93" spans="1:8">
      <c r="A93" s="108"/>
      <c r="B93" s="3" t="s">
        <v>122</v>
      </c>
      <c r="C93" s="5" t="s">
        <v>129</v>
      </c>
      <c r="D93" s="6"/>
      <c r="E93" s="7" t="s">
        <v>411</v>
      </c>
    </row>
    <row r="94" spans="1:8">
      <c r="A94" s="108"/>
      <c r="B94" s="3" t="s">
        <v>123</v>
      </c>
      <c r="C94" s="5" t="s">
        <v>124</v>
      </c>
      <c r="D94" s="6"/>
      <c r="E94" s="7" t="s">
        <v>412</v>
      </c>
    </row>
    <row r="95" spans="1:8">
      <c r="A95" s="108"/>
      <c r="B95" s="3" t="s">
        <v>124</v>
      </c>
      <c r="C95" s="5" t="s">
        <v>126</v>
      </c>
      <c r="D95" s="6"/>
      <c r="E95" s="7" t="s">
        <v>413</v>
      </c>
    </row>
    <row r="96" spans="1:8">
      <c r="A96" s="108"/>
      <c r="B96" s="3" t="s">
        <v>125</v>
      </c>
      <c r="C96" s="5" t="s">
        <v>127</v>
      </c>
      <c r="D96" s="6" t="s">
        <v>665</v>
      </c>
      <c r="E96" s="7" t="s">
        <v>414</v>
      </c>
      <c r="F96" s="3">
        <f>102/2</f>
        <v>51</v>
      </c>
      <c r="G96" s="8">
        <f>F96/(F96+F98)</f>
        <v>6.8965517241379309E-2</v>
      </c>
    </row>
    <row r="97" spans="1:7">
      <c r="A97" s="108"/>
      <c r="B97" s="3" t="s">
        <v>126</v>
      </c>
      <c r="C97" s="5" t="s">
        <v>121</v>
      </c>
      <c r="D97" s="6"/>
      <c r="E97" s="7" t="s">
        <v>415</v>
      </c>
    </row>
    <row r="98" spans="1:7">
      <c r="A98" s="108"/>
      <c r="B98" s="3" t="s">
        <v>127</v>
      </c>
      <c r="C98" s="5" t="s">
        <v>125</v>
      </c>
      <c r="D98" s="6" t="s">
        <v>664</v>
      </c>
      <c r="E98" s="7" t="s">
        <v>416</v>
      </c>
      <c r="F98" s="3">
        <f>(675+702)/2</f>
        <v>688.5</v>
      </c>
      <c r="G98" s="8">
        <f>F98/(F98+F96)</f>
        <v>0.93103448275862066</v>
      </c>
    </row>
    <row r="99" spans="1:7">
      <c r="A99" s="108"/>
      <c r="B99" s="3" t="s">
        <v>128</v>
      </c>
      <c r="C99" s="5" t="s">
        <v>122</v>
      </c>
      <c r="D99" s="6"/>
      <c r="E99" s="7" t="s">
        <v>417</v>
      </c>
    </row>
    <row r="100" spans="1:7">
      <c r="A100" s="108"/>
      <c r="B100" s="3" t="s">
        <v>129</v>
      </c>
      <c r="C100" s="5" t="s">
        <v>418</v>
      </c>
      <c r="D100" s="6"/>
      <c r="E100" s="7" t="s">
        <v>419</v>
      </c>
    </row>
    <row r="101" spans="1:7">
      <c r="A101" s="108"/>
      <c r="B101" s="3" t="s">
        <v>130</v>
      </c>
      <c r="C101" s="5" t="s">
        <v>130</v>
      </c>
      <c r="D101" s="6"/>
      <c r="E101" s="7" t="s">
        <v>420</v>
      </c>
    </row>
    <row r="102" spans="1:7">
      <c r="A102" s="108"/>
      <c r="C102" s="5" t="s">
        <v>116</v>
      </c>
      <c r="D102" s="6"/>
      <c r="E102" s="7" t="s">
        <v>421</v>
      </c>
    </row>
    <row r="103" spans="1:7">
      <c r="A103" s="108"/>
      <c r="C103" s="5" t="s">
        <v>422</v>
      </c>
      <c r="D103" s="6"/>
      <c r="E103" s="7" t="s">
        <v>423</v>
      </c>
    </row>
    <row r="104" spans="1:7">
      <c r="A104" s="108"/>
      <c r="C104" s="5" t="s">
        <v>424</v>
      </c>
      <c r="D104" s="6"/>
      <c r="E104" s="7" t="s">
        <v>425</v>
      </c>
    </row>
    <row r="105" spans="1:7">
      <c r="A105" s="108"/>
      <c r="C105" s="5" t="s">
        <v>426</v>
      </c>
      <c r="D105" s="6"/>
      <c r="E105" s="7" t="s">
        <v>427</v>
      </c>
    </row>
    <row r="106" spans="1:7">
      <c r="A106" s="108" t="s">
        <v>11</v>
      </c>
      <c r="B106" s="3" t="s">
        <v>131</v>
      </c>
      <c r="C106" s="5" t="s">
        <v>132</v>
      </c>
      <c r="D106" s="6"/>
      <c r="E106" s="7" t="s">
        <v>428</v>
      </c>
    </row>
    <row r="107" spans="1:7">
      <c r="A107" s="108"/>
      <c r="B107" s="3" t="s">
        <v>132</v>
      </c>
      <c r="C107" s="5" t="s">
        <v>143</v>
      </c>
      <c r="D107" s="6"/>
      <c r="E107" s="7" t="s">
        <v>429</v>
      </c>
    </row>
    <row r="108" spans="1:7">
      <c r="A108" s="108"/>
      <c r="B108" s="3" t="s">
        <v>133</v>
      </c>
      <c r="C108" s="5" t="s">
        <v>141</v>
      </c>
      <c r="D108" s="6"/>
      <c r="E108" s="7" t="s">
        <v>430</v>
      </c>
    </row>
    <row r="109" spans="1:7">
      <c r="A109" s="108"/>
      <c r="B109" s="3" t="s">
        <v>134</v>
      </c>
      <c r="C109" s="5" t="s">
        <v>138</v>
      </c>
      <c r="D109" s="6"/>
      <c r="E109" s="7" t="s">
        <v>431</v>
      </c>
    </row>
    <row r="110" spans="1:7">
      <c r="A110" s="108"/>
      <c r="B110" s="3" t="s">
        <v>135</v>
      </c>
      <c r="C110" s="10" t="s">
        <v>145</v>
      </c>
      <c r="D110" s="7"/>
      <c r="E110" s="11" t="s">
        <v>432</v>
      </c>
    </row>
    <row r="111" spans="1:7" ht="30">
      <c r="A111" s="108"/>
      <c r="B111" s="3" t="s">
        <v>136</v>
      </c>
      <c r="C111" s="10" t="s">
        <v>137</v>
      </c>
      <c r="D111" s="25" t="s">
        <v>669</v>
      </c>
      <c r="E111" s="11" t="s">
        <v>433</v>
      </c>
      <c r="F111" s="3">
        <f>(525+425)/2</f>
        <v>475</v>
      </c>
      <c r="G111" s="8">
        <f>F111/(F$111+F$112+F$125+F$126)</f>
        <v>0.34050179211469533</v>
      </c>
    </row>
    <row r="112" spans="1:7">
      <c r="A112" s="108"/>
      <c r="B112" s="3" t="s">
        <v>137</v>
      </c>
      <c r="C112" s="5" t="s">
        <v>134</v>
      </c>
      <c r="D112" s="3" t="s">
        <v>666</v>
      </c>
      <c r="E112" s="7" t="s">
        <v>434</v>
      </c>
      <c r="F112" s="3">
        <f>380/2</f>
        <v>190</v>
      </c>
      <c r="G112" s="8">
        <f t="shared" ref="G112:G126" si="5">F112/(F$111+F$112+F$125+F$126)</f>
        <v>0.13620071684587814</v>
      </c>
    </row>
    <row r="113" spans="1:7">
      <c r="A113" s="108"/>
      <c r="B113" s="3" t="s">
        <v>138</v>
      </c>
      <c r="C113" s="5" t="s">
        <v>151</v>
      </c>
      <c r="D113" s="6"/>
      <c r="E113" s="7" t="s">
        <v>435</v>
      </c>
    </row>
    <row r="114" spans="1:7">
      <c r="A114" s="108"/>
      <c r="B114" s="3" t="s">
        <v>139</v>
      </c>
      <c r="C114" s="5" t="s">
        <v>133</v>
      </c>
      <c r="D114" s="6"/>
      <c r="E114" s="7" t="s">
        <v>436</v>
      </c>
    </row>
    <row r="115" spans="1:7">
      <c r="A115" s="108"/>
      <c r="B115" s="3" t="s">
        <v>140</v>
      </c>
      <c r="C115" s="5" t="s">
        <v>148</v>
      </c>
      <c r="D115" s="6"/>
      <c r="E115" s="7" t="s">
        <v>437</v>
      </c>
    </row>
    <row r="116" spans="1:7">
      <c r="A116" s="108"/>
      <c r="B116" s="3" t="s">
        <v>141</v>
      </c>
      <c r="C116" s="5" t="s">
        <v>135</v>
      </c>
      <c r="D116" s="6"/>
      <c r="E116" s="7" t="s">
        <v>438</v>
      </c>
    </row>
    <row r="117" spans="1:7">
      <c r="A117" s="108"/>
      <c r="B117" s="3" t="s">
        <v>142</v>
      </c>
      <c r="C117" s="5" t="s">
        <v>136</v>
      </c>
      <c r="D117" s="6"/>
      <c r="E117" s="7" t="s">
        <v>439</v>
      </c>
    </row>
    <row r="118" spans="1:7">
      <c r="A118" s="108"/>
      <c r="B118" s="3" t="s">
        <v>143</v>
      </c>
      <c r="C118" s="5" t="s">
        <v>140</v>
      </c>
      <c r="D118" s="6"/>
      <c r="E118" s="7" t="s">
        <v>440</v>
      </c>
    </row>
    <row r="119" spans="1:7">
      <c r="A119" s="108"/>
      <c r="B119" s="3" t="s">
        <v>144</v>
      </c>
      <c r="C119" s="5" t="s">
        <v>139</v>
      </c>
      <c r="D119" s="6"/>
      <c r="E119" s="7" t="s">
        <v>441</v>
      </c>
    </row>
    <row r="120" spans="1:7">
      <c r="A120" s="108"/>
      <c r="B120" s="3" t="s">
        <v>145</v>
      </c>
      <c r="C120" s="5" t="s">
        <v>142</v>
      </c>
      <c r="D120" s="6"/>
      <c r="E120" s="7" t="s">
        <v>442</v>
      </c>
    </row>
    <row r="121" spans="1:7">
      <c r="A121" s="108"/>
      <c r="B121" s="3" t="s">
        <v>146</v>
      </c>
      <c r="C121" s="5" t="s">
        <v>144</v>
      </c>
      <c r="D121" s="6"/>
      <c r="E121" s="7" t="s">
        <v>443</v>
      </c>
    </row>
    <row r="122" spans="1:7">
      <c r="A122" s="108"/>
      <c r="B122" s="3" t="s">
        <v>147</v>
      </c>
      <c r="C122" s="5" t="s">
        <v>146</v>
      </c>
      <c r="D122" s="6"/>
      <c r="E122" s="7" t="s">
        <v>444</v>
      </c>
    </row>
    <row r="123" spans="1:7">
      <c r="A123" s="108"/>
      <c r="B123" s="3" t="s">
        <v>148</v>
      </c>
      <c r="C123" s="5" t="s">
        <v>147</v>
      </c>
      <c r="D123" s="6"/>
      <c r="E123" s="7" t="s">
        <v>445</v>
      </c>
    </row>
    <row r="124" spans="1:7">
      <c r="A124" s="108"/>
      <c r="B124" s="3" t="s">
        <v>149</v>
      </c>
      <c r="C124" s="5" t="s">
        <v>150</v>
      </c>
      <c r="D124" s="6"/>
      <c r="E124" s="7" t="s">
        <v>446</v>
      </c>
    </row>
    <row r="125" spans="1:7">
      <c r="A125" s="108"/>
      <c r="B125" s="3" t="s">
        <v>150</v>
      </c>
      <c r="C125" s="5" t="s">
        <v>152</v>
      </c>
      <c r="D125" s="6" t="s">
        <v>667</v>
      </c>
      <c r="E125" s="7" t="s">
        <v>447</v>
      </c>
      <c r="F125" s="3">
        <f>250/2</f>
        <v>125</v>
      </c>
      <c r="G125" s="8">
        <f t="shared" si="5"/>
        <v>8.9605734767025089E-2</v>
      </c>
    </row>
    <row r="126" spans="1:7" ht="30">
      <c r="A126" s="108"/>
      <c r="B126" s="3" t="s">
        <v>151</v>
      </c>
      <c r="C126" s="5" t="s">
        <v>149</v>
      </c>
      <c r="D126" s="6" t="s">
        <v>668</v>
      </c>
      <c r="E126" s="7" t="s">
        <v>448</v>
      </c>
      <c r="F126" s="3">
        <f>(470+740)/2</f>
        <v>605</v>
      </c>
      <c r="G126" s="8">
        <f t="shared" si="5"/>
        <v>0.43369175627240142</v>
      </c>
    </row>
    <row r="127" spans="1:7">
      <c r="A127" s="108"/>
      <c r="B127" s="3" t="s">
        <v>152</v>
      </c>
      <c r="C127" s="5" t="s">
        <v>131</v>
      </c>
      <c r="D127" s="6"/>
      <c r="E127" s="7" t="s">
        <v>449</v>
      </c>
    </row>
    <row r="128" spans="1:7">
      <c r="A128" s="108"/>
      <c r="C128" s="5" t="s">
        <v>450</v>
      </c>
      <c r="D128" s="6"/>
      <c r="E128" s="7" t="s">
        <v>451</v>
      </c>
    </row>
    <row r="129" spans="1:8">
      <c r="A129" s="108"/>
      <c r="C129" s="5" t="s">
        <v>452</v>
      </c>
      <c r="D129" s="6"/>
      <c r="E129" s="7" t="s">
        <v>453</v>
      </c>
    </row>
    <row r="130" spans="1:8">
      <c r="A130" s="108"/>
      <c r="C130" s="5" t="s">
        <v>454</v>
      </c>
      <c r="D130" s="6"/>
      <c r="E130" s="7" t="s">
        <v>455</v>
      </c>
    </row>
    <row r="131" spans="1:8">
      <c r="A131" s="108"/>
      <c r="C131" s="5" t="s">
        <v>456</v>
      </c>
      <c r="D131" s="6"/>
      <c r="E131" s="7" t="s">
        <v>457</v>
      </c>
    </row>
    <row r="132" spans="1:8">
      <c r="A132" s="108"/>
      <c r="C132" s="5" t="s">
        <v>458</v>
      </c>
      <c r="D132" s="6"/>
      <c r="E132" s="7" t="s">
        <v>459</v>
      </c>
    </row>
    <row r="133" spans="1:8">
      <c r="A133" s="108" t="s">
        <v>12</v>
      </c>
      <c r="B133" s="3" t="s">
        <v>153</v>
      </c>
      <c r="C133" s="11" t="s">
        <v>460</v>
      </c>
      <c r="D133" s="7"/>
      <c r="E133" s="11" t="s">
        <v>461</v>
      </c>
      <c r="G133" s="8">
        <f>1/3*$G$135</f>
        <v>0.16666666666666666</v>
      </c>
      <c r="H133" s="73" t="s">
        <v>950</v>
      </c>
    </row>
    <row r="134" spans="1:8">
      <c r="A134" s="108"/>
      <c r="B134" s="3" t="s">
        <v>154</v>
      </c>
      <c r="C134" s="5" t="s">
        <v>154</v>
      </c>
      <c r="D134" s="6"/>
      <c r="E134" s="7" t="s">
        <v>462</v>
      </c>
      <c r="G134" s="8">
        <f>0.5</f>
        <v>0.5</v>
      </c>
      <c r="H134" s="73" t="s">
        <v>950</v>
      </c>
    </row>
    <row r="135" spans="1:8">
      <c r="A135" s="108"/>
      <c r="C135" s="5" t="s">
        <v>153</v>
      </c>
      <c r="D135" s="6"/>
      <c r="E135" s="7"/>
      <c r="G135" s="100">
        <v>0.5</v>
      </c>
      <c r="H135" s="73" t="s">
        <v>950</v>
      </c>
    </row>
    <row r="136" spans="1:8">
      <c r="A136" s="108"/>
      <c r="C136" s="5" t="s">
        <v>463</v>
      </c>
      <c r="D136" s="6"/>
      <c r="E136" s="7" t="s">
        <v>464</v>
      </c>
      <c r="G136" s="8">
        <f>1/3*$G$135</f>
        <v>0.16666666666666666</v>
      </c>
      <c r="H136" s="73" t="s">
        <v>950</v>
      </c>
    </row>
    <row r="137" spans="1:8">
      <c r="A137" s="108"/>
      <c r="C137" s="5" t="s">
        <v>465</v>
      </c>
      <c r="D137" s="6"/>
      <c r="E137" s="7" t="s">
        <v>466</v>
      </c>
      <c r="G137" s="8">
        <f>1/3*$G$135</f>
        <v>0.16666666666666666</v>
      </c>
      <c r="H137" s="73" t="s">
        <v>950</v>
      </c>
    </row>
    <row r="138" spans="1:8">
      <c r="A138" s="108" t="s">
        <v>13</v>
      </c>
      <c r="B138" s="3" t="s">
        <v>155</v>
      </c>
      <c r="C138" s="5" t="s">
        <v>163</v>
      </c>
      <c r="D138" s="6"/>
      <c r="E138" s="7" t="s">
        <v>467</v>
      </c>
    </row>
    <row r="139" spans="1:8">
      <c r="A139" s="108"/>
      <c r="B139" s="3" t="s">
        <v>156</v>
      </c>
      <c r="C139" s="5" t="s">
        <v>156</v>
      </c>
      <c r="D139" s="6"/>
      <c r="E139" s="7" t="s">
        <v>468</v>
      </c>
    </row>
    <row r="140" spans="1:8">
      <c r="A140" s="108"/>
      <c r="B140" s="3" t="s">
        <v>157</v>
      </c>
      <c r="C140" s="5" t="s">
        <v>167</v>
      </c>
      <c r="D140" s="6"/>
      <c r="E140" s="7" t="s">
        <v>469</v>
      </c>
    </row>
    <row r="141" spans="1:8">
      <c r="A141" s="108"/>
      <c r="B141" s="3" t="s">
        <v>158</v>
      </c>
      <c r="C141" s="5" t="s">
        <v>166</v>
      </c>
      <c r="D141" s="6"/>
      <c r="E141" s="7" t="s">
        <v>470</v>
      </c>
    </row>
    <row r="142" spans="1:8">
      <c r="A142" s="108"/>
      <c r="B142" s="3" t="s">
        <v>159</v>
      </c>
      <c r="C142" s="5" t="s">
        <v>175</v>
      </c>
      <c r="D142" s="6"/>
      <c r="E142" s="7" t="s">
        <v>471</v>
      </c>
    </row>
    <row r="143" spans="1:8">
      <c r="A143" s="108"/>
      <c r="B143" s="3" t="s">
        <v>160</v>
      </c>
      <c r="C143" s="5" t="s">
        <v>164</v>
      </c>
      <c r="D143" s="6"/>
      <c r="E143" s="7" t="s">
        <v>472</v>
      </c>
    </row>
    <row r="144" spans="1:8">
      <c r="A144" s="108"/>
      <c r="B144" s="3" t="s">
        <v>161</v>
      </c>
      <c r="C144" s="5" t="s">
        <v>171</v>
      </c>
      <c r="D144" s="6"/>
      <c r="E144" s="7" t="s">
        <v>473</v>
      </c>
    </row>
    <row r="145" spans="1:8">
      <c r="A145" s="108"/>
      <c r="B145" s="3" t="s">
        <v>162</v>
      </c>
      <c r="C145" s="5" t="s">
        <v>174</v>
      </c>
      <c r="D145" s="3" t="s">
        <v>680</v>
      </c>
      <c r="E145" s="7" t="s">
        <v>474</v>
      </c>
      <c r="F145" s="3">
        <f>468/2</f>
        <v>234</v>
      </c>
      <c r="G145" s="8">
        <f t="shared" ref="G145:G148" si="6">F145/SUM(F$145:F$152)</f>
        <v>0.29440442864781552</v>
      </c>
    </row>
    <row r="146" spans="1:8">
      <c r="A146" s="108"/>
      <c r="B146" s="3" t="s">
        <v>163</v>
      </c>
      <c r="C146" s="5" t="s">
        <v>173</v>
      </c>
      <c r="D146" s="6"/>
      <c r="E146" s="7" t="s">
        <v>475</v>
      </c>
    </row>
    <row r="147" spans="1:8">
      <c r="A147" s="108"/>
      <c r="B147" s="3" t="s">
        <v>164</v>
      </c>
      <c r="C147" s="5" t="s">
        <v>172</v>
      </c>
      <c r="D147" s="6"/>
      <c r="E147" s="7" t="s">
        <v>476</v>
      </c>
    </row>
    <row r="148" spans="1:8">
      <c r="A148" s="108"/>
      <c r="B148" s="3" t="s">
        <v>165</v>
      </c>
      <c r="C148" s="5" t="s">
        <v>161</v>
      </c>
      <c r="D148" s="3" t="s">
        <v>681</v>
      </c>
      <c r="E148" s="7" t="s">
        <v>477</v>
      </c>
      <c r="F148" s="3">
        <f>558.45/2</f>
        <v>279.22500000000002</v>
      </c>
      <c r="G148" s="8">
        <f t="shared" si="6"/>
        <v>0.35130374610763376</v>
      </c>
    </row>
    <row r="149" spans="1:8">
      <c r="A149" s="108"/>
      <c r="B149" s="3" t="s">
        <v>166</v>
      </c>
      <c r="C149" s="5" t="s">
        <v>162</v>
      </c>
      <c r="D149" s="6"/>
      <c r="E149" s="7" t="s">
        <v>478</v>
      </c>
    </row>
    <row r="150" spans="1:8" ht="30">
      <c r="A150" s="108"/>
      <c r="B150" s="3" t="s">
        <v>167</v>
      </c>
      <c r="C150" s="5" t="s">
        <v>158</v>
      </c>
      <c r="D150" s="6"/>
      <c r="E150" s="7" t="s">
        <v>479</v>
      </c>
    </row>
    <row r="151" spans="1:8">
      <c r="A151" s="108"/>
      <c r="B151" s="3" t="s">
        <v>168</v>
      </c>
      <c r="C151" s="5" t="s">
        <v>159</v>
      </c>
      <c r="D151" s="6"/>
      <c r="E151" s="7" t="s">
        <v>480</v>
      </c>
    </row>
    <row r="152" spans="1:8">
      <c r="A152" s="108"/>
      <c r="B152" s="3" t="s">
        <v>169</v>
      </c>
      <c r="C152" s="5" t="s">
        <v>155</v>
      </c>
      <c r="D152" s="3" t="s">
        <v>682</v>
      </c>
      <c r="E152" s="7" t="s">
        <v>481</v>
      </c>
      <c r="F152" s="3">
        <f>563.2/2</f>
        <v>281.60000000000002</v>
      </c>
      <c r="G152" s="8">
        <f>F152/SUM(F$145:F$152)</f>
        <v>0.35429182524455072</v>
      </c>
    </row>
    <row r="153" spans="1:8">
      <c r="A153" s="108"/>
      <c r="B153" s="3" t="s">
        <v>170</v>
      </c>
      <c r="C153" s="5" t="s">
        <v>169</v>
      </c>
      <c r="D153" s="6"/>
      <c r="E153" s="7" t="s">
        <v>482</v>
      </c>
    </row>
    <row r="154" spans="1:8">
      <c r="A154" s="108"/>
      <c r="B154" s="3" t="s">
        <v>171</v>
      </c>
      <c r="C154" s="5" t="s">
        <v>170</v>
      </c>
      <c r="D154" s="6"/>
      <c r="E154" s="7" t="s">
        <v>483</v>
      </c>
    </row>
    <row r="155" spans="1:8">
      <c r="A155" s="108"/>
      <c r="B155" s="3" t="s">
        <v>172</v>
      </c>
      <c r="C155" s="5" t="s">
        <v>160</v>
      </c>
      <c r="D155" s="6"/>
      <c r="E155" s="7" t="s">
        <v>484</v>
      </c>
    </row>
    <row r="156" spans="1:8">
      <c r="A156" s="108"/>
      <c r="B156" s="3" t="s">
        <v>173</v>
      </c>
      <c r="C156" s="5" t="s">
        <v>157</v>
      </c>
      <c r="D156" s="6"/>
      <c r="E156" s="7" t="s">
        <v>485</v>
      </c>
    </row>
    <row r="157" spans="1:8">
      <c r="A157" s="108"/>
      <c r="B157" s="3" t="s">
        <v>174</v>
      </c>
      <c r="C157" s="5" t="s">
        <v>165</v>
      </c>
      <c r="D157" s="6"/>
      <c r="E157" s="7" t="s">
        <v>486</v>
      </c>
    </row>
    <row r="158" spans="1:8">
      <c r="A158" s="108"/>
      <c r="B158" s="3" t="s">
        <v>175</v>
      </c>
      <c r="C158" s="5" t="s">
        <v>168</v>
      </c>
      <c r="D158" s="6"/>
      <c r="E158" s="7" t="s">
        <v>487</v>
      </c>
    </row>
    <row r="159" spans="1:8">
      <c r="A159" s="26" t="s">
        <v>624</v>
      </c>
      <c r="C159" s="5" t="s">
        <v>488</v>
      </c>
      <c r="D159" s="6"/>
      <c r="E159" s="7" t="s">
        <v>489</v>
      </c>
      <c r="G159" s="8">
        <v>1</v>
      </c>
      <c r="H159" s="3" t="s">
        <v>950</v>
      </c>
    </row>
    <row r="160" spans="1:8">
      <c r="A160" s="26" t="s">
        <v>14</v>
      </c>
      <c r="B160" s="3" t="s">
        <v>176</v>
      </c>
      <c r="C160" s="5" t="s">
        <v>176</v>
      </c>
      <c r="D160" s="6"/>
      <c r="E160" s="7" t="s">
        <v>490</v>
      </c>
      <c r="G160" s="8">
        <v>1</v>
      </c>
      <c r="H160" s="3" t="s">
        <v>950</v>
      </c>
    </row>
    <row r="161" spans="1:8">
      <c r="A161" s="108" t="s">
        <v>623</v>
      </c>
      <c r="B161" s="3" t="s">
        <v>491</v>
      </c>
      <c r="C161" s="5" t="s">
        <v>491</v>
      </c>
      <c r="D161" s="6"/>
      <c r="E161" s="7" t="s">
        <v>492</v>
      </c>
      <c r="G161" s="8">
        <v>0.5</v>
      </c>
      <c r="H161" s="3" t="s">
        <v>950</v>
      </c>
    </row>
    <row r="162" spans="1:8">
      <c r="A162" s="108"/>
      <c r="B162" s="3" t="s">
        <v>493</v>
      </c>
      <c r="C162" s="5" t="s">
        <v>493</v>
      </c>
      <c r="D162" s="6"/>
      <c r="E162" s="7" t="s">
        <v>494</v>
      </c>
      <c r="G162" s="8">
        <v>0.5</v>
      </c>
      <c r="H162" s="3" t="s">
        <v>950</v>
      </c>
    </row>
    <row r="163" spans="1:8">
      <c r="A163" s="26" t="s">
        <v>15</v>
      </c>
      <c r="B163" s="3" t="s">
        <v>177</v>
      </c>
      <c r="C163" s="5" t="s">
        <v>177</v>
      </c>
      <c r="D163" s="6"/>
      <c r="E163" s="7" t="s">
        <v>15</v>
      </c>
      <c r="G163" s="8">
        <v>1</v>
      </c>
      <c r="H163" s="3" t="s">
        <v>950</v>
      </c>
    </row>
    <row r="164" spans="1:8">
      <c r="A164" s="108" t="s">
        <v>16</v>
      </c>
      <c r="B164" s="3" t="s">
        <v>178</v>
      </c>
      <c r="C164" s="5" t="s">
        <v>182</v>
      </c>
      <c r="D164" s="6"/>
      <c r="E164" s="7" t="s">
        <v>495</v>
      </c>
    </row>
    <row r="165" spans="1:8">
      <c r="A165" s="108"/>
      <c r="B165" s="3" t="s">
        <v>179</v>
      </c>
      <c r="C165" s="5" t="s">
        <v>181</v>
      </c>
      <c r="D165" s="6"/>
      <c r="E165" s="7" t="s">
        <v>496</v>
      </c>
    </row>
    <row r="166" spans="1:8">
      <c r="A166" s="108"/>
      <c r="B166" s="3" t="s">
        <v>180</v>
      </c>
      <c r="C166" s="5" t="s">
        <v>180</v>
      </c>
      <c r="D166" s="6"/>
      <c r="E166" s="7" t="s">
        <v>497</v>
      </c>
    </row>
    <row r="167" spans="1:8">
      <c r="A167" s="108"/>
      <c r="B167" s="3" t="s">
        <v>181</v>
      </c>
      <c r="C167" s="5" t="s">
        <v>179</v>
      </c>
      <c r="D167" s="6"/>
      <c r="E167" s="7" t="s">
        <v>498</v>
      </c>
    </row>
    <row r="168" spans="1:8">
      <c r="A168" s="108"/>
      <c r="B168" s="3" t="s">
        <v>182</v>
      </c>
      <c r="C168" s="5" t="s">
        <v>184</v>
      </c>
      <c r="D168" s="6"/>
      <c r="E168" s="7" t="s">
        <v>499</v>
      </c>
    </row>
    <row r="169" spans="1:8">
      <c r="A169" s="108"/>
      <c r="B169" s="3" t="s">
        <v>183</v>
      </c>
      <c r="C169" s="5" t="s">
        <v>183</v>
      </c>
      <c r="D169" s="3" t="s">
        <v>683</v>
      </c>
      <c r="E169" s="7" t="s">
        <v>500</v>
      </c>
      <c r="F169" s="3">
        <f>665000/2</f>
        <v>332500</v>
      </c>
      <c r="G169" s="8">
        <v>1</v>
      </c>
    </row>
    <row r="170" spans="1:8">
      <c r="A170" s="108"/>
      <c r="B170" s="3" t="s">
        <v>184</v>
      </c>
      <c r="C170" s="5" t="s">
        <v>178</v>
      </c>
      <c r="D170" s="6"/>
      <c r="E170" s="7" t="s">
        <v>501</v>
      </c>
    </row>
    <row r="171" spans="1:8">
      <c r="A171" s="108"/>
      <c r="B171" s="3" t="s">
        <v>185</v>
      </c>
      <c r="C171" s="5" t="s">
        <v>185</v>
      </c>
      <c r="D171" s="6"/>
      <c r="E171" s="7" t="s">
        <v>502</v>
      </c>
    </row>
    <row r="172" spans="1:8">
      <c r="A172" s="26" t="s">
        <v>504</v>
      </c>
      <c r="C172" s="5" t="s">
        <v>503</v>
      </c>
      <c r="D172" s="6"/>
      <c r="E172" s="7" t="s">
        <v>504</v>
      </c>
      <c r="G172" s="8">
        <v>1</v>
      </c>
      <c r="H172" s="3" t="s">
        <v>950</v>
      </c>
    </row>
    <row r="173" spans="1:8">
      <c r="A173" s="108" t="s">
        <v>17</v>
      </c>
      <c r="B173" s="3" t="s">
        <v>186</v>
      </c>
      <c r="C173" s="5" t="s">
        <v>193</v>
      </c>
      <c r="D173" s="6"/>
      <c r="E173" s="7" t="s">
        <v>505</v>
      </c>
    </row>
    <row r="174" spans="1:8">
      <c r="A174" s="108"/>
      <c r="B174" s="3" t="s">
        <v>187</v>
      </c>
      <c r="C174" s="5" t="s">
        <v>195</v>
      </c>
      <c r="D174" s="6"/>
      <c r="E174" s="7" t="s">
        <v>506</v>
      </c>
    </row>
    <row r="175" spans="1:8">
      <c r="A175" s="108"/>
      <c r="B175" s="3" t="s">
        <v>188</v>
      </c>
      <c r="C175" s="5" t="s">
        <v>197</v>
      </c>
      <c r="D175" s="6"/>
      <c r="E175" s="7" t="s">
        <v>507</v>
      </c>
    </row>
    <row r="176" spans="1:8">
      <c r="A176" s="108"/>
      <c r="B176" s="3" t="s">
        <v>189</v>
      </c>
      <c r="C176" s="5" t="s">
        <v>188</v>
      </c>
      <c r="D176" s="6"/>
      <c r="E176" s="7" t="s">
        <v>508</v>
      </c>
    </row>
    <row r="177" spans="1:7">
      <c r="A177" s="108"/>
      <c r="B177" s="3" t="s">
        <v>190</v>
      </c>
      <c r="C177" s="5" t="s">
        <v>194</v>
      </c>
      <c r="D177" s="6"/>
      <c r="E177" s="7" t="s">
        <v>509</v>
      </c>
    </row>
    <row r="178" spans="1:7">
      <c r="A178" s="108"/>
      <c r="B178" s="3" t="s">
        <v>191</v>
      </c>
      <c r="C178" s="5" t="s">
        <v>196</v>
      </c>
      <c r="D178" s="6"/>
      <c r="E178" s="7" t="s">
        <v>510</v>
      </c>
    </row>
    <row r="179" spans="1:7">
      <c r="A179" s="108"/>
      <c r="B179" s="3" t="s">
        <v>192</v>
      </c>
      <c r="C179" s="5" t="s">
        <v>190</v>
      </c>
      <c r="D179" s="6"/>
      <c r="E179" s="7" t="s">
        <v>511</v>
      </c>
    </row>
    <row r="180" spans="1:7">
      <c r="A180" s="108"/>
      <c r="B180" s="3" t="s">
        <v>193</v>
      </c>
      <c r="C180" s="5" t="s">
        <v>189</v>
      </c>
      <c r="D180" s="6"/>
      <c r="E180" s="7" t="s">
        <v>512</v>
      </c>
    </row>
    <row r="181" spans="1:7">
      <c r="A181" s="108"/>
      <c r="B181" s="3" t="s">
        <v>194</v>
      </c>
      <c r="C181" s="5" t="s">
        <v>186</v>
      </c>
      <c r="D181" s="6"/>
      <c r="E181" s="7" t="s">
        <v>513</v>
      </c>
    </row>
    <row r="182" spans="1:7">
      <c r="A182" s="108"/>
      <c r="B182" s="3" t="s">
        <v>195</v>
      </c>
      <c r="C182" s="5" t="s">
        <v>187</v>
      </c>
      <c r="D182" s="3" t="s">
        <v>679</v>
      </c>
      <c r="E182" s="7" t="s">
        <v>514</v>
      </c>
      <c r="F182" s="3">
        <f>1825/2</f>
        <v>912.5</v>
      </c>
      <c r="G182" s="8">
        <f>F182/SUM(F$182:F$184)</f>
        <v>0.4466470876162506</v>
      </c>
    </row>
    <row r="183" spans="1:7">
      <c r="A183" s="108"/>
      <c r="B183" s="3" t="s">
        <v>196</v>
      </c>
      <c r="C183" s="5" t="s">
        <v>191</v>
      </c>
      <c r="D183" s="3" t="s">
        <v>678</v>
      </c>
      <c r="E183" s="7" t="s">
        <v>515</v>
      </c>
      <c r="F183" s="3">
        <f>910/2</f>
        <v>455</v>
      </c>
      <c r="G183" s="8">
        <f t="shared" ref="G183:G184" si="7">F183/SUM(F$182:F$184)</f>
        <v>0.22271169848262359</v>
      </c>
    </row>
    <row r="184" spans="1:7">
      <c r="A184" s="108"/>
      <c r="B184" s="3" t="s">
        <v>197</v>
      </c>
      <c r="C184" s="5" t="s">
        <v>192</v>
      </c>
      <c r="D184" s="3" t="s">
        <v>677</v>
      </c>
      <c r="E184" s="7" t="s">
        <v>516</v>
      </c>
      <c r="F184" s="3">
        <f>1351/2</f>
        <v>675.5</v>
      </c>
      <c r="G184" s="8">
        <f t="shared" si="7"/>
        <v>0.33064121390112577</v>
      </c>
    </row>
    <row r="185" spans="1:7">
      <c r="A185" s="108" t="s">
        <v>18</v>
      </c>
      <c r="B185" s="3" t="s">
        <v>198</v>
      </c>
      <c r="C185" s="5" t="s">
        <v>206</v>
      </c>
      <c r="D185" s="6"/>
      <c r="E185" s="7" t="s">
        <v>517</v>
      </c>
    </row>
    <row r="186" spans="1:7">
      <c r="A186" s="108"/>
      <c r="B186" s="3" t="s">
        <v>199</v>
      </c>
      <c r="C186" s="5" t="s">
        <v>204</v>
      </c>
      <c r="D186" s="6" t="s">
        <v>662</v>
      </c>
      <c r="E186" s="7" t="s">
        <v>518</v>
      </c>
      <c r="F186" s="3">
        <f>500/2</f>
        <v>250</v>
      </c>
      <c r="G186" s="8">
        <v>1</v>
      </c>
    </row>
    <row r="187" spans="1:7">
      <c r="A187" s="108"/>
      <c r="B187" s="3" t="s">
        <v>200</v>
      </c>
      <c r="C187" s="5" t="s">
        <v>203</v>
      </c>
      <c r="D187" s="6"/>
      <c r="E187" s="7" t="s">
        <v>519</v>
      </c>
    </row>
    <row r="188" spans="1:7">
      <c r="A188" s="108"/>
      <c r="B188" s="3" t="s">
        <v>201</v>
      </c>
      <c r="C188" s="5" t="s">
        <v>205</v>
      </c>
      <c r="D188" s="6"/>
      <c r="E188" s="7" t="s">
        <v>520</v>
      </c>
    </row>
    <row r="189" spans="1:7">
      <c r="A189" s="108"/>
      <c r="B189" s="3" t="s">
        <v>202</v>
      </c>
      <c r="C189" s="5" t="s">
        <v>200</v>
      </c>
      <c r="D189" s="6"/>
      <c r="E189" s="7" t="s">
        <v>521</v>
      </c>
    </row>
    <row r="190" spans="1:7">
      <c r="A190" s="108"/>
      <c r="B190" s="3" t="s">
        <v>203</v>
      </c>
      <c r="C190" s="5" t="s">
        <v>202</v>
      </c>
      <c r="D190" s="6"/>
      <c r="E190" s="7" t="s">
        <v>522</v>
      </c>
    </row>
    <row r="191" spans="1:7">
      <c r="A191" s="108"/>
      <c r="B191" s="3" t="s">
        <v>204</v>
      </c>
      <c r="C191" s="5" t="s">
        <v>201</v>
      </c>
      <c r="D191" s="6"/>
      <c r="E191" s="7" t="s">
        <v>523</v>
      </c>
    </row>
    <row r="192" spans="1:7">
      <c r="A192" s="108"/>
      <c r="B192" s="3" t="s">
        <v>205</v>
      </c>
      <c r="C192" s="5" t="s">
        <v>199</v>
      </c>
      <c r="D192" s="6"/>
      <c r="E192" s="7" t="s">
        <v>524</v>
      </c>
    </row>
    <row r="193" spans="1:5">
      <c r="A193" s="108"/>
      <c r="B193" s="3" t="s">
        <v>206</v>
      </c>
      <c r="C193" s="5" t="s">
        <v>198</v>
      </c>
      <c r="D193" s="6"/>
      <c r="E193" s="7" t="s">
        <v>525</v>
      </c>
    </row>
    <row r="194" spans="1:5">
      <c r="A194" s="108" t="s">
        <v>19</v>
      </c>
      <c r="B194" s="3" t="s">
        <v>207</v>
      </c>
      <c r="C194" s="5" t="s">
        <v>219</v>
      </c>
      <c r="D194" s="6"/>
      <c r="E194" s="7" t="s">
        <v>526</v>
      </c>
    </row>
    <row r="195" spans="1:5">
      <c r="A195" s="108"/>
      <c r="B195" s="3" t="s">
        <v>208</v>
      </c>
      <c r="C195" s="5" t="s">
        <v>210</v>
      </c>
      <c r="D195" s="6"/>
      <c r="E195" s="7" t="s">
        <v>527</v>
      </c>
    </row>
    <row r="196" spans="1:5">
      <c r="A196" s="108"/>
      <c r="B196" s="3" t="s">
        <v>209</v>
      </c>
      <c r="C196" s="5" t="s">
        <v>221</v>
      </c>
      <c r="D196" s="6"/>
      <c r="E196" s="7" t="s">
        <v>528</v>
      </c>
    </row>
    <row r="197" spans="1:5">
      <c r="A197" s="108"/>
      <c r="B197" s="3" t="s">
        <v>210</v>
      </c>
      <c r="C197" s="5" t="s">
        <v>207</v>
      </c>
      <c r="D197" s="6"/>
      <c r="E197" s="7" t="s">
        <v>529</v>
      </c>
    </row>
    <row r="198" spans="1:5">
      <c r="A198" s="108"/>
      <c r="B198" s="3" t="s">
        <v>211</v>
      </c>
      <c r="C198" s="5" t="s">
        <v>216</v>
      </c>
      <c r="D198" s="6"/>
      <c r="E198" s="7" t="s">
        <v>530</v>
      </c>
    </row>
    <row r="199" spans="1:5">
      <c r="A199" s="108"/>
      <c r="B199" s="3" t="s">
        <v>212</v>
      </c>
      <c r="C199" s="5" t="s">
        <v>218</v>
      </c>
      <c r="D199" s="6"/>
      <c r="E199" s="7" t="s">
        <v>531</v>
      </c>
    </row>
    <row r="200" spans="1:5">
      <c r="A200" s="108"/>
      <c r="B200" s="3" t="s">
        <v>213</v>
      </c>
      <c r="C200" s="5" t="s">
        <v>213</v>
      </c>
      <c r="D200" s="6"/>
      <c r="E200" s="7" t="s">
        <v>532</v>
      </c>
    </row>
    <row r="201" spans="1:5">
      <c r="A201" s="108"/>
      <c r="B201" s="3" t="s">
        <v>214</v>
      </c>
      <c r="C201" s="5" t="s">
        <v>220</v>
      </c>
      <c r="D201" s="6"/>
      <c r="E201" s="7" t="s">
        <v>533</v>
      </c>
    </row>
    <row r="202" spans="1:5">
      <c r="A202" s="108"/>
      <c r="B202" s="3" t="s">
        <v>215</v>
      </c>
      <c r="C202" s="5" t="s">
        <v>208</v>
      </c>
      <c r="D202" s="6"/>
      <c r="E202" s="7" t="s">
        <v>534</v>
      </c>
    </row>
    <row r="203" spans="1:5">
      <c r="A203" s="108"/>
      <c r="B203" s="3" t="s">
        <v>216</v>
      </c>
      <c r="C203" s="5" t="s">
        <v>211</v>
      </c>
      <c r="D203" s="6"/>
      <c r="E203" s="7" t="s">
        <v>535</v>
      </c>
    </row>
    <row r="204" spans="1:5">
      <c r="A204" s="108"/>
      <c r="B204" s="3" t="s">
        <v>217</v>
      </c>
      <c r="C204" s="5" t="s">
        <v>223</v>
      </c>
      <c r="D204" s="6"/>
      <c r="E204" s="7" t="s">
        <v>536</v>
      </c>
    </row>
    <row r="205" spans="1:5">
      <c r="A205" s="108"/>
      <c r="B205" s="3" t="s">
        <v>218</v>
      </c>
      <c r="C205" s="5" t="s">
        <v>222</v>
      </c>
      <c r="D205" s="6"/>
      <c r="E205" s="7" t="s">
        <v>537</v>
      </c>
    </row>
    <row r="206" spans="1:5">
      <c r="A206" s="108"/>
      <c r="B206" s="3" t="s">
        <v>219</v>
      </c>
      <c r="C206" s="5" t="s">
        <v>217</v>
      </c>
      <c r="D206" s="6"/>
      <c r="E206" s="7" t="s">
        <v>538</v>
      </c>
    </row>
    <row r="207" spans="1:5">
      <c r="A207" s="108"/>
      <c r="B207" s="3" t="s">
        <v>220</v>
      </c>
      <c r="C207" s="5" t="s">
        <v>209</v>
      </c>
      <c r="D207" s="6"/>
      <c r="E207" s="7" t="s">
        <v>539</v>
      </c>
    </row>
    <row r="208" spans="1:5">
      <c r="A208" s="108"/>
      <c r="B208" s="3" t="s">
        <v>221</v>
      </c>
      <c r="C208" s="5" t="s">
        <v>212</v>
      </c>
      <c r="D208" s="6"/>
      <c r="E208" s="7" t="s">
        <v>540</v>
      </c>
    </row>
    <row r="209" spans="1:8">
      <c r="A209" s="108"/>
      <c r="B209" s="3" t="s">
        <v>222</v>
      </c>
      <c r="C209" s="5" t="s">
        <v>214</v>
      </c>
      <c r="D209" s="6"/>
      <c r="E209" s="7" t="s">
        <v>541</v>
      </c>
    </row>
    <row r="210" spans="1:8">
      <c r="A210" s="108"/>
      <c r="B210" s="3" t="s">
        <v>223</v>
      </c>
      <c r="C210" s="5" t="s">
        <v>215</v>
      </c>
      <c r="D210" s="3" t="s">
        <v>676</v>
      </c>
      <c r="E210" s="7" t="s">
        <v>542</v>
      </c>
      <c r="F210" s="3">
        <f>700/2</f>
        <v>350</v>
      </c>
      <c r="G210" s="8">
        <v>1</v>
      </c>
    </row>
    <row r="211" spans="1:8">
      <c r="A211" s="108" t="s">
        <v>20</v>
      </c>
      <c r="B211" s="3" t="s">
        <v>224</v>
      </c>
      <c r="C211" s="5" t="s">
        <v>226</v>
      </c>
      <c r="D211" s="6"/>
      <c r="E211" s="7" t="s">
        <v>543</v>
      </c>
    </row>
    <row r="212" spans="1:8">
      <c r="A212" s="108"/>
      <c r="B212" s="3" t="s">
        <v>225</v>
      </c>
      <c r="C212" s="5" t="s">
        <v>225</v>
      </c>
      <c r="D212" s="6"/>
      <c r="E212" s="7" t="s">
        <v>544</v>
      </c>
    </row>
    <row r="213" spans="1:8">
      <c r="A213" s="108"/>
      <c r="B213" s="3" t="s">
        <v>226</v>
      </c>
      <c r="C213" s="5" t="s">
        <v>228</v>
      </c>
      <c r="D213" s="6"/>
      <c r="E213" s="7" t="s">
        <v>545</v>
      </c>
    </row>
    <row r="214" spans="1:8">
      <c r="A214" s="108"/>
      <c r="B214" s="3" t="s">
        <v>227</v>
      </c>
      <c r="C214" s="5" t="s">
        <v>224</v>
      </c>
      <c r="D214" s="6"/>
      <c r="E214" s="7" t="s">
        <v>546</v>
      </c>
    </row>
    <row r="215" spans="1:8">
      <c r="A215" s="108"/>
      <c r="B215" s="3" t="s">
        <v>228</v>
      </c>
      <c r="C215" s="5" t="s">
        <v>227</v>
      </c>
      <c r="D215" s="3" t="s">
        <v>675</v>
      </c>
      <c r="E215" s="7" t="s">
        <v>547</v>
      </c>
      <c r="F215" s="3">
        <f>1000/2</f>
        <v>500</v>
      </c>
      <c r="G215" s="8">
        <v>1</v>
      </c>
    </row>
    <row r="216" spans="1:8">
      <c r="A216" s="108"/>
      <c r="C216" s="5" t="s">
        <v>548</v>
      </c>
      <c r="D216" s="6"/>
      <c r="E216" s="7" t="s">
        <v>549</v>
      </c>
    </row>
    <row r="217" spans="1:8">
      <c r="A217" s="108"/>
      <c r="C217" s="5" t="s">
        <v>550</v>
      </c>
      <c r="D217" s="6"/>
      <c r="E217" s="7" t="s">
        <v>551</v>
      </c>
    </row>
    <row r="218" spans="1:8">
      <c r="A218" s="108" t="s">
        <v>21</v>
      </c>
      <c r="B218" s="3" t="s">
        <v>229</v>
      </c>
      <c r="C218" s="5" t="s">
        <v>231</v>
      </c>
      <c r="D218" s="6"/>
      <c r="E218" s="7" t="s">
        <v>552</v>
      </c>
      <c r="G218" s="8">
        <f xml:space="preserve"> 1/ ROWS(C218:C225)</f>
        <v>0.125</v>
      </c>
      <c r="H218" s="3" t="s">
        <v>950</v>
      </c>
    </row>
    <row r="219" spans="1:8">
      <c r="A219" s="108"/>
      <c r="B219" s="3" t="s">
        <v>230</v>
      </c>
      <c r="C219" s="5" t="s">
        <v>236</v>
      </c>
      <c r="D219" s="6"/>
      <c r="E219" s="7" t="s">
        <v>553</v>
      </c>
      <c r="G219" s="8">
        <f t="shared" ref="G219:G227" si="8" xml:space="preserve"> 1/ ROWS(C219:C226)</f>
        <v>0.125</v>
      </c>
      <c r="H219" s="3" t="s">
        <v>950</v>
      </c>
    </row>
    <row r="220" spans="1:8">
      <c r="A220" s="108"/>
      <c r="B220" s="3" t="s">
        <v>231</v>
      </c>
      <c r="C220" s="5" t="s">
        <v>232</v>
      </c>
      <c r="D220" s="6"/>
      <c r="E220" s="7" t="s">
        <v>554</v>
      </c>
      <c r="G220" s="8">
        <f t="shared" si="8"/>
        <v>0.125</v>
      </c>
      <c r="H220" s="3" t="s">
        <v>950</v>
      </c>
    </row>
    <row r="221" spans="1:8">
      <c r="A221" s="108"/>
      <c r="B221" s="3" t="s">
        <v>232</v>
      </c>
      <c r="C221" s="5" t="s">
        <v>230</v>
      </c>
      <c r="D221" s="6"/>
      <c r="E221" s="7" t="s">
        <v>555</v>
      </c>
      <c r="G221" s="8">
        <f t="shared" si="8"/>
        <v>0.125</v>
      </c>
      <c r="H221" s="3" t="s">
        <v>950</v>
      </c>
    </row>
    <row r="222" spans="1:8">
      <c r="A222" s="108"/>
      <c r="B222" s="3" t="s">
        <v>233</v>
      </c>
      <c r="C222" s="5" t="s">
        <v>234</v>
      </c>
      <c r="D222" s="6"/>
      <c r="E222" s="7" t="s">
        <v>556</v>
      </c>
      <c r="G222" s="8">
        <f t="shared" si="8"/>
        <v>0.125</v>
      </c>
      <c r="H222" s="3" t="s">
        <v>950</v>
      </c>
    </row>
    <row r="223" spans="1:8">
      <c r="A223" s="108"/>
      <c r="B223" s="3" t="s">
        <v>234</v>
      </c>
      <c r="C223" s="5" t="s">
        <v>233</v>
      </c>
      <c r="D223" s="6"/>
      <c r="E223" s="7" t="s">
        <v>557</v>
      </c>
      <c r="G223" s="8">
        <f t="shared" si="8"/>
        <v>0.125</v>
      </c>
      <c r="H223" s="3" t="s">
        <v>950</v>
      </c>
    </row>
    <row r="224" spans="1:8">
      <c r="A224" s="108"/>
      <c r="B224" s="3" t="s">
        <v>235</v>
      </c>
      <c r="C224" s="5" t="s">
        <v>229</v>
      </c>
      <c r="D224" s="6"/>
      <c r="E224" s="7" t="s">
        <v>558</v>
      </c>
      <c r="G224" s="8">
        <f t="shared" si="8"/>
        <v>0.125</v>
      </c>
      <c r="H224" s="3" t="s">
        <v>950</v>
      </c>
    </row>
    <row r="225" spans="1:8">
      <c r="A225" s="108"/>
      <c r="B225" s="3" t="s">
        <v>236</v>
      </c>
      <c r="C225" s="5" t="s">
        <v>235</v>
      </c>
      <c r="D225" s="6"/>
      <c r="E225" s="7" t="s">
        <v>559</v>
      </c>
      <c r="G225" s="8">
        <f t="shared" si="8"/>
        <v>0.125</v>
      </c>
      <c r="H225" s="3" t="s">
        <v>950</v>
      </c>
    </row>
    <row r="226" spans="1:8">
      <c r="A226" s="108" t="s">
        <v>22</v>
      </c>
      <c r="B226" s="3" t="s">
        <v>237</v>
      </c>
      <c r="C226" s="5" t="s">
        <v>237</v>
      </c>
      <c r="D226" s="6"/>
      <c r="E226" s="7" t="s">
        <v>560</v>
      </c>
      <c r="G226" s="8">
        <f t="shared" si="8"/>
        <v>0.125</v>
      </c>
      <c r="H226" s="3" t="s">
        <v>950</v>
      </c>
    </row>
    <row r="227" spans="1:8">
      <c r="A227" s="108"/>
      <c r="B227" s="3" t="s">
        <v>238</v>
      </c>
      <c r="C227" s="5" t="s">
        <v>238</v>
      </c>
      <c r="D227" s="6"/>
      <c r="E227" s="7" t="s">
        <v>561</v>
      </c>
      <c r="G227" s="8">
        <f t="shared" si="8"/>
        <v>0.125</v>
      </c>
      <c r="H227" s="3" t="s">
        <v>950</v>
      </c>
    </row>
    <row r="228" spans="1:8">
      <c r="A228" s="108" t="s">
        <v>23</v>
      </c>
      <c r="B228" s="3" t="s">
        <v>239</v>
      </c>
      <c r="C228" s="5" t="s">
        <v>241</v>
      </c>
      <c r="D228" s="6" t="s">
        <v>674</v>
      </c>
      <c r="E228" s="7" t="s">
        <v>562</v>
      </c>
      <c r="F228" s="3">
        <f>220/2</f>
        <v>110</v>
      </c>
      <c r="G228" s="8">
        <v>1</v>
      </c>
    </row>
    <row r="229" spans="1:8">
      <c r="A229" s="108"/>
      <c r="B229" s="3" t="s">
        <v>240</v>
      </c>
      <c r="C229" s="5" t="s">
        <v>239</v>
      </c>
      <c r="D229" s="6"/>
      <c r="E229" s="7" t="s">
        <v>563</v>
      </c>
    </row>
    <row r="230" spans="1:8">
      <c r="A230" s="108"/>
      <c r="B230" s="3" t="s">
        <v>241</v>
      </c>
      <c r="C230" s="5" t="s">
        <v>242</v>
      </c>
      <c r="D230" s="6"/>
      <c r="E230" s="7" t="s">
        <v>564</v>
      </c>
    </row>
    <row r="231" spans="1:8">
      <c r="A231" s="108"/>
      <c r="B231" s="3" t="s">
        <v>242</v>
      </c>
      <c r="C231" s="5" t="s">
        <v>240</v>
      </c>
      <c r="D231" s="6"/>
      <c r="E231" s="7" t="s">
        <v>565</v>
      </c>
    </row>
    <row r="232" spans="1:8">
      <c r="A232" s="108" t="s">
        <v>24</v>
      </c>
      <c r="B232" s="3" t="s">
        <v>243</v>
      </c>
      <c r="C232" s="5" t="s">
        <v>243</v>
      </c>
      <c r="D232" s="6"/>
      <c r="E232" s="7" t="s">
        <v>566</v>
      </c>
    </row>
    <row r="233" spans="1:8">
      <c r="A233" s="108"/>
      <c r="B233" s="3" t="s">
        <v>244</v>
      </c>
      <c r="C233" s="5" t="s">
        <v>245</v>
      </c>
      <c r="D233" s="6" t="s">
        <v>663</v>
      </c>
      <c r="E233" s="7" t="s">
        <v>567</v>
      </c>
      <c r="F233" s="3">
        <f>420/2</f>
        <v>210</v>
      </c>
      <c r="G233" s="8">
        <v>1</v>
      </c>
    </row>
    <row r="234" spans="1:8">
      <c r="A234" s="108"/>
      <c r="B234" s="3" t="s">
        <v>245</v>
      </c>
      <c r="C234" s="5" t="s">
        <v>244</v>
      </c>
      <c r="D234" s="6"/>
      <c r="E234" s="7" t="s">
        <v>568</v>
      </c>
    </row>
    <row r="235" spans="1:8">
      <c r="A235" s="108"/>
      <c r="B235" s="3" t="s">
        <v>246</v>
      </c>
      <c r="C235" s="5" t="s">
        <v>246</v>
      </c>
      <c r="D235" s="6"/>
      <c r="E235" s="7" t="s">
        <v>569</v>
      </c>
    </row>
    <row r="236" spans="1:8">
      <c r="A236" s="108"/>
      <c r="C236" s="5" t="s">
        <v>570</v>
      </c>
      <c r="D236" s="6"/>
      <c r="E236" s="7" t="s">
        <v>571</v>
      </c>
    </row>
    <row r="237" spans="1:8">
      <c r="A237" s="108" t="s">
        <v>25</v>
      </c>
      <c r="B237" s="3" t="s">
        <v>247</v>
      </c>
      <c r="C237" s="5" t="s">
        <v>247</v>
      </c>
      <c r="D237" s="6"/>
      <c r="E237" s="7" t="s">
        <v>572</v>
      </c>
    </row>
    <row r="238" spans="1:8">
      <c r="A238" s="108"/>
      <c r="B238" s="3" t="s">
        <v>248</v>
      </c>
      <c r="C238" s="5" t="s">
        <v>248</v>
      </c>
      <c r="D238" s="6"/>
      <c r="E238" s="7" t="s">
        <v>573</v>
      </c>
    </row>
    <row r="239" spans="1:8">
      <c r="A239" s="108"/>
      <c r="B239" s="3" t="s">
        <v>249</v>
      </c>
      <c r="C239" s="5" t="s">
        <v>252</v>
      </c>
      <c r="D239" s="6"/>
      <c r="E239" s="7" t="s">
        <v>574</v>
      </c>
    </row>
    <row r="240" spans="1:8">
      <c r="A240" s="108"/>
      <c r="B240" s="3" t="s">
        <v>250</v>
      </c>
      <c r="C240" s="5" t="s">
        <v>254</v>
      </c>
      <c r="D240" s="6"/>
      <c r="E240" s="7" t="s">
        <v>575</v>
      </c>
    </row>
    <row r="241" spans="1:7">
      <c r="A241" s="108"/>
      <c r="B241" s="3" t="s">
        <v>251</v>
      </c>
      <c r="C241" s="5" t="s">
        <v>251</v>
      </c>
      <c r="D241" s="3" t="s">
        <v>670</v>
      </c>
      <c r="E241" s="7" t="s">
        <v>576</v>
      </c>
      <c r="F241" s="3">
        <f>625/2</f>
        <v>312.5</v>
      </c>
      <c r="G241" s="8">
        <v>1</v>
      </c>
    </row>
    <row r="242" spans="1:7">
      <c r="A242" s="108"/>
      <c r="B242" s="3" t="s">
        <v>252</v>
      </c>
      <c r="C242" s="5" t="s">
        <v>253</v>
      </c>
      <c r="D242" s="6"/>
      <c r="E242" s="7" t="s">
        <v>577</v>
      </c>
    </row>
    <row r="243" spans="1:7">
      <c r="A243" s="108"/>
      <c r="B243" s="3" t="s">
        <v>253</v>
      </c>
      <c r="C243" s="5" t="s">
        <v>250</v>
      </c>
      <c r="D243" s="6"/>
      <c r="E243" s="7" t="s">
        <v>578</v>
      </c>
    </row>
    <row r="244" spans="1:7">
      <c r="A244" s="108"/>
      <c r="B244" s="3" t="s">
        <v>254</v>
      </c>
      <c r="C244" s="5" t="s">
        <v>249</v>
      </c>
      <c r="D244" s="6"/>
      <c r="E244" s="7" t="s">
        <v>579</v>
      </c>
    </row>
    <row r="245" spans="1:7">
      <c r="A245" s="108" t="s">
        <v>26</v>
      </c>
      <c r="B245" s="3" t="s">
        <v>255</v>
      </c>
      <c r="C245" s="5" t="s">
        <v>294</v>
      </c>
      <c r="D245" s="3" t="s">
        <v>673</v>
      </c>
      <c r="E245" s="7" t="s">
        <v>580</v>
      </c>
      <c r="F245" s="3">
        <f>865/2</f>
        <v>432.5</v>
      </c>
      <c r="G245" s="8">
        <f>F245/(F245+F282)</f>
        <v>0.37044967880085655</v>
      </c>
    </row>
    <row r="246" spans="1:7">
      <c r="A246" s="108"/>
      <c r="B246" s="3" t="s">
        <v>256</v>
      </c>
      <c r="C246" s="5" t="s">
        <v>268</v>
      </c>
      <c r="D246" s="6"/>
      <c r="E246" s="7" t="s">
        <v>581</v>
      </c>
    </row>
    <row r="247" spans="1:7">
      <c r="A247" s="108"/>
      <c r="B247" s="3" t="s">
        <v>257</v>
      </c>
      <c r="C247" s="5" t="s">
        <v>280</v>
      </c>
      <c r="D247" s="6"/>
      <c r="E247" s="7" t="s">
        <v>582</v>
      </c>
    </row>
    <row r="248" spans="1:7">
      <c r="A248" s="108"/>
      <c r="B248" s="3" t="s">
        <v>258</v>
      </c>
      <c r="C248" s="5" t="s">
        <v>270</v>
      </c>
      <c r="D248" s="6"/>
      <c r="E248" s="7" t="s">
        <v>583</v>
      </c>
    </row>
    <row r="249" spans="1:7">
      <c r="A249" s="108"/>
      <c r="B249" s="3" t="s">
        <v>259</v>
      </c>
      <c r="C249" s="5" t="s">
        <v>285</v>
      </c>
      <c r="D249" s="6"/>
      <c r="E249" s="7" t="s">
        <v>584</v>
      </c>
    </row>
    <row r="250" spans="1:7">
      <c r="A250" s="108"/>
      <c r="B250" s="3" t="s">
        <v>260</v>
      </c>
      <c r="C250" s="5" t="s">
        <v>264</v>
      </c>
      <c r="D250" s="6"/>
      <c r="E250" s="7" t="s">
        <v>585</v>
      </c>
    </row>
    <row r="251" spans="1:7">
      <c r="A251" s="108"/>
      <c r="B251" s="3" t="s">
        <v>261</v>
      </c>
      <c r="C251" s="5" t="s">
        <v>269</v>
      </c>
      <c r="D251" s="6"/>
      <c r="E251" s="7" t="s">
        <v>586</v>
      </c>
    </row>
    <row r="252" spans="1:7" ht="30">
      <c r="A252" s="108"/>
      <c r="B252" s="3" t="s">
        <v>262</v>
      </c>
      <c r="C252" s="5" t="s">
        <v>277</v>
      </c>
      <c r="D252" s="6"/>
      <c r="E252" s="7" t="s">
        <v>587</v>
      </c>
    </row>
    <row r="253" spans="1:7">
      <c r="A253" s="108"/>
      <c r="B253" s="3" t="s">
        <v>263</v>
      </c>
      <c r="C253" s="5" t="s">
        <v>295</v>
      </c>
      <c r="D253" s="6"/>
      <c r="E253" s="7" t="s">
        <v>588</v>
      </c>
    </row>
    <row r="254" spans="1:7">
      <c r="A254" s="108"/>
      <c r="B254" s="3" t="s">
        <v>264</v>
      </c>
      <c r="C254" s="5" t="s">
        <v>266</v>
      </c>
      <c r="D254" s="6"/>
      <c r="E254" s="7" t="s">
        <v>589</v>
      </c>
    </row>
    <row r="255" spans="1:7">
      <c r="A255" s="108"/>
      <c r="B255" s="3" t="s">
        <v>265</v>
      </c>
      <c r="C255" s="5" t="s">
        <v>263</v>
      </c>
      <c r="D255" s="6"/>
      <c r="E255" s="7" t="s">
        <v>590</v>
      </c>
    </row>
    <row r="256" spans="1:7">
      <c r="A256" s="108"/>
      <c r="B256" s="3" t="s">
        <v>266</v>
      </c>
      <c r="C256" s="5" t="s">
        <v>279</v>
      </c>
      <c r="D256" s="6"/>
      <c r="E256" s="7" t="s">
        <v>591</v>
      </c>
    </row>
    <row r="257" spans="1:5" ht="30">
      <c r="A257" s="108"/>
      <c r="B257" s="3" t="s">
        <v>267</v>
      </c>
      <c r="C257" s="5" t="s">
        <v>272</v>
      </c>
      <c r="D257" s="6"/>
      <c r="E257" s="7" t="s">
        <v>592</v>
      </c>
    </row>
    <row r="258" spans="1:5">
      <c r="A258" s="108"/>
      <c r="B258" s="3" t="s">
        <v>268</v>
      </c>
      <c r="C258" s="5" t="s">
        <v>271</v>
      </c>
      <c r="D258" s="6"/>
      <c r="E258" s="7" t="s">
        <v>593</v>
      </c>
    </row>
    <row r="259" spans="1:5" ht="30">
      <c r="A259" s="108"/>
      <c r="B259" s="3" t="s">
        <v>269</v>
      </c>
      <c r="C259" s="5" t="s">
        <v>275</v>
      </c>
      <c r="D259" s="6"/>
      <c r="E259" s="7" t="s">
        <v>594</v>
      </c>
    </row>
    <row r="260" spans="1:5">
      <c r="A260" s="108"/>
      <c r="B260" s="3" t="s">
        <v>270</v>
      </c>
      <c r="C260" s="5" t="s">
        <v>267</v>
      </c>
      <c r="D260" s="6"/>
      <c r="E260" s="7" t="s">
        <v>595</v>
      </c>
    </row>
    <row r="261" spans="1:5">
      <c r="A261" s="108"/>
      <c r="B261" s="3" t="s">
        <v>271</v>
      </c>
      <c r="C261" s="5" t="s">
        <v>274</v>
      </c>
      <c r="D261" s="6"/>
      <c r="E261" s="7" t="s">
        <v>596</v>
      </c>
    </row>
    <row r="262" spans="1:5">
      <c r="A262" s="108"/>
      <c r="B262" s="3" t="s">
        <v>272</v>
      </c>
      <c r="C262" s="5" t="s">
        <v>282</v>
      </c>
      <c r="D262" s="6"/>
      <c r="E262" s="7" t="s">
        <v>597</v>
      </c>
    </row>
    <row r="263" spans="1:5">
      <c r="A263" s="108"/>
      <c r="B263" s="3" t="s">
        <v>273</v>
      </c>
      <c r="C263" s="5" t="s">
        <v>287</v>
      </c>
      <c r="D263" s="6"/>
      <c r="E263" s="7" t="s">
        <v>598</v>
      </c>
    </row>
    <row r="264" spans="1:5">
      <c r="A264" s="108"/>
      <c r="B264" s="3" t="s">
        <v>274</v>
      </c>
      <c r="C264" s="5" t="s">
        <v>265</v>
      </c>
      <c r="D264" s="6"/>
      <c r="E264" s="7" t="s">
        <v>599</v>
      </c>
    </row>
    <row r="265" spans="1:5">
      <c r="A265" s="108"/>
      <c r="B265" s="3" t="s">
        <v>275</v>
      </c>
      <c r="C265" s="5" t="s">
        <v>293</v>
      </c>
      <c r="D265" s="6"/>
      <c r="E265" s="7" t="s">
        <v>600</v>
      </c>
    </row>
    <row r="266" spans="1:5">
      <c r="A266" s="108"/>
      <c r="B266" s="3" t="s">
        <v>276</v>
      </c>
      <c r="C266" s="5" t="s">
        <v>292</v>
      </c>
      <c r="D266" s="6"/>
      <c r="E266" s="7" t="s">
        <v>601</v>
      </c>
    </row>
    <row r="267" spans="1:5">
      <c r="A267" s="108"/>
      <c r="B267" s="3" t="s">
        <v>277</v>
      </c>
      <c r="C267" s="5" t="s">
        <v>291</v>
      </c>
      <c r="D267" s="6"/>
      <c r="E267" s="7" t="s">
        <v>602</v>
      </c>
    </row>
    <row r="268" spans="1:5">
      <c r="A268" s="108"/>
      <c r="B268" s="3" t="s">
        <v>278</v>
      </c>
      <c r="C268" s="5" t="s">
        <v>290</v>
      </c>
      <c r="D268" s="6"/>
      <c r="E268" s="7" t="s">
        <v>603</v>
      </c>
    </row>
    <row r="269" spans="1:5" ht="30">
      <c r="A269" s="108"/>
      <c r="B269" s="3" t="s">
        <v>279</v>
      </c>
      <c r="C269" s="5" t="s">
        <v>289</v>
      </c>
      <c r="D269" s="6"/>
      <c r="E269" s="7" t="s">
        <v>604</v>
      </c>
    </row>
    <row r="270" spans="1:5" ht="30">
      <c r="A270" s="108"/>
      <c r="B270" s="3" t="s">
        <v>280</v>
      </c>
      <c r="C270" s="5" t="s">
        <v>286</v>
      </c>
      <c r="D270" s="6"/>
      <c r="E270" s="7" t="s">
        <v>605</v>
      </c>
    </row>
    <row r="271" spans="1:5">
      <c r="A271" s="108"/>
      <c r="B271" s="3" t="s">
        <v>281</v>
      </c>
      <c r="C271" s="5" t="s">
        <v>283</v>
      </c>
      <c r="D271" s="6"/>
      <c r="E271" s="7" t="s">
        <v>606</v>
      </c>
    </row>
    <row r="272" spans="1:5">
      <c r="A272" s="108"/>
      <c r="B272" s="3" t="s">
        <v>282</v>
      </c>
      <c r="C272" s="5" t="s">
        <v>276</v>
      </c>
      <c r="D272" s="6"/>
      <c r="E272" s="7" t="s">
        <v>607</v>
      </c>
    </row>
    <row r="273" spans="1:8">
      <c r="A273" s="108"/>
      <c r="B273" s="3" t="s">
        <v>283</v>
      </c>
      <c r="C273" s="5" t="s">
        <v>273</v>
      </c>
      <c r="D273" s="6"/>
      <c r="E273" s="7" t="s">
        <v>608</v>
      </c>
    </row>
    <row r="274" spans="1:8" ht="30">
      <c r="A274" s="108"/>
      <c r="B274" s="3" t="s">
        <v>284</v>
      </c>
      <c r="C274" s="5" t="s">
        <v>288</v>
      </c>
      <c r="D274" s="6"/>
      <c r="E274" s="7" t="s">
        <v>609</v>
      </c>
    </row>
    <row r="275" spans="1:8">
      <c r="A275" s="108"/>
      <c r="B275" s="3" t="s">
        <v>285</v>
      </c>
      <c r="C275" s="5" t="s">
        <v>284</v>
      </c>
      <c r="D275" s="6"/>
      <c r="E275" s="7" t="s">
        <v>610</v>
      </c>
    </row>
    <row r="276" spans="1:8">
      <c r="A276" s="108"/>
      <c r="B276" s="3" t="s">
        <v>286</v>
      </c>
      <c r="C276" s="5" t="s">
        <v>281</v>
      </c>
      <c r="D276" s="6"/>
      <c r="E276" s="7" t="s">
        <v>611</v>
      </c>
    </row>
    <row r="277" spans="1:8">
      <c r="A277" s="108"/>
      <c r="B277" s="3" t="s">
        <v>287</v>
      </c>
      <c r="C277" s="5" t="s">
        <v>278</v>
      </c>
      <c r="D277" s="6"/>
      <c r="E277" s="7" t="s">
        <v>612</v>
      </c>
    </row>
    <row r="278" spans="1:8">
      <c r="A278" s="108"/>
      <c r="B278" s="3" t="s">
        <v>288</v>
      </c>
      <c r="C278" s="5" t="s">
        <v>255</v>
      </c>
      <c r="D278" s="6"/>
      <c r="E278" s="7" t="s">
        <v>613</v>
      </c>
    </row>
    <row r="279" spans="1:8">
      <c r="A279" s="108"/>
      <c r="B279" s="3" t="s">
        <v>289</v>
      </c>
      <c r="C279" s="5" t="s">
        <v>256</v>
      </c>
      <c r="D279" s="6"/>
      <c r="E279" s="7" t="s">
        <v>614</v>
      </c>
    </row>
    <row r="280" spans="1:8">
      <c r="A280" s="108"/>
      <c r="B280" s="3" t="s">
        <v>290</v>
      </c>
      <c r="C280" s="5" t="s">
        <v>261</v>
      </c>
      <c r="D280" s="6"/>
      <c r="E280" s="7" t="s">
        <v>615</v>
      </c>
    </row>
    <row r="281" spans="1:8">
      <c r="A281" s="108"/>
      <c r="B281" s="3" t="s">
        <v>291</v>
      </c>
      <c r="C281" s="5" t="s">
        <v>259</v>
      </c>
      <c r="D281" s="6"/>
      <c r="E281" s="7" t="s">
        <v>616</v>
      </c>
    </row>
    <row r="282" spans="1:8" ht="30">
      <c r="A282" s="108"/>
      <c r="B282" s="3" t="s">
        <v>292</v>
      </c>
      <c r="C282" s="5" t="s">
        <v>260</v>
      </c>
      <c r="D282" s="25" t="s">
        <v>672</v>
      </c>
      <c r="E282" s="7" t="s">
        <v>617</v>
      </c>
      <c r="F282" s="3">
        <f>(700+770)/2</f>
        <v>735</v>
      </c>
      <c r="G282" s="8">
        <f>F282/(F282+F245)</f>
        <v>0.62955032119914345</v>
      </c>
    </row>
    <row r="283" spans="1:8">
      <c r="A283" s="108"/>
      <c r="B283" s="3" t="s">
        <v>293</v>
      </c>
      <c r="C283" s="5" t="s">
        <v>258</v>
      </c>
      <c r="D283" s="6"/>
      <c r="E283" s="7" t="s">
        <v>618</v>
      </c>
    </row>
    <row r="284" spans="1:8">
      <c r="A284" s="108"/>
      <c r="B284" s="3" t="s">
        <v>294</v>
      </c>
      <c r="C284" s="5" t="s">
        <v>257</v>
      </c>
      <c r="D284" s="6"/>
      <c r="E284" s="7" t="s">
        <v>619</v>
      </c>
    </row>
    <row r="285" spans="1:8">
      <c r="A285" s="108"/>
      <c r="B285" s="3" t="s">
        <v>295</v>
      </c>
      <c r="C285" s="5" t="s">
        <v>262</v>
      </c>
      <c r="D285" s="6"/>
      <c r="E285" s="7" t="s">
        <v>620</v>
      </c>
    </row>
    <row r="286" spans="1:8">
      <c r="A286" s="108" t="s">
        <v>27</v>
      </c>
      <c r="B286" s="3" t="s">
        <v>296</v>
      </c>
      <c r="C286" s="12" t="s">
        <v>298</v>
      </c>
      <c r="E286" s="11" t="s">
        <v>629</v>
      </c>
      <c r="G286" s="8">
        <f>1/ROWS(C286:C292)</f>
        <v>0.14285714285714285</v>
      </c>
      <c r="H286" s="3" t="s">
        <v>950</v>
      </c>
    </row>
    <row r="287" spans="1:8">
      <c r="A287" s="108"/>
      <c r="B287" s="3" t="s">
        <v>297</v>
      </c>
      <c r="C287" s="11" t="s">
        <v>297</v>
      </c>
      <c r="E287" s="11" t="s">
        <v>630</v>
      </c>
      <c r="G287" s="8">
        <f t="shared" ref="G287:G292" si="9">1/ROWS(C287:C293)</f>
        <v>0.14285714285714285</v>
      </c>
      <c r="H287" s="3" t="s">
        <v>950</v>
      </c>
    </row>
    <row r="288" spans="1:8">
      <c r="A288" s="108"/>
      <c r="B288" s="3" t="s">
        <v>298</v>
      </c>
      <c r="C288" s="11" t="s">
        <v>299</v>
      </c>
      <c r="E288" s="11" t="s">
        <v>631</v>
      </c>
      <c r="G288" s="8">
        <f t="shared" si="9"/>
        <v>0.14285714285714285</v>
      </c>
      <c r="H288" s="3" t="s">
        <v>950</v>
      </c>
    </row>
    <row r="289" spans="1:8">
      <c r="A289" s="108"/>
      <c r="B289" s="3" t="s">
        <v>299</v>
      </c>
      <c r="C289" s="5" t="s">
        <v>625</v>
      </c>
      <c r="E289" s="11" t="s">
        <v>632</v>
      </c>
      <c r="G289" s="8">
        <f t="shared" si="9"/>
        <v>0.14285714285714285</v>
      </c>
      <c r="H289" s="3" t="s">
        <v>950</v>
      </c>
    </row>
    <row r="290" spans="1:8">
      <c r="A290" s="108"/>
      <c r="B290" s="3" t="s">
        <v>300</v>
      </c>
      <c r="C290" s="12" t="s">
        <v>626</v>
      </c>
      <c r="E290" s="11" t="s">
        <v>633</v>
      </c>
      <c r="G290" s="8">
        <f t="shared" si="9"/>
        <v>0.14285714285714285</v>
      </c>
      <c r="H290" s="3" t="s">
        <v>950</v>
      </c>
    </row>
    <row r="291" spans="1:8">
      <c r="A291" s="108"/>
      <c r="B291" s="3" t="s">
        <v>301</v>
      </c>
      <c r="C291" s="12" t="s">
        <v>627</v>
      </c>
      <c r="E291" s="11" t="s">
        <v>634</v>
      </c>
      <c r="G291" s="8">
        <f t="shared" si="9"/>
        <v>0.14285714285714285</v>
      </c>
      <c r="H291" s="3" t="s">
        <v>950</v>
      </c>
    </row>
    <row r="292" spans="1:8">
      <c r="A292" s="108"/>
      <c r="B292" s="3" t="s">
        <v>302</v>
      </c>
      <c r="C292" s="12" t="s">
        <v>628</v>
      </c>
      <c r="E292" s="11" t="s">
        <v>635</v>
      </c>
      <c r="G292" s="8">
        <f t="shared" si="9"/>
        <v>0.14285714285714285</v>
      </c>
      <c r="H292" s="3" t="s">
        <v>950</v>
      </c>
    </row>
    <row r="293" spans="1:8">
      <c r="A293" s="108"/>
      <c r="C293" s="12" t="s">
        <v>302</v>
      </c>
      <c r="E293" s="11"/>
      <c r="G293" s="8">
        <f>G289*1.3/2.3</f>
        <v>8.0745341614906846E-2</v>
      </c>
    </row>
    <row r="294" spans="1:8">
      <c r="A294" s="108"/>
      <c r="C294" s="12" t="s">
        <v>301</v>
      </c>
      <c r="E294" s="11"/>
      <c r="G294" s="8">
        <f>G289*1/2.3</f>
        <v>6.2111801242236024E-2</v>
      </c>
    </row>
    <row r="295" spans="1:8">
      <c r="A295" s="108"/>
      <c r="C295" s="12" t="s">
        <v>300</v>
      </c>
      <c r="E295" s="11"/>
      <c r="G295" s="8">
        <f>G290</f>
        <v>0.14285714285714285</v>
      </c>
    </row>
    <row r="296" spans="1:8">
      <c r="A296" s="108"/>
      <c r="C296" s="12" t="s">
        <v>296</v>
      </c>
      <c r="E296" s="11"/>
      <c r="G296" s="8">
        <f>G291</f>
        <v>0.14285714285714285</v>
      </c>
    </row>
    <row r="297" spans="1:8">
      <c r="A297" s="108" t="s">
        <v>636</v>
      </c>
      <c r="B297" s="3" t="s">
        <v>303</v>
      </c>
      <c r="C297" s="12" t="s">
        <v>305</v>
      </c>
      <c r="D297" s="13"/>
      <c r="E297" s="12" t="s">
        <v>637</v>
      </c>
      <c r="G297" s="8">
        <f t="shared" ref="G297:G303" si="10">1/ROWS(C297:C303)</f>
        <v>0.14285714285714285</v>
      </c>
      <c r="H297" s="3" t="s">
        <v>950</v>
      </c>
    </row>
    <row r="298" spans="1:8">
      <c r="A298" s="108"/>
      <c r="B298" s="3" t="s">
        <v>304</v>
      </c>
      <c r="C298" s="12" t="s">
        <v>307</v>
      </c>
      <c r="D298" s="13"/>
      <c r="E298" s="12" t="s">
        <v>638</v>
      </c>
      <c r="G298" s="8">
        <f t="shared" si="10"/>
        <v>0.14285714285714285</v>
      </c>
      <c r="H298" s="3" t="s">
        <v>950</v>
      </c>
    </row>
    <row r="299" spans="1:8">
      <c r="A299" s="108"/>
      <c r="B299" s="3" t="s">
        <v>305</v>
      </c>
      <c r="C299" s="12" t="s">
        <v>309</v>
      </c>
      <c r="D299" s="13"/>
      <c r="E299" s="12" t="s">
        <v>639</v>
      </c>
      <c r="G299" s="8">
        <f t="shared" si="10"/>
        <v>0.14285714285714285</v>
      </c>
      <c r="H299" s="3" t="s">
        <v>950</v>
      </c>
    </row>
    <row r="300" spans="1:8">
      <c r="A300" s="108"/>
      <c r="B300" s="3" t="s">
        <v>306</v>
      </c>
      <c r="C300" s="12" t="s">
        <v>303</v>
      </c>
      <c r="D300" s="13"/>
      <c r="E300" s="12" t="s">
        <v>640</v>
      </c>
      <c r="G300" s="8">
        <f t="shared" si="10"/>
        <v>0.14285714285714285</v>
      </c>
      <c r="H300" s="3" t="s">
        <v>950</v>
      </c>
    </row>
    <row r="301" spans="1:8">
      <c r="A301" s="108"/>
      <c r="B301" s="3" t="s">
        <v>307</v>
      </c>
      <c r="C301" s="12" t="s">
        <v>308</v>
      </c>
      <c r="D301" s="13"/>
      <c r="E301" s="12" t="s">
        <v>641</v>
      </c>
      <c r="G301" s="8">
        <f t="shared" si="10"/>
        <v>0.14285714285714285</v>
      </c>
      <c r="H301" s="3" t="s">
        <v>950</v>
      </c>
    </row>
    <row r="302" spans="1:8">
      <c r="A302" s="108"/>
      <c r="B302" s="3" t="s">
        <v>308</v>
      </c>
      <c r="C302" s="12" t="s">
        <v>304</v>
      </c>
      <c r="D302" s="13"/>
      <c r="E302" s="12" t="s">
        <v>642</v>
      </c>
      <c r="G302" s="8">
        <f t="shared" si="10"/>
        <v>0.14285714285714285</v>
      </c>
      <c r="H302" s="3" t="s">
        <v>950</v>
      </c>
    </row>
    <row r="303" spans="1:8">
      <c r="A303" s="108"/>
      <c r="B303" s="3" t="s">
        <v>309</v>
      </c>
      <c r="C303" s="12" t="s">
        <v>306</v>
      </c>
      <c r="D303" s="13"/>
      <c r="E303" s="12" t="s">
        <v>643</v>
      </c>
      <c r="G303" s="8">
        <f t="shared" si="10"/>
        <v>0.14285714285714285</v>
      </c>
      <c r="H303" s="3" t="s">
        <v>950</v>
      </c>
    </row>
    <row r="304" spans="1:8">
      <c r="A304" s="26" t="s">
        <v>28</v>
      </c>
      <c r="B304" s="3" t="s">
        <v>310</v>
      </c>
      <c r="C304" s="28" t="s">
        <v>310</v>
      </c>
      <c r="D304" s="27"/>
      <c r="E304" s="28" t="s">
        <v>644</v>
      </c>
      <c r="G304" s="8">
        <v>1</v>
      </c>
      <c r="H304" s="3" t="s">
        <v>950</v>
      </c>
    </row>
    <row r="305" spans="1:8">
      <c r="A305" s="24" t="s">
        <v>29</v>
      </c>
      <c r="B305" s="3" t="s">
        <v>311</v>
      </c>
      <c r="C305" s="11" t="s">
        <v>311</v>
      </c>
      <c r="D305" s="7"/>
      <c r="E305" s="7" t="s">
        <v>645</v>
      </c>
      <c r="G305" s="8">
        <v>1</v>
      </c>
      <c r="H305" s="3" t="s">
        <v>950</v>
      </c>
    </row>
    <row r="306" spans="1:8">
      <c r="A306" s="108" t="s">
        <v>30</v>
      </c>
      <c r="B306" s="3" t="s">
        <v>35</v>
      </c>
      <c r="C306" s="11" t="s">
        <v>33</v>
      </c>
      <c r="D306" s="7"/>
      <c r="E306" s="11" t="s">
        <v>646</v>
      </c>
      <c r="G306" s="8">
        <v>0.33329999999999999</v>
      </c>
      <c r="H306" s="3" t="s">
        <v>950</v>
      </c>
    </row>
    <row r="307" spans="1:8">
      <c r="A307" s="108"/>
      <c r="B307" s="3" t="s">
        <v>34</v>
      </c>
      <c r="C307" s="11" t="s">
        <v>34</v>
      </c>
      <c r="D307" s="7"/>
      <c r="E307" s="11" t="s">
        <v>647</v>
      </c>
      <c r="G307" s="8">
        <v>0.33329999999999999</v>
      </c>
      <c r="H307" s="3" t="s">
        <v>950</v>
      </c>
    </row>
    <row r="308" spans="1:8">
      <c r="A308" s="108"/>
      <c r="B308" s="3" t="s">
        <v>33</v>
      </c>
      <c r="C308" s="11" t="s">
        <v>35</v>
      </c>
      <c r="D308" s="7"/>
      <c r="E308" s="11" t="s">
        <v>648</v>
      </c>
      <c r="G308" s="8">
        <v>0.33329999999999999</v>
      </c>
      <c r="H308" s="3" t="s">
        <v>950</v>
      </c>
    </row>
    <row r="309" spans="1:8">
      <c r="A309" s="108" t="s">
        <v>31</v>
      </c>
      <c r="B309" s="3" t="s">
        <v>312</v>
      </c>
      <c r="C309" s="11" t="s">
        <v>315</v>
      </c>
      <c r="D309" s="7" t="s">
        <v>5014</v>
      </c>
      <c r="E309" s="11" t="s">
        <v>649</v>
      </c>
      <c r="F309" s="3">
        <f>85+120-85</f>
        <v>120</v>
      </c>
      <c r="G309" s="8">
        <v>1</v>
      </c>
      <c r="H309" s="3" t="s">
        <v>950</v>
      </c>
    </row>
    <row r="310" spans="1:8">
      <c r="A310" s="108"/>
      <c r="B310" s="3" t="s">
        <v>313</v>
      </c>
      <c r="C310" s="11" t="s">
        <v>314</v>
      </c>
      <c r="D310" s="7"/>
      <c r="E310" s="11" t="s">
        <v>650</v>
      </c>
      <c r="G310" s="8">
        <v>0</v>
      </c>
      <c r="H310" s="3" t="s">
        <v>950</v>
      </c>
    </row>
    <row r="311" spans="1:8">
      <c r="A311" s="108"/>
      <c r="B311" s="3" t="s">
        <v>314</v>
      </c>
      <c r="C311" s="11" t="s">
        <v>313</v>
      </c>
      <c r="D311" s="7"/>
      <c r="E311" s="7" t="s">
        <v>651</v>
      </c>
      <c r="G311" s="8">
        <v>0</v>
      </c>
      <c r="H311" s="3" t="s">
        <v>950</v>
      </c>
    </row>
    <row r="312" spans="1:8">
      <c r="A312" s="108"/>
      <c r="B312" s="3" t="s">
        <v>315</v>
      </c>
      <c r="C312" s="11" t="s">
        <v>312</v>
      </c>
      <c r="D312" s="7"/>
      <c r="E312" s="7" t="s">
        <v>652</v>
      </c>
      <c r="G312" s="8">
        <v>0</v>
      </c>
      <c r="H312" s="3" t="s">
        <v>950</v>
      </c>
    </row>
    <row r="313" spans="1:8">
      <c r="A313" s="26" t="s">
        <v>32</v>
      </c>
      <c r="B313" s="3" t="s">
        <v>5018</v>
      </c>
      <c r="C313" s="11" t="s">
        <v>5018</v>
      </c>
      <c r="G313" s="8">
        <v>1</v>
      </c>
      <c r="H313" s="3" t="s">
        <v>950</v>
      </c>
    </row>
    <row r="314" spans="1:8">
      <c r="A314" s="26" t="s">
        <v>654</v>
      </c>
      <c r="B314" s="3" t="s">
        <v>656</v>
      </c>
      <c r="C314" s="11" t="s">
        <v>656</v>
      </c>
      <c r="E314" s="3" t="s">
        <v>654</v>
      </c>
      <c r="G314" s="8">
        <v>1</v>
      </c>
      <c r="H314" s="3" t="s">
        <v>950</v>
      </c>
    </row>
    <row r="315" spans="1:8">
      <c r="A315" s="26" t="s">
        <v>2150</v>
      </c>
      <c r="C315" s="11" t="s">
        <v>655</v>
      </c>
      <c r="E315" s="3" t="s">
        <v>653</v>
      </c>
      <c r="G315" s="8">
        <v>1</v>
      </c>
      <c r="H315" s="3" t="s">
        <v>950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22"/>
  <sheetViews>
    <sheetView zoomScale="85" zoomScaleNormal="85" workbookViewId="0">
      <pane xSplit="1" ySplit="1" topLeftCell="B283" activePane="bottomRight" state="frozen"/>
      <selection pane="topRight" activeCell="B1" sqref="B1"/>
      <selection pane="bottomLeft" activeCell="A2" sqref="A2"/>
      <selection pane="bottomRight" activeCell="K313" sqref="K313"/>
    </sheetView>
  </sheetViews>
  <sheetFormatPr baseColWidth="10" defaultColWidth="10.875" defaultRowHeight="15"/>
  <cols>
    <col min="1" max="1" width="19" style="3" bestFit="1" customWidth="1"/>
    <col min="2" max="2" width="13.5" style="3" customWidth="1"/>
    <col min="3" max="3" width="6.125" style="3" bestFit="1" customWidth="1"/>
    <col min="4" max="4" width="13.375" style="3" customWidth="1"/>
    <col min="5" max="5" width="29.375" style="3" customWidth="1"/>
    <col min="6" max="6" width="21.125" style="3" customWidth="1"/>
    <col min="7" max="7" width="21.875" style="8" customWidth="1"/>
    <col min="8" max="8" width="24.625" style="3" customWidth="1"/>
    <col min="9" max="9" width="23.625" style="3" customWidth="1"/>
    <col min="10" max="10" width="21.625" style="3" customWidth="1"/>
    <col min="11" max="11" width="10" style="8" bestFit="1" customWidth="1"/>
    <col min="12" max="12" width="10.875" style="89"/>
    <col min="13" max="16384" width="10.875" style="3"/>
  </cols>
  <sheetData>
    <row r="1" spans="1:12">
      <c r="A1" s="22" t="s">
        <v>0</v>
      </c>
      <c r="B1" s="22" t="s">
        <v>657</v>
      </c>
      <c r="C1" s="22" t="s">
        <v>1</v>
      </c>
      <c r="D1" s="22" t="s">
        <v>2</v>
      </c>
      <c r="E1" s="22" t="s">
        <v>658</v>
      </c>
      <c r="F1" s="35" t="s">
        <v>710</v>
      </c>
      <c r="G1" s="36" t="s">
        <v>712</v>
      </c>
      <c r="H1" s="2" t="s">
        <v>713</v>
      </c>
      <c r="I1" s="2" t="s">
        <v>714</v>
      </c>
      <c r="J1" s="22" t="s">
        <v>697</v>
      </c>
      <c r="K1" s="23" t="s">
        <v>698</v>
      </c>
    </row>
    <row r="2" spans="1:12" ht="30">
      <c r="A2" s="108" t="s">
        <v>3</v>
      </c>
      <c r="B2" s="3" t="s">
        <v>37</v>
      </c>
      <c r="C2" s="5" t="s">
        <v>36</v>
      </c>
      <c r="D2" s="6"/>
      <c r="E2" s="7" t="s">
        <v>621</v>
      </c>
      <c r="G2" s="3"/>
      <c r="L2" s="5"/>
    </row>
    <row r="3" spans="1:12" ht="30">
      <c r="A3" s="108"/>
      <c r="B3" s="3" t="s">
        <v>38</v>
      </c>
      <c r="C3" s="5" t="s">
        <v>46</v>
      </c>
      <c r="D3" s="6" t="s">
        <v>722</v>
      </c>
      <c r="E3" s="7" t="s">
        <v>316</v>
      </c>
      <c r="F3" s="3">
        <v>65</v>
      </c>
      <c r="G3" s="3">
        <f>250+250+190</f>
        <v>690</v>
      </c>
      <c r="I3" s="11">
        <v>600</v>
      </c>
      <c r="J3" s="3">
        <f>SUM(F3:I3)</f>
        <v>1355</v>
      </c>
      <c r="K3" s="8">
        <v>1</v>
      </c>
      <c r="L3" s="5"/>
    </row>
    <row r="4" spans="1:12">
      <c r="A4" s="108"/>
      <c r="B4" s="3" t="s">
        <v>39</v>
      </c>
      <c r="C4" s="5" t="s">
        <v>40</v>
      </c>
      <c r="D4" s="6"/>
      <c r="E4" s="7" t="s">
        <v>317</v>
      </c>
      <c r="G4" s="3"/>
      <c r="L4" s="5"/>
    </row>
    <row r="5" spans="1:12">
      <c r="A5" s="108"/>
      <c r="B5" s="3" t="s">
        <v>40</v>
      </c>
      <c r="C5" s="5" t="s">
        <v>44</v>
      </c>
      <c r="D5" s="6"/>
      <c r="E5" s="7" t="s">
        <v>318</v>
      </c>
      <c r="G5" s="3"/>
      <c r="L5" s="5"/>
    </row>
    <row r="6" spans="1:12">
      <c r="A6" s="108"/>
      <c r="B6" s="3" t="s">
        <v>41</v>
      </c>
      <c r="C6" s="5" t="s">
        <v>45</v>
      </c>
      <c r="D6" s="6"/>
      <c r="E6" s="7" t="s">
        <v>319</v>
      </c>
      <c r="G6" s="3"/>
      <c r="L6" s="5"/>
    </row>
    <row r="7" spans="1:12">
      <c r="A7" s="108"/>
      <c r="B7" s="3" t="s">
        <v>42</v>
      </c>
      <c r="C7" s="5" t="s">
        <v>37</v>
      </c>
      <c r="D7" s="6"/>
      <c r="E7" s="7" t="s">
        <v>320</v>
      </c>
      <c r="G7" s="3"/>
      <c r="L7" s="5"/>
    </row>
    <row r="8" spans="1:12">
      <c r="A8" s="108"/>
      <c r="B8" s="3" t="s">
        <v>43</v>
      </c>
      <c r="C8" s="5" t="s">
        <v>43</v>
      </c>
      <c r="D8" s="6"/>
      <c r="E8" s="7" t="s">
        <v>321</v>
      </c>
      <c r="G8" s="3"/>
      <c r="L8" s="5"/>
    </row>
    <row r="9" spans="1:12">
      <c r="A9" s="108"/>
      <c r="B9" s="3" t="s">
        <v>44</v>
      </c>
      <c r="C9" s="5" t="s">
        <v>42</v>
      </c>
      <c r="D9" s="6"/>
      <c r="E9" s="7" t="s">
        <v>322</v>
      </c>
      <c r="G9" s="3"/>
      <c r="L9" s="5"/>
    </row>
    <row r="10" spans="1:12">
      <c r="A10" s="108"/>
      <c r="B10" s="3" t="s">
        <v>45</v>
      </c>
      <c r="C10" s="5" t="s">
        <v>41</v>
      </c>
      <c r="D10" s="6"/>
      <c r="E10" s="7" t="s">
        <v>323</v>
      </c>
      <c r="G10" s="3"/>
      <c r="L10" s="5"/>
    </row>
    <row r="11" spans="1:12">
      <c r="A11" s="108"/>
      <c r="B11" s="3" t="s">
        <v>36</v>
      </c>
      <c r="C11" s="5" t="s">
        <v>39</v>
      </c>
      <c r="D11" s="6"/>
      <c r="E11" s="7" t="s">
        <v>324</v>
      </c>
      <c r="G11" s="3"/>
      <c r="L11" s="5"/>
    </row>
    <row r="12" spans="1:12">
      <c r="A12" s="108"/>
      <c r="B12" s="3" t="s">
        <v>46</v>
      </c>
      <c r="C12" s="5" t="s">
        <v>38</v>
      </c>
      <c r="D12" s="6"/>
      <c r="E12" s="7" t="s">
        <v>325</v>
      </c>
      <c r="G12" s="3"/>
      <c r="L12" s="5"/>
    </row>
    <row r="13" spans="1:12">
      <c r="A13" s="108" t="s">
        <v>4</v>
      </c>
      <c r="B13" s="3" t="s">
        <v>47</v>
      </c>
      <c r="C13" s="5" t="s">
        <v>47</v>
      </c>
      <c r="D13" s="6"/>
      <c r="E13" s="7" t="s">
        <v>326</v>
      </c>
      <c r="G13" s="3"/>
      <c r="K13" s="8">
        <f xml:space="preserve"> 1/ROWS(C13:C18)</f>
        <v>0.16666666666666666</v>
      </c>
      <c r="L13" s="5" t="s">
        <v>950</v>
      </c>
    </row>
    <row r="14" spans="1:12">
      <c r="A14" s="108"/>
      <c r="B14" s="3" t="s">
        <v>48</v>
      </c>
      <c r="C14" s="5" t="s">
        <v>49</v>
      </c>
      <c r="D14" s="6"/>
      <c r="E14" s="7" t="s">
        <v>327</v>
      </c>
      <c r="G14" s="3"/>
      <c r="K14" s="8">
        <f t="shared" ref="K14:K18" si="0" xml:space="preserve"> 1/ROWS(C14:C19)</f>
        <v>0.16666666666666666</v>
      </c>
      <c r="L14" s="5" t="s">
        <v>950</v>
      </c>
    </row>
    <row r="15" spans="1:12">
      <c r="A15" s="108"/>
      <c r="B15" s="3" t="s">
        <v>49</v>
      </c>
      <c r="C15" s="5" t="s">
        <v>50</v>
      </c>
      <c r="D15" s="6"/>
      <c r="E15" s="7" t="s">
        <v>328</v>
      </c>
      <c r="G15" s="3"/>
      <c r="K15" s="8">
        <f t="shared" si="0"/>
        <v>0.16666666666666666</v>
      </c>
      <c r="L15" s="5" t="s">
        <v>950</v>
      </c>
    </row>
    <row r="16" spans="1:12">
      <c r="A16" s="108"/>
      <c r="B16" s="3" t="s">
        <v>50</v>
      </c>
      <c r="C16" s="5" t="s">
        <v>51</v>
      </c>
      <c r="D16" s="6"/>
      <c r="E16" s="7" t="s">
        <v>329</v>
      </c>
      <c r="G16" s="3"/>
      <c r="K16" s="8">
        <f t="shared" si="0"/>
        <v>0.16666666666666666</v>
      </c>
      <c r="L16" s="5" t="s">
        <v>950</v>
      </c>
    </row>
    <row r="17" spans="1:12">
      <c r="A17" s="108"/>
      <c r="B17" s="3" t="s">
        <v>51</v>
      </c>
      <c r="C17" s="5" t="s">
        <v>52</v>
      </c>
      <c r="D17" s="6"/>
      <c r="E17" s="7" t="s">
        <v>330</v>
      </c>
      <c r="G17" s="3"/>
      <c r="K17" s="8">
        <f t="shared" si="0"/>
        <v>0.16666666666666666</v>
      </c>
      <c r="L17" s="5" t="s">
        <v>950</v>
      </c>
    </row>
    <row r="18" spans="1:12">
      <c r="A18" s="108"/>
      <c r="B18" s="3" t="s">
        <v>52</v>
      </c>
      <c r="C18" s="5" t="s">
        <v>48</v>
      </c>
      <c r="D18" s="6"/>
      <c r="E18" s="7" t="s">
        <v>331</v>
      </c>
      <c r="G18" s="3"/>
      <c r="K18" s="8">
        <f t="shared" si="0"/>
        <v>0.16666666666666666</v>
      </c>
      <c r="L18" s="5" t="s">
        <v>950</v>
      </c>
    </row>
    <row r="19" spans="1:12">
      <c r="A19" s="108" t="s">
        <v>5</v>
      </c>
      <c r="B19" s="3" t="s">
        <v>53</v>
      </c>
      <c r="C19" s="5" t="s">
        <v>54</v>
      </c>
      <c r="D19" s="6"/>
      <c r="E19" s="7" t="s">
        <v>332</v>
      </c>
      <c r="G19" s="3"/>
      <c r="K19" s="8">
        <f xml:space="preserve"> 1/ROWS(C19:C26)</f>
        <v>0.125</v>
      </c>
      <c r="L19" s="5" t="s">
        <v>950</v>
      </c>
    </row>
    <row r="20" spans="1:12">
      <c r="A20" s="108"/>
      <c r="B20" s="3" t="s">
        <v>54</v>
      </c>
      <c r="C20" s="5" t="s">
        <v>53</v>
      </c>
      <c r="D20" s="6"/>
      <c r="E20" s="7" t="s">
        <v>333</v>
      </c>
      <c r="G20" s="3"/>
      <c r="K20" s="8">
        <f t="shared" ref="K20:K26" si="1" xml:space="preserve"> 1/ROWS(C20:C27)</f>
        <v>0.125</v>
      </c>
      <c r="L20" s="5" t="s">
        <v>950</v>
      </c>
    </row>
    <row r="21" spans="1:12">
      <c r="A21" s="108"/>
      <c r="B21" s="3" t="s">
        <v>55</v>
      </c>
      <c r="C21" s="5" t="s">
        <v>60</v>
      </c>
      <c r="D21" s="6"/>
      <c r="E21" s="7" t="s">
        <v>334</v>
      </c>
      <c r="G21" s="3"/>
      <c r="K21" s="8">
        <f t="shared" si="1"/>
        <v>0.125</v>
      </c>
      <c r="L21" s="5" t="s">
        <v>950</v>
      </c>
    </row>
    <row r="22" spans="1:12">
      <c r="A22" s="108"/>
      <c r="B22" s="3" t="s">
        <v>56</v>
      </c>
      <c r="C22" s="5" t="s">
        <v>58</v>
      </c>
      <c r="E22" s="7" t="s">
        <v>335</v>
      </c>
      <c r="G22" s="3"/>
      <c r="K22" s="8">
        <f t="shared" si="1"/>
        <v>0.125</v>
      </c>
      <c r="L22" s="5" t="s">
        <v>950</v>
      </c>
    </row>
    <row r="23" spans="1:12">
      <c r="A23" s="108"/>
      <c r="B23" s="3" t="s">
        <v>57</v>
      </c>
      <c r="C23" s="5" t="s">
        <v>57</v>
      </c>
      <c r="D23" s="6"/>
      <c r="E23" s="7" t="s">
        <v>336</v>
      </c>
      <c r="G23" s="3"/>
      <c r="K23" s="8">
        <f t="shared" si="1"/>
        <v>0.125</v>
      </c>
      <c r="L23" s="5" t="s">
        <v>950</v>
      </c>
    </row>
    <row r="24" spans="1:12">
      <c r="A24" s="108"/>
      <c r="B24" s="3" t="s">
        <v>58</v>
      </c>
      <c r="C24" s="5" t="s">
        <v>59</v>
      </c>
      <c r="D24" s="6"/>
      <c r="E24" s="7" t="s">
        <v>337</v>
      </c>
      <c r="G24" s="3"/>
      <c r="K24" s="8">
        <f t="shared" si="1"/>
        <v>0.125</v>
      </c>
      <c r="L24" s="5" t="s">
        <v>950</v>
      </c>
    </row>
    <row r="25" spans="1:12">
      <c r="A25" s="108"/>
      <c r="B25" s="3" t="s">
        <v>59</v>
      </c>
      <c r="C25" s="5" t="s">
        <v>55</v>
      </c>
      <c r="D25" s="6"/>
      <c r="E25" s="7" t="s">
        <v>338</v>
      </c>
      <c r="G25" s="3"/>
      <c r="K25" s="8">
        <f t="shared" si="1"/>
        <v>0.125</v>
      </c>
      <c r="L25" s="5" t="s">
        <v>950</v>
      </c>
    </row>
    <row r="26" spans="1:12">
      <c r="A26" s="108"/>
      <c r="B26" s="3" t="s">
        <v>60</v>
      </c>
      <c r="C26" s="5" t="s">
        <v>56</v>
      </c>
      <c r="D26" s="6"/>
      <c r="E26" s="7" t="s">
        <v>339</v>
      </c>
      <c r="G26" s="3"/>
      <c r="K26" s="8">
        <f t="shared" si="1"/>
        <v>0.125</v>
      </c>
      <c r="L26" s="5" t="s">
        <v>950</v>
      </c>
    </row>
    <row r="27" spans="1:12">
      <c r="A27" s="108" t="s">
        <v>6</v>
      </c>
      <c r="B27" s="3" t="s">
        <v>61</v>
      </c>
      <c r="C27" s="5" t="s">
        <v>64</v>
      </c>
      <c r="D27" s="6"/>
      <c r="E27" s="7" t="s">
        <v>340</v>
      </c>
      <c r="G27" s="3"/>
      <c r="K27" s="8">
        <f xml:space="preserve"> 1/ROWS(C27:C31)</f>
        <v>0.2</v>
      </c>
      <c r="L27" s="5" t="s">
        <v>950</v>
      </c>
    </row>
    <row r="28" spans="1:12">
      <c r="A28" s="108"/>
      <c r="B28" s="3" t="s">
        <v>62</v>
      </c>
      <c r="C28" s="5" t="s">
        <v>61</v>
      </c>
      <c r="D28" s="6"/>
      <c r="E28" s="7" t="s">
        <v>341</v>
      </c>
      <c r="G28" s="3"/>
      <c r="K28" s="8">
        <f t="shared" ref="K28:K31" si="2" xml:space="preserve"> 1/ROWS(C28:C32)</f>
        <v>0.2</v>
      </c>
      <c r="L28" s="5" t="s">
        <v>950</v>
      </c>
    </row>
    <row r="29" spans="1:12">
      <c r="A29" s="108"/>
      <c r="B29" s="3" t="s">
        <v>63</v>
      </c>
      <c r="C29" s="5" t="s">
        <v>63</v>
      </c>
      <c r="D29" s="6"/>
      <c r="E29" s="7" t="s">
        <v>342</v>
      </c>
      <c r="G29" s="3"/>
      <c r="K29" s="8">
        <f t="shared" si="2"/>
        <v>0.2</v>
      </c>
      <c r="L29" s="5" t="s">
        <v>950</v>
      </c>
    </row>
    <row r="30" spans="1:12">
      <c r="A30" s="108"/>
      <c r="B30" s="3" t="s">
        <v>64</v>
      </c>
      <c r="C30" s="5" t="s">
        <v>65</v>
      </c>
      <c r="D30" s="6"/>
      <c r="E30" s="7" t="s">
        <v>343</v>
      </c>
      <c r="G30" s="3"/>
      <c r="K30" s="8">
        <f t="shared" si="2"/>
        <v>0.2</v>
      </c>
      <c r="L30" s="5" t="s">
        <v>950</v>
      </c>
    </row>
    <row r="31" spans="1:12">
      <c r="A31" s="108"/>
      <c r="B31" s="3" t="s">
        <v>65</v>
      </c>
      <c r="C31" s="5" t="s">
        <v>62</v>
      </c>
      <c r="D31" s="6"/>
      <c r="E31" s="7" t="s">
        <v>344</v>
      </c>
      <c r="G31" s="3"/>
      <c r="K31" s="8">
        <f t="shared" si="2"/>
        <v>0.2</v>
      </c>
      <c r="L31" s="5" t="s">
        <v>950</v>
      </c>
    </row>
    <row r="32" spans="1:12">
      <c r="A32" s="108" t="s">
        <v>7</v>
      </c>
      <c r="B32" s="3" t="s">
        <v>66</v>
      </c>
      <c r="C32" s="5" t="s">
        <v>101</v>
      </c>
      <c r="D32" s="6"/>
      <c r="E32" s="7" t="s">
        <v>345</v>
      </c>
      <c r="G32" s="3"/>
      <c r="L32" s="5"/>
    </row>
    <row r="33" spans="1:12">
      <c r="A33" s="108"/>
      <c r="B33" s="3" t="s">
        <v>67</v>
      </c>
      <c r="C33" s="5" t="s">
        <v>102</v>
      </c>
      <c r="D33" s="6"/>
      <c r="E33" s="7" t="s">
        <v>346</v>
      </c>
      <c r="G33" s="3"/>
      <c r="L33" s="5"/>
    </row>
    <row r="34" spans="1:12">
      <c r="A34" s="108"/>
      <c r="B34" s="3" t="s">
        <v>68</v>
      </c>
      <c r="C34" s="5" t="s">
        <v>103</v>
      </c>
      <c r="D34" s="6"/>
      <c r="E34" s="7" t="s">
        <v>347</v>
      </c>
      <c r="G34" s="3"/>
      <c r="L34" s="5"/>
    </row>
    <row r="35" spans="1:12">
      <c r="A35" s="108"/>
      <c r="B35" s="3" t="s">
        <v>69</v>
      </c>
      <c r="C35" s="5" t="s">
        <v>100</v>
      </c>
      <c r="D35" s="6"/>
      <c r="E35" s="7" t="s">
        <v>348</v>
      </c>
      <c r="G35" s="3"/>
      <c r="L35" s="5"/>
    </row>
    <row r="36" spans="1:12">
      <c r="A36" s="108"/>
      <c r="B36" s="3" t="s">
        <v>70</v>
      </c>
      <c r="C36" s="5" t="s">
        <v>97</v>
      </c>
      <c r="D36" s="25" t="s">
        <v>685</v>
      </c>
      <c r="E36" s="7" t="s">
        <v>349</v>
      </c>
      <c r="G36" s="3">
        <v>160</v>
      </c>
      <c r="J36" s="3">
        <f t="shared" ref="J36:J66" si="3">SUM(F36:I36)</f>
        <v>160</v>
      </c>
      <c r="K36" s="8">
        <f>J36/SUM($J$36:$J$68)</f>
        <v>3.9653035935563817E-2</v>
      </c>
      <c r="L36" s="5"/>
    </row>
    <row r="37" spans="1:12">
      <c r="A37" s="108"/>
      <c r="B37" s="3" t="s">
        <v>71</v>
      </c>
      <c r="C37" s="5" t="s">
        <v>98</v>
      </c>
      <c r="D37" s="6"/>
      <c r="E37" s="7" t="s">
        <v>350</v>
      </c>
      <c r="G37" s="3"/>
      <c r="L37" s="5"/>
    </row>
    <row r="38" spans="1:12">
      <c r="A38" s="108"/>
      <c r="B38" s="3" t="s">
        <v>72</v>
      </c>
      <c r="C38" s="5" t="s">
        <v>95</v>
      </c>
      <c r="D38" s="6"/>
      <c r="E38" s="7" t="s">
        <v>351</v>
      </c>
      <c r="G38" s="3"/>
      <c r="L38" s="5"/>
    </row>
    <row r="39" spans="1:12">
      <c r="A39" s="108"/>
      <c r="B39" s="3" t="s">
        <v>73</v>
      </c>
      <c r="C39" s="5" t="s">
        <v>96</v>
      </c>
      <c r="D39" s="6"/>
      <c r="E39" s="7" t="s">
        <v>352</v>
      </c>
      <c r="G39" s="3"/>
      <c r="L39" s="5"/>
    </row>
    <row r="40" spans="1:12">
      <c r="A40" s="108"/>
      <c r="B40" s="3" t="s">
        <v>74</v>
      </c>
      <c r="C40" s="5" t="s">
        <v>99</v>
      </c>
      <c r="D40" s="6"/>
      <c r="E40" s="7" t="s">
        <v>353</v>
      </c>
      <c r="G40" s="3"/>
      <c r="L40" s="5"/>
    </row>
    <row r="41" spans="1:12">
      <c r="A41" s="108"/>
      <c r="B41" s="3" t="s">
        <v>75</v>
      </c>
      <c r="C41" s="5" t="s">
        <v>93</v>
      </c>
      <c r="D41" s="6"/>
      <c r="E41" s="7" t="s">
        <v>354</v>
      </c>
      <c r="G41" s="3"/>
      <c r="L41" s="5"/>
    </row>
    <row r="42" spans="1:12">
      <c r="A42" s="108"/>
      <c r="B42" s="3" t="s">
        <v>76</v>
      </c>
      <c r="C42" s="5" t="s">
        <v>94</v>
      </c>
      <c r="D42" s="6"/>
      <c r="E42" s="7" t="s">
        <v>355</v>
      </c>
      <c r="G42" s="3"/>
      <c r="L42" s="5"/>
    </row>
    <row r="43" spans="1:12">
      <c r="A43" s="108"/>
      <c r="B43" s="3" t="s">
        <v>77</v>
      </c>
      <c r="C43" s="5" t="s">
        <v>92</v>
      </c>
      <c r="D43" s="6"/>
      <c r="E43" s="7" t="s">
        <v>356</v>
      </c>
      <c r="G43" s="3"/>
      <c r="L43" s="5"/>
    </row>
    <row r="44" spans="1:12">
      <c r="A44" s="108"/>
      <c r="B44" s="3" t="s">
        <v>78</v>
      </c>
      <c r="C44" s="5" t="s">
        <v>91</v>
      </c>
      <c r="D44" s="6" t="s">
        <v>711</v>
      </c>
      <c r="E44" s="7" t="s">
        <v>357</v>
      </c>
      <c r="F44" s="3">
        <v>55</v>
      </c>
      <c r="G44" s="3"/>
      <c r="H44" s="3">
        <v>40</v>
      </c>
      <c r="I44" s="3">
        <v>70</v>
      </c>
      <c r="J44" s="3">
        <f t="shared" si="3"/>
        <v>165</v>
      </c>
      <c r="K44" s="8">
        <f t="shared" ref="K44:K68" si="4">J44/SUM($J$36:$J$68)</f>
        <v>4.0892193308550186E-2</v>
      </c>
      <c r="L44" s="5"/>
    </row>
    <row r="45" spans="1:12">
      <c r="A45" s="108"/>
      <c r="B45" s="3" t="s">
        <v>79</v>
      </c>
      <c r="C45" s="5" t="s">
        <v>90</v>
      </c>
      <c r="D45" s="6"/>
      <c r="E45" s="7" t="s">
        <v>358</v>
      </c>
      <c r="G45" s="3"/>
      <c r="L45" s="5"/>
    </row>
    <row r="46" spans="1:12">
      <c r="A46" s="108"/>
      <c r="B46" s="3" t="s">
        <v>80</v>
      </c>
      <c r="C46" s="5" t="s">
        <v>89</v>
      </c>
      <c r="D46" s="6"/>
      <c r="E46" s="7" t="s">
        <v>359</v>
      </c>
      <c r="G46" s="3"/>
      <c r="L46" s="5"/>
    </row>
    <row r="47" spans="1:12">
      <c r="A47" s="108"/>
      <c r="B47" s="3" t="s">
        <v>81</v>
      </c>
      <c r="C47" s="5" t="s">
        <v>88</v>
      </c>
      <c r="D47" s="6"/>
      <c r="E47" s="7" t="s">
        <v>360</v>
      </c>
      <c r="G47" s="3"/>
      <c r="L47" s="5"/>
    </row>
    <row r="48" spans="1:12">
      <c r="A48" s="108"/>
      <c r="B48" s="3" t="s">
        <v>82</v>
      </c>
      <c r="C48" s="5" t="s">
        <v>87</v>
      </c>
      <c r="D48" s="6"/>
      <c r="E48" s="7" t="s">
        <v>361</v>
      </c>
      <c r="G48" s="3"/>
      <c r="L48" s="5"/>
    </row>
    <row r="49" spans="1:12">
      <c r="A49" s="108"/>
      <c r="B49" s="3" t="s">
        <v>83</v>
      </c>
      <c r="C49" s="5" t="s">
        <v>86</v>
      </c>
      <c r="D49" s="6"/>
      <c r="E49" s="7" t="s">
        <v>362</v>
      </c>
      <c r="G49" s="3"/>
      <c r="L49" s="5"/>
    </row>
    <row r="50" spans="1:12">
      <c r="A50" s="108"/>
      <c r="B50" s="3" t="s">
        <v>84</v>
      </c>
      <c r="C50" s="5" t="s">
        <v>85</v>
      </c>
      <c r="D50" s="6"/>
      <c r="E50" s="7" t="s">
        <v>363</v>
      </c>
      <c r="G50" s="3"/>
      <c r="L50" s="5"/>
    </row>
    <row r="51" spans="1:12">
      <c r="A51" s="108"/>
      <c r="B51" s="3" t="s">
        <v>85</v>
      </c>
      <c r="C51" s="5" t="s">
        <v>84</v>
      </c>
      <c r="D51" s="6"/>
      <c r="E51" s="7" t="s">
        <v>364</v>
      </c>
      <c r="G51" s="3"/>
      <c r="L51" s="5"/>
    </row>
    <row r="52" spans="1:12">
      <c r="A52" s="108"/>
      <c r="B52" s="3" t="s">
        <v>86</v>
      </c>
      <c r="C52" s="5" t="s">
        <v>83</v>
      </c>
      <c r="D52" s="6"/>
      <c r="E52" s="7" t="s">
        <v>365</v>
      </c>
      <c r="G52" s="3"/>
      <c r="L52" s="5"/>
    </row>
    <row r="53" spans="1:12">
      <c r="A53" s="108"/>
      <c r="B53" s="3" t="s">
        <v>87</v>
      </c>
      <c r="C53" s="5" t="s">
        <v>82</v>
      </c>
      <c r="D53" s="6"/>
      <c r="E53" s="7" t="s">
        <v>366</v>
      </c>
      <c r="G53" s="3"/>
      <c r="L53" s="5"/>
    </row>
    <row r="54" spans="1:12">
      <c r="A54" s="108"/>
      <c r="B54" s="3" t="s">
        <v>88</v>
      </c>
      <c r="C54" s="5" t="s">
        <v>81</v>
      </c>
      <c r="D54" s="6" t="s">
        <v>709</v>
      </c>
      <c r="E54" s="7" t="s">
        <v>367</v>
      </c>
      <c r="F54" s="3">
        <v>60</v>
      </c>
      <c r="G54" s="3"/>
      <c r="J54" s="3">
        <f t="shared" si="3"/>
        <v>60</v>
      </c>
      <c r="K54" s="8">
        <f t="shared" si="4"/>
        <v>1.4869888475836431E-2</v>
      </c>
      <c r="L54" s="5"/>
    </row>
    <row r="55" spans="1:12" ht="30">
      <c r="A55" s="108"/>
      <c r="B55" s="3" t="s">
        <v>89</v>
      </c>
      <c r="C55" s="5" t="s">
        <v>78</v>
      </c>
      <c r="D55" s="25" t="s">
        <v>706</v>
      </c>
      <c r="E55" s="7" t="s">
        <v>368</v>
      </c>
      <c r="F55" s="3">
        <f>30+170+150</f>
        <v>350</v>
      </c>
      <c r="G55" s="3">
        <f>430+250</f>
        <v>680</v>
      </c>
      <c r="H55" s="3">
        <v>70</v>
      </c>
      <c r="I55" s="3">
        <v>190</v>
      </c>
      <c r="J55" s="3">
        <f t="shared" si="3"/>
        <v>1290</v>
      </c>
      <c r="K55" s="8">
        <f t="shared" si="4"/>
        <v>0.31970260223048325</v>
      </c>
      <c r="L55" s="5"/>
    </row>
    <row r="56" spans="1:12" ht="45">
      <c r="A56" s="108"/>
      <c r="B56" s="3" t="s">
        <v>90</v>
      </c>
      <c r="C56" s="5" t="s">
        <v>77</v>
      </c>
      <c r="D56" s="25" t="s">
        <v>715</v>
      </c>
      <c r="E56" s="7" t="s">
        <v>369</v>
      </c>
      <c r="F56" s="3">
        <f>110+140</f>
        <v>250</v>
      </c>
      <c r="G56" s="3">
        <f>160+510+370</f>
        <v>1040</v>
      </c>
      <c r="H56" s="3">
        <v>60</v>
      </c>
      <c r="I56" s="3">
        <v>140</v>
      </c>
      <c r="J56" s="3">
        <f t="shared" si="3"/>
        <v>1490</v>
      </c>
      <c r="K56" s="8">
        <f t="shared" si="4"/>
        <v>0.36926889714993805</v>
      </c>
      <c r="L56" s="5"/>
    </row>
    <row r="57" spans="1:12">
      <c r="A57" s="108"/>
      <c r="B57" s="3" t="s">
        <v>91</v>
      </c>
      <c r="C57" s="5" t="s">
        <v>76</v>
      </c>
      <c r="D57" s="6"/>
      <c r="E57" s="7" t="s">
        <v>370</v>
      </c>
      <c r="G57" s="3"/>
      <c r="L57" s="5"/>
    </row>
    <row r="58" spans="1:12">
      <c r="A58" s="108"/>
      <c r="B58" s="3" t="s">
        <v>92</v>
      </c>
      <c r="C58" s="5" t="s">
        <v>79</v>
      </c>
      <c r="D58" s="6"/>
      <c r="E58" s="7" t="s">
        <v>371</v>
      </c>
      <c r="G58" s="3"/>
      <c r="L58" s="5"/>
    </row>
    <row r="59" spans="1:12">
      <c r="A59" s="108"/>
      <c r="B59" s="3" t="s">
        <v>93</v>
      </c>
      <c r="C59" s="5" t="s">
        <v>80</v>
      </c>
      <c r="D59" s="6"/>
      <c r="E59" s="7" t="s">
        <v>372</v>
      </c>
      <c r="G59" s="3"/>
      <c r="L59" s="5"/>
    </row>
    <row r="60" spans="1:12">
      <c r="A60" s="108"/>
      <c r="B60" s="3" t="s">
        <v>94</v>
      </c>
      <c r="C60" s="5" t="s">
        <v>75</v>
      </c>
      <c r="D60" s="6"/>
      <c r="E60" s="7" t="s">
        <v>373</v>
      </c>
      <c r="G60" s="3"/>
      <c r="L60" s="5"/>
    </row>
    <row r="61" spans="1:12">
      <c r="A61" s="108"/>
      <c r="B61" s="3" t="s">
        <v>95</v>
      </c>
      <c r="C61" s="5" t="s">
        <v>73</v>
      </c>
      <c r="D61" s="6"/>
      <c r="E61" s="7" t="s">
        <v>374</v>
      </c>
      <c r="G61" s="3"/>
      <c r="L61" s="5"/>
    </row>
    <row r="62" spans="1:12">
      <c r="A62" s="108"/>
      <c r="B62" s="3" t="s">
        <v>96</v>
      </c>
      <c r="C62" s="5" t="s">
        <v>74</v>
      </c>
      <c r="D62" s="3" t="s">
        <v>688</v>
      </c>
      <c r="E62" s="7" t="s">
        <v>375</v>
      </c>
      <c r="F62" s="3">
        <v>85</v>
      </c>
      <c r="G62" s="3">
        <v>320</v>
      </c>
      <c r="J62" s="3">
        <f t="shared" si="3"/>
        <v>405</v>
      </c>
      <c r="K62" s="8">
        <f t="shared" si="4"/>
        <v>0.10037174721189591</v>
      </c>
      <c r="L62" s="5"/>
    </row>
    <row r="63" spans="1:12">
      <c r="A63" s="108"/>
      <c r="B63" s="3" t="s">
        <v>97</v>
      </c>
      <c r="C63" s="5" t="s">
        <v>72</v>
      </c>
      <c r="D63" s="6"/>
      <c r="E63" s="7" t="s">
        <v>376</v>
      </c>
      <c r="G63" s="3"/>
      <c r="L63" s="5"/>
    </row>
    <row r="64" spans="1:12">
      <c r="A64" s="108"/>
      <c r="B64" s="3" t="s">
        <v>98</v>
      </c>
      <c r="C64" s="5" t="s">
        <v>69</v>
      </c>
      <c r="D64" s="6"/>
      <c r="E64" s="7" t="s">
        <v>377</v>
      </c>
      <c r="G64" s="3"/>
      <c r="L64" s="5"/>
    </row>
    <row r="65" spans="1:12">
      <c r="A65" s="108"/>
      <c r="B65" s="3" t="s">
        <v>99</v>
      </c>
      <c r="C65" s="5" t="s">
        <v>70</v>
      </c>
      <c r="D65" s="6"/>
      <c r="E65" s="7" t="s">
        <v>378</v>
      </c>
      <c r="G65" s="3"/>
      <c r="L65" s="5"/>
    </row>
    <row r="66" spans="1:12">
      <c r="A66" s="108"/>
      <c r="B66" s="3" t="s">
        <v>100</v>
      </c>
      <c r="C66" s="5" t="s">
        <v>68</v>
      </c>
      <c r="D66" s="3" t="s">
        <v>684</v>
      </c>
      <c r="E66" s="7" t="s">
        <v>379</v>
      </c>
      <c r="G66" s="3">
        <v>320</v>
      </c>
      <c r="J66" s="3">
        <f t="shared" si="3"/>
        <v>320</v>
      </c>
      <c r="K66" s="8">
        <f t="shared" si="4"/>
        <v>7.9306071871127634E-2</v>
      </c>
      <c r="L66" s="5"/>
    </row>
    <row r="67" spans="1:12">
      <c r="A67" s="108"/>
      <c r="B67" s="3" t="s">
        <v>101</v>
      </c>
      <c r="C67" s="5" t="s">
        <v>71</v>
      </c>
      <c r="D67" s="6"/>
      <c r="E67" s="7" t="s">
        <v>380</v>
      </c>
      <c r="G67" s="3"/>
      <c r="L67" s="5"/>
    </row>
    <row r="68" spans="1:12">
      <c r="A68" s="108"/>
      <c r="B68" s="3" t="s">
        <v>102</v>
      </c>
      <c r="C68" s="5" t="s">
        <v>67</v>
      </c>
      <c r="D68" s="3" t="s">
        <v>687</v>
      </c>
      <c r="E68" s="7" t="s">
        <v>381</v>
      </c>
      <c r="F68" s="3">
        <v>130</v>
      </c>
      <c r="G68" s="3"/>
      <c r="H68" s="3">
        <v>15</v>
      </c>
      <c r="J68" s="3">
        <f t="shared" ref="J68:J126" si="5">SUM(F68:I68)</f>
        <v>145</v>
      </c>
      <c r="K68" s="8">
        <f t="shared" si="4"/>
        <v>3.5935563816604711E-2</v>
      </c>
      <c r="L68" s="5"/>
    </row>
    <row r="69" spans="1:12">
      <c r="A69" s="108"/>
      <c r="B69" s="3" t="s">
        <v>103</v>
      </c>
      <c r="C69" s="5" t="s">
        <v>66</v>
      </c>
      <c r="D69" s="6"/>
      <c r="E69" s="7" t="s">
        <v>382</v>
      </c>
      <c r="G69" s="3"/>
      <c r="L69" s="5"/>
    </row>
    <row r="70" spans="1:12">
      <c r="A70" s="24" t="s">
        <v>622</v>
      </c>
      <c r="B70" s="3" t="s">
        <v>383</v>
      </c>
      <c r="C70" s="5" t="s">
        <v>383</v>
      </c>
      <c r="D70" s="6"/>
      <c r="E70" s="7" t="s">
        <v>384</v>
      </c>
      <c r="G70" s="3"/>
      <c r="K70" s="8">
        <v>1</v>
      </c>
      <c r="L70" s="5" t="s">
        <v>950</v>
      </c>
    </row>
    <row r="71" spans="1:12">
      <c r="A71" s="108" t="s">
        <v>8</v>
      </c>
      <c r="B71" s="3" t="s">
        <v>104</v>
      </c>
      <c r="C71" s="5" t="s">
        <v>106</v>
      </c>
      <c r="D71" s="6"/>
      <c r="E71" s="7" t="s">
        <v>385</v>
      </c>
      <c r="G71" s="3"/>
      <c r="K71" s="8">
        <f xml:space="preserve"> 1/ ROWS(C71:C73)</f>
        <v>0.33333333333333331</v>
      </c>
      <c r="L71" s="5" t="s">
        <v>950</v>
      </c>
    </row>
    <row r="72" spans="1:12">
      <c r="A72" s="108"/>
      <c r="B72" s="3" t="s">
        <v>105</v>
      </c>
      <c r="C72" s="5" t="s">
        <v>105</v>
      </c>
      <c r="D72" s="6"/>
      <c r="E72" s="7" t="s">
        <v>386</v>
      </c>
      <c r="G72" s="3"/>
      <c r="K72" s="8">
        <f t="shared" ref="K72:K73" si="6" xml:space="preserve"> 1/ ROWS(C72:C74)</f>
        <v>0.33333333333333331</v>
      </c>
      <c r="L72" s="5" t="s">
        <v>950</v>
      </c>
    </row>
    <row r="73" spans="1:12">
      <c r="A73" s="108"/>
      <c r="B73" s="3" t="s">
        <v>106</v>
      </c>
      <c r="C73" s="5" t="s">
        <v>104</v>
      </c>
      <c r="D73" s="6"/>
      <c r="E73" s="7" t="s">
        <v>387</v>
      </c>
      <c r="G73" s="3"/>
      <c r="K73" s="8">
        <f t="shared" si="6"/>
        <v>0.33333333333333331</v>
      </c>
      <c r="L73" s="5" t="s">
        <v>950</v>
      </c>
    </row>
    <row r="74" spans="1:12">
      <c r="A74" s="108" t="s">
        <v>9</v>
      </c>
      <c r="B74" s="3" t="s">
        <v>107</v>
      </c>
      <c r="C74" s="5" t="s">
        <v>114</v>
      </c>
      <c r="D74" s="6"/>
      <c r="E74" s="7" t="s">
        <v>388</v>
      </c>
      <c r="G74" s="3"/>
      <c r="K74" s="8">
        <f xml:space="preserve"> 1/ ROWS(C74:C86)</f>
        <v>7.6923076923076927E-2</v>
      </c>
      <c r="L74" s="5" t="s">
        <v>950</v>
      </c>
    </row>
    <row r="75" spans="1:12">
      <c r="A75" s="108"/>
      <c r="B75" s="3" t="s">
        <v>108</v>
      </c>
      <c r="C75" s="5" t="s">
        <v>389</v>
      </c>
      <c r="D75" s="6"/>
      <c r="E75" s="7" t="s">
        <v>390</v>
      </c>
      <c r="G75" s="3"/>
      <c r="K75" s="8">
        <f t="shared" ref="K75:K86" si="7" xml:space="preserve"> 1/ ROWS(C75:C87)</f>
        <v>7.6923076923076927E-2</v>
      </c>
      <c r="L75" s="5" t="s">
        <v>950</v>
      </c>
    </row>
    <row r="76" spans="1:12">
      <c r="A76" s="108"/>
      <c r="B76" s="3" t="s">
        <v>109</v>
      </c>
      <c r="C76" s="5" t="s">
        <v>391</v>
      </c>
      <c r="D76" s="6"/>
      <c r="E76" s="7" t="s">
        <v>392</v>
      </c>
      <c r="G76" s="3"/>
      <c r="K76" s="8">
        <f t="shared" si="7"/>
        <v>7.6923076923076927E-2</v>
      </c>
      <c r="L76" s="5" t="s">
        <v>950</v>
      </c>
    </row>
    <row r="77" spans="1:12">
      <c r="A77" s="108"/>
      <c r="B77" s="3" t="s">
        <v>110</v>
      </c>
      <c r="C77" s="5" t="s">
        <v>393</v>
      </c>
      <c r="D77" s="6"/>
      <c r="E77" s="7" t="s">
        <v>394</v>
      </c>
      <c r="G77" s="3"/>
      <c r="K77" s="8">
        <f t="shared" si="7"/>
        <v>7.6923076923076927E-2</v>
      </c>
      <c r="L77" s="5" t="s">
        <v>950</v>
      </c>
    </row>
    <row r="78" spans="1:12">
      <c r="A78" s="108"/>
      <c r="B78" s="3" t="s">
        <v>111</v>
      </c>
      <c r="C78" s="5" t="s">
        <v>115</v>
      </c>
      <c r="D78" s="6"/>
      <c r="E78" s="7" t="s">
        <v>395</v>
      </c>
      <c r="G78" s="3"/>
      <c r="K78" s="8">
        <f t="shared" si="7"/>
        <v>7.6923076923076927E-2</v>
      </c>
      <c r="L78" s="5" t="s">
        <v>950</v>
      </c>
    </row>
    <row r="79" spans="1:12">
      <c r="A79" s="108"/>
      <c r="B79" s="3" t="s">
        <v>112</v>
      </c>
      <c r="C79" s="5" t="s">
        <v>110</v>
      </c>
      <c r="D79" s="6"/>
      <c r="E79" s="7" t="s">
        <v>396</v>
      </c>
      <c r="G79" s="3"/>
      <c r="K79" s="8">
        <f t="shared" si="7"/>
        <v>7.6923076923076927E-2</v>
      </c>
      <c r="L79" s="5" t="s">
        <v>950</v>
      </c>
    </row>
    <row r="80" spans="1:12">
      <c r="A80" s="108"/>
      <c r="B80" s="3" t="s">
        <v>113</v>
      </c>
      <c r="C80" s="5" t="s">
        <v>112</v>
      </c>
      <c r="D80" s="6"/>
      <c r="E80" s="7" t="s">
        <v>397</v>
      </c>
      <c r="G80" s="3"/>
      <c r="K80" s="8">
        <f t="shared" si="7"/>
        <v>7.6923076923076927E-2</v>
      </c>
      <c r="L80" s="5" t="s">
        <v>950</v>
      </c>
    </row>
    <row r="81" spans="1:12">
      <c r="A81" s="108"/>
      <c r="B81" s="3" t="s">
        <v>114</v>
      </c>
      <c r="C81" s="5" t="s">
        <v>111</v>
      </c>
      <c r="D81" s="6"/>
      <c r="E81" s="7" t="s">
        <v>398</v>
      </c>
      <c r="G81" s="3"/>
      <c r="K81" s="8">
        <f t="shared" si="7"/>
        <v>7.6923076923076927E-2</v>
      </c>
      <c r="L81" s="5" t="s">
        <v>950</v>
      </c>
    </row>
    <row r="82" spans="1:12">
      <c r="A82" s="108"/>
      <c r="B82" s="3" t="s">
        <v>115</v>
      </c>
      <c r="C82" s="5" t="s">
        <v>107</v>
      </c>
      <c r="D82" s="6"/>
      <c r="E82" s="7" t="s">
        <v>399</v>
      </c>
      <c r="G82" s="3"/>
      <c r="K82" s="8">
        <f t="shared" si="7"/>
        <v>7.6923076923076927E-2</v>
      </c>
      <c r="L82" s="5" t="s">
        <v>950</v>
      </c>
    </row>
    <row r="83" spans="1:12">
      <c r="A83" s="108"/>
      <c r="C83" s="5" t="s">
        <v>400</v>
      </c>
      <c r="D83" s="6"/>
      <c r="E83" s="7" t="s">
        <v>401</v>
      </c>
      <c r="G83" s="3"/>
      <c r="K83" s="8">
        <f t="shared" si="7"/>
        <v>7.6923076923076927E-2</v>
      </c>
      <c r="L83" s="5" t="s">
        <v>950</v>
      </c>
    </row>
    <row r="84" spans="1:12">
      <c r="A84" s="108"/>
      <c r="C84" s="5" t="s">
        <v>113</v>
      </c>
      <c r="D84" s="6"/>
      <c r="E84" s="7" t="s">
        <v>402</v>
      </c>
      <c r="G84" s="3"/>
      <c r="K84" s="8">
        <f t="shared" si="7"/>
        <v>7.6923076923076927E-2</v>
      </c>
      <c r="L84" s="5" t="s">
        <v>950</v>
      </c>
    </row>
    <row r="85" spans="1:12">
      <c r="A85" s="108"/>
      <c r="C85" s="5" t="s">
        <v>108</v>
      </c>
      <c r="D85" s="6"/>
      <c r="E85" s="7" t="s">
        <v>403</v>
      </c>
      <c r="G85" s="3"/>
      <c r="K85" s="8">
        <f t="shared" si="7"/>
        <v>7.6923076923076927E-2</v>
      </c>
      <c r="L85" s="5" t="s">
        <v>950</v>
      </c>
    </row>
    <row r="86" spans="1:12">
      <c r="A86" s="108"/>
      <c r="C86" s="5" t="s">
        <v>109</v>
      </c>
      <c r="D86" s="6"/>
      <c r="E86" s="7" t="s">
        <v>404</v>
      </c>
      <c r="G86" s="3"/>
      <c r="K86" s="8">
        <f t="shared" si="7"/>
        <v>7.6923076923076927E-2</v>
      </c>
      <c r="L86" s="5" t="s">
        <v>950</v>
      </c>
    </row>
    <row r="87" spans="1:12">
      <c r="A87" s="108" t="s">
        <v>10</v>
      </c>
      <c r="B87" s="3" t="s">
        <v>116</v>
      </c>
      <c r="C87" s="5" t="s">
        <v>120</v>
      </c>
      <c r="D87" s="6"/>
      <c r="E87" s="7" t="s">
        <v>405</v>
      </c>
      <c r="G87" s="3"/>
    </row>
    <row r="88" spans="1:12">
      <c r="A88" s="108"/>
      <c r="B88" s="3" t="s">
        <v>117</v>
      </c>
      <c r="C88" s="5" t="s">
        <v>117</v>
      </c>
      <c r="D88" s="6"/>
      <c r="E88" s="7" t="s">
        <v>406</v>
      </c>
      <c r="G88" s="3"/>
    </row>
    <row r="89" spans="1:12">
      <c r="A89" s="108"/>
      <c r="B89" s="3" t="s">
        <v>118</v>
      </c>
      <c r="C89" s="5" t="s">
        <v>128</v>
      </c>
      <c r="D89" s="6"/>
      <c r="E89" s="7" t="s">
        <v>407</v>
      </c>
      <c r="G89" s="3"/>
    </row>
    <row r="90" spans="1:12">
      <c r="A90" s="108"/>
      <c r="B90" s="3" t="s">
        <v>119</v>
      </c>
      <c r="C90" s="5" t="s">
        <v>118</v>
      </c>
      <c r="D90" s="6"/>
      <c r="E90" s="7" t="s">
        <v>408</v>
      </c>
      <c r="G90" s="3"/>
    </row>
    <row r="91" spans="1:12">
      <c r="A91" s="108"/>
      <c r="B91" s="3" t="s">
        <v>120</v>
      </c>
      <c r="C91" s="5" t="s">
        <v>123</v>
      </c>
      <c r="D91" s="6"/>
      <c r="E91" s="7" t="s">
        <v>409</v>
      </c>
      <c r="G91" s="3"/>
    </row>
    <row r="92" spans="1:12">
      <c r="A92" s="108"/>
      <c r="B92" s="3" t="s">
        <v>121</v>
      </c>
      <c r="C92" s="5" t="s">
        <v>119</v>
      </c>
      <c r="D92" s="6"/>
      <c r="E92" s="7" t="s">
        <v>410</v>
      </c>
      <c r="G92" s="3"/>
    </row>
    <row r="93" spans="1:12">
      <c r="A93" s="108"/>
      <c r="B93" s="3" t="s">
        <v>122</v>
      </c>
      <c r="C93" s="5" t="s">
        <v>129</v>
      </c>
      <c r="D93" s="6"/>
      <c r="E93" s="7" t="s">
        <v>411</v>
      </c>
      <c r="G93" s="3"/>
    </row>
    <row r="94" spans="1:12">
      <c r="A94" s="108"/>
      <c r="B94" s="3" t="s">
        <v>123</v>
      </c>
      <c r="C94" s="5" t="s">
        <v>124</v>
      </c>
      <c r="D94" s="6"/>
      <c r="E94" s="7" t="s">
        <v>412</v>
      </c>
      <c r="G94" s="3"/>
    </row>
    <row r="95" spans="1:12">
      <c r="A95" s="108"/>
      <c r="B95" s="3" t="s">
        <v>124</v>
      </c>
      <c r="C95" s="5" t="s">
        <v>126</v>
      </c>
      <c r="D95" s="6"/>
      <c r="E95" s="7" t="s">
        <v>413</v>
      </c>
      <c r="G95" s="3"/>
    </row>
    <row r="96" spans="1:12">
      <c r="A96" s="108"/>
      <c r="B96" s="3" t="s">
        <v>125</v>
      </c>
      <c r="C96" s="5" t="s">
        <v>127</v>
      </c>
      <c r="D96" s="6" t="s">
        <v>665</v>
      </c>
      <c r="E96" s="7" t="s">
        <v>414</v>
      </c>
      <c r="G96" s="3">
        <v>125</v>
      </c>
      <c r="J96" s="3">
        <f t="shared" si="5"/>
        <v>125</v>
      </c>
      <c r="K96" s="8">
        <f>J96/SUM($J$96:$J$101)</f>
        <v>8.6206896551724144E-2</v>
      </c>
    </row>
    <row r="97" spans="1:11">
      <c r="A97" s="108"/>
      <c r="B97" s="3" t="s">
        <v>126</v>
      </c>
      <c r="C97" s="5" t="s">
        <v>121</v>
      </c>
      <c r="D97" s="6"/>
      <c r="E97" s="7" t="s">
        <v>415</v>
      </c>
      <c r="G97" s="3"/>
    </row>
    <row r="98" spans="1:11">
      <c r="A98" s="108"/>
      <c r="B98" s="3" t="s">
        <v>127</v>
      </c>
      <c r="C98" s="5" t="s">
        <v>125</v>
      </c>
      <c r="D98" s="6" t="s">
        <v>664</v>
      </c>
      <c r="E98" s="7" t="s">
        <v>416</v>
      </c>
      <c r="G98" s="3">
        <v>190</v>
      </c>
      <c r="J98" s="3">
        <f t="shared" si="5"/>
        <v>190</v>
      </c>
      <c r="K98" s="8">
        <f t="shared" ref="K98:K101" si="8">J98/SUM($J$96:$J$101)</f>
        <v>0.1310344827586207</v>
      </c>
    </row>
    <row r="99" spans="1:11">
      <c r="A99" s="108"/>
      <c r="B99" s="3" t="s">
        <v>128</v>
      </c>
      <c r="C99" s="5" t="s">
        <v>122</v>
      </c>
      <c r="D99" s="6"/>
      <c r="E99" s="7" t="s">
        <v>417</v>
      </c>
      <c r="G99" s="3"/>
    </row>
    <row r="100" spans="1:11">
      <c r="A100" s="108"/>
      <c r="B100" s="3" t="s">
        <v>129</v>
      </c>
      <c r="C100" s="5" t="s">
        <v>418</v>
      </c>
      <c r="D100" s="6"/>
      <c r="E100" s="7" t="s">
        <v>419</v>
      </c>
      <c r="G100" s="3"/>
    </row>
    <row r="101" spans="1:11" ht="30">
      <c r="A101" s="108"/>
      <c r="B101" s="3" t="s">
        <v>130</v>
      </c>
      <c r="C101" s="5" t="s">
        <v>130</v>
      </c>
      <c r="D101" s="6" t="s">
        <v>703</v>
      </c>
      <c r="E101" s="7" t="s">
        <v>420</v>
      </c>
      <c r="F101" s="3">
        <f>200+150</f>
        <v>350</v>
      </c>
      <c r="G101" s="3">
        <f>400+245</f>
        <v>645</v>
      </c>
      <c r="H101" s="3">
        <v>40</v>
      </c>
      <c r="I101" s="3">
        <v>100</v>
      </c>
      <c r="J101" s="3">
        <f t="shared" si="5"/>
        <v>1135</v>
      </c>
      <c r="K101" s="8">
        <f t="shared" si="8"/>
        <v>0.78275862068965518</v>
      </c>
    </row>
    <row r="102" spans="1:11">
      <c r="A102" s="108"/>
      <c r="C102" s="5" t="s">
        <v>116</v>
      </c>
      <c r="D102" s="6"/>
      <c r="E102" s="7" t="s">
        <v>421</v>
      </c>
      <c r="G102" s="3"/>
    </row>
    <row r="103" spans="1:11">
      <c r="A103" s="108"/>
      <c r="C103" s="5" t="s">
        <v>422</v>
      </c>
      <c r="D103" s="6"/>
      <c r="E103" s="7" t="s">
        <v>423</v>
      </c>
      <c r="G103" s="3"/>
    </row>
    <row r="104" spans="1:11">
      <c r="A104" s="108"/>
      <c r="C104" s="5" t="s">
        <v>424</v>
      </c>
      <c r="D104" s="6"/>
      <c r="E104" s="7" t="s">
        <v>425</v>
      </c>
      <c r="G104" s="3"/>
    </row>
    <row r="105" spans="1:11">
      <c r="A105" s="108"/>
      <c r="C105" s="5" t="s">
        <v>426</v>
      </c>
      <c r="D105" s="6"/>
      <c r="E105" s="7" t="s">
        <v>427</v>
      </c>
      <c r="G105" s="3"/>
    </row>
    <row r="106" spans="1:11">
      <c r="A106" s="108" t="s">
        <v>11</v>
      </c>
      <c r="B106" s="3" t="s">
        <v>131</v>
      </c>
      <c r="C106" s="5" t="s">
        <v>132</v>
      </c>
      <c r="D106" s="6"/>
      <c r="E106" s="7" t="s">
        <v>428</v>
      </c>
      <c r="G106" s="3"/>
    </row>
    <row r="107" spans="1:11">
      <c r="A107" s="108"/>
      <c r="B107" s="3" t="s">
        <v>132</v>
      </c>
      <c r="C107" s="5" t="s">
        <v>143</v>
      </c>
      <c r="D107" s="6"/>
      <c r="E107" s="7" t="s">
        <v>429</v>
      </c>
      <c r="G107" s="3"/>
    </row>
    <row r="108" spans="1:11">
      <c r="A108" s="108"/>
      <c r="B108" s="3" t="s">
        <v>133</v>
      </c>
      <c r="C108" s="5" t="s">
        <v>141</v>
      </c>
      <c r="D108" s="6"/>
      <c r="E108" s="7" t="s">
        <v>430</v>
      </c>
      <c r="G108" s="3"/>
    </row>
    <row r="109" spans="1:11">
      <c r="A109" s="108"/>
      <c r="B109" s="3" t="s">
        <v>134</v>
      </c>
      <c r="C109" s="5" t="s">
        <v>138</v>
      </c>
      <c r="D109" s="6"/>
      <c r="E109" s="7" t="s">
        <v>431</v>
      </c>
      <c r="G109" s="3"/>
    </row>
    <row r="110" spans="1:11">
      <c r="A110" s="108"/>
      <c r="B110" s="3" t="s">
        <v>135</v>
      </c>
      <c r="C110" s="10" t="s">
        <v>145</v>
      </c>
      <c r="D110" s="7"/>
      <c r="E110" s="11" t="s">
        <v>432</v>
      </c>
      <c r="G110" s="3"/>
    </row>
    <row r="111" spans="1:11">
      <c r="A111" s="108"/>
      <c r="B111" s="3" t="s">
        <v>136</v>
      </c>
      <c r="C111" s="10" t="s">
        <v>137</v>
      </c>
      <c r="D111" s="25" t="s">
        <v>704</v>
      </c>
      <c r="E111" s="11" t="s">
        <v>433</v>
      </c>
      <c r="F111" s="3">
        <v>35</v>
      </c>
      <c r="G111" s="3">
        <v>360</v>
      </c>
      <c r="H111" s="3">
        <v>110</v>
      </c>
      <c r="I111" s="3">
        <v>135</v>
      </c>
      <c r="J111" s="3">
        <f t="shared" si="5"/>
        <v>640</v>
      </c>
      <c r="K111" s="8">
        <f>J111/SUM($J$111:$J$126)</f>
        <v>0.5161290322580645</v>
      </c>
    </row>
    <row r="112" spans="1:11">
      <c r="A112" s="108"/>
      <c r="B112" s="3" t="s">
        <v>137</v>
      </c>
      <c r="C112" s="5" t="s">
        <v>134</v>
      </c>
      <c r="E112" s="7" t="s">
        <v>434</v>
      </c>
      <c r="G112" s="3"/>
    </row>
    <row r="113" spans="1:11">
      <c r="A113" s="108"/>
      <c r="B113" s="3" t="s">
        <v>138</v>
      </c>
      <c r="C113" s="5" t="s">
        <v>151</v>
      </c>
      <c r="D113" s="6"/>
      <c r="E113" s="7" t="s">
        <v>435</v>
      </c>
      <c r="G113" s="3"/>
    </row>
    <row r="114" spans="1:11">
      <c r="A114" s="108"/>
      <c r="B114" s="3" t="s">
        <v>139</v>
      </c>
      <c r="C114" s="5" t="s">
        <v>133</v>
      </c>
      <c r="D114" s="6"/>
      <c r="E114" s="7" t="s">
        <v>436</v>
      </c>
      <c r="G114" s="3"/>
    </row>
    <row r="115" spans="1:11">
      <c r="A115" s="108"/>
      <c r="B115" s="3" t="s">
        <v>140</v>
      </c>
      <c r="C115" s="5" t="s">
        <v>148</v>
      </c>
      <c r="D115" s="6"/>
      <c r="E115" s="7" t="s">
        <v>437</v>
      </c>
      <c r="G115" s="3"/>
    </row>
    <row r="116" spans="1:11">
      <c r="A116" s="108"/>
      <c r="B116" s="3" t="s">
        <v>141</v>
      </c>
      <c r="C116" s="5" t="s">
        <v>135</v>
      </c>
      <c r="D116" s="6" t="s">
        <v>717</v>
      </c>
      <c r="E116" s="7" t="s">
        <v>438</v>
      </c>
      <c r="G116" s="3">
        <v>325</v>
      </c>
      <c r="J116" s="3">
        <f t="shared" si="5"/>
        <v>325</v>
      </c>
      <c r="K116" s="8">
        <f t="shared" ref="K116:K125" si="9">J116/SUM($J$111:$J$126)</f>
        <v>0.26209677419354838</v>
      </c>
    </row>
    <row r="117" spans="1:11">
      <c r="A117" s="108"/>
      <c r="B117" s="3" t="s">
        <v>142</v>
      </c>
      <c r="C117" s="5" t="s">
        <v>136</v>
      </c>
      <c r="D117" s="6"/>
      <c r="E117" s="7" t="s">
        <v>439</v>
      </c>
      <c r="G117" s="3"/>
    </row>
    <row r="118" spans="1:11">
      <c r="A118" s="108"/>
      <c r="B118" s="3" t="s">
        <v>143</v>
      </c>
      <c r="C118" s="5" t="s">
        <v>140</v>
      </c>
      <c r="D118" s="6"/>
      <c r="E118" s="7" t="s">
        <v>440</v>
      </c>
      <c r="G118" s="3"/>
    </row>
    <row r="119" spans="1:11">
      <c r="A119" s="108"/>
      <c r="B119" s="3" t="s">
        <v>144</v>
      </c>
      <c r="C119" s="5" t="s">
        <v>139</v>
      </c>
      <c r="D119" s="6"/>
      <c r="E119" s="7" t="s">
        <v>441</v>
      </c>
      <c r="G119" s="3"/>
    </row>
    <row r="120" spans="1:11">
      <c r="A120" s="108"/>
      <c r="B120" s="3" t="s">
        <v>145</v>
      </c>
      <c r="C120" s="5" t="s">
        <v>142</v>
      </c>
      <c r="D120" s="6"/>
      <c r="E120" s="7" t="s">
        <v>442</v>
      </c>
      <c r="G120" s="3"/>
    </row>
    <row r="121" spans="1:11">
      <c r="A121" s="108"/>
      <c r="B121" s="3" t="s">
        <v>146</v>
      </c>
      <c r="C121" s="5" t="s">
        <v>144</v>
      </c>
      <c r="D121" s="6"/>
      <c r="E121" s="7" t="s">
        <v>443</v>
      </c>
      <c r="G121" s="3"/>
    </row>
    <row r="122" spans="1:11">
      <c r="A122" s="108"/>
      <c r="B122" s="3" t="s">
        <v>147</v>
      </c>
      <c r="C122" s="5" t="s">
        <v>146</v>
      </c>
      <c r="D122" s="6"/>
      <c r="E122" s="7" t="s">
        <v>444</v>
      </c>
      <c r="G122" s="3"/>
    </row>
    <row r="123" spans="1:11">
      <c r="A123" s="108"/>
      <c r="B123" s="3" t="s">
        <v>148</v>
      </c>
      <c r="C123" s="5" t="s">
        <v>147</v>
      </c>
      <c r="D123" s="6"/>
      <c r="E123" s="7" t="s">
        <v>445</v>
      </c>
      <c r="G123" s="3"/>
    </row>
    <row r="124" spans="1:11">
      <c r="A124" s="108"/>
      <c r="B124" s="3" t="s">
        <v>149</v>
      </c>
      <c r="C124" s="5" t="s">
        <v>150</v>
      </c>
      <c r="D124" s="6"/>
      <c r="E124" s="7" t="s">
        <v>446</v>
      </c>
      <c r="G124" s="3"/>
    </row>
    <row r="125" spans="1:11">
      <c r="A125" s="108"/>
      <c r="B125" s="3" t="s">
        <v>150</v>
      </c>
      <c r="C125" s="5" t="s">
        <v>152</v>
      </c>
      <c r="D125" s="6" t="s">
        <v>667</v>
      </c>
      <c r="E125" s="7" t="s">
        <v>447</v>
      </c>
      <c r="F125" s="3">
        <v>35</v>
      </c>
      <c r="G125" s="3"/>
      <c r="J125" s="3">
        <f t="shared" si="5"/>
        <v>35</v>
      </c>
      <c r="K125" s="8">
        <f t="shared" si="9"/>
        <v>2.8225806451612902E-2</v>
      </c>
    </row>
    <row r="126" spans="1:11">
      <c r="A126" s="108"/>
      <c r="B126" s="3" t="s">
        <v>151</v>
      </c>
      <c r="C126" s="5" t="s">
        <v>149</v>
      </c>
      <c r="D126" s="6" t="s">
        <v>724</v>
      </c>
      <c r="E126" s="7" t="s">
        <v>448</v>
      </c>
      <c r="G126" s="3">
        <v>240</v>
      </c>
      <c r="J126" s="3">
        <f t="shared" si="5"/>
        <v>240</v>
      </c>
      <c r="K126" s="8">
        <f>J126/SUM($J$111:$J$126)</f>
        <v>0.19354838709677419</v>
      </c>
    </row>
    <row r="127" spans="1:11">
      <c r="A127" s="108"/>
      <c r="B127" s="3" t="s">
        <v>152</v>
      </c>
      <c r="C127" s="5" t="s">
        <v>131</v>
      </c>
      <c r="D127" s="6"/>
      <c r="E127" s="7" t="s">
        <v>449</v>
      </c>
      <c r="G127" s="3"/>
    </row>
    <row r="128" spans="1:11">
      <c r="A128" s="108"/>
      <c r="C128" s="5" t="s">
        <v>450</v>
      </c>
      <c r="D128" s="6"/>
      <c r="E128" s="7" t="s">
        <v>451</v>
      </c>
      <c r="G128" s="3"/>
    </row>
    <row r="129" spans="1:12">
      <c r="A129" s="108"/>
      <c r="C129" s="5" t="s">
        <v>452</v>
      </c>
      <c r="D129" s="6"/>
      <c r="E129" s="7" t="s">
        <v>453</v>
      </c>
      <c r="G129" s="3"/>
    </row>
    <row r="130" spans="1:12">
      <c r="A130" s="108"/>
      <c r="C130" s="5" t="s">
        <v>454</v>
      </c>
      <c r="D130" s="6"/>
      <c r="E130" s="7" t="s">
        <v>455</v>
      </c>
      <c r="G130" s="3"/>
    </row>
    <row r="131" spans="1:12">
      <c r="A131" s="108"/>
      <c r="C131" s="5" t="s">
        <v>456</v>
      </c>
      <c r="D131" s="6"/>
      <c r="E131" s="7" t="s">
        <v>457</v>
      </c>
      <c r="G131" s="3"/>
    </row>
    <row r="132" spans="1:12">
      <c r="A132" s="108"/>
      <c r="C132" s="5" t="s">
        <v>458</v>
      </c>
      <c r="D132" s="6"/>
      <c r="E132" s="7" t="s">
        <v>459</v>
      </c>
      <c r="G132" s="3"/>
    </row>
    <row r="133" spans="1:12">
      <c r="A133" s="108" t="s">
        <v>12</v>
      </c>
      <c r="B133" s="3" t="s">
        <v>153</v>
      </c>
      <c r="C133" s="11" t="s">
        <v>460</v>
      </c>
      <c r="D133" s="7"/>
      <c r="E133" s="11" t="s">
        <v>461</v>
      </c>
      <c r="G133" s="3"/>
      <c r="K133" s="8">
        <v>0.16666666666666666</v>
      </c>
      <c r="L133" s="89" t="s">
        <v>950</v>
      </c>
    </row>
    <row r="134" spans="1:12">
      <c r="A134" s="108"/>
      <c r="B134" s="3" t="s">
        <v>154</v>
      </c>
      <c r="C134" s="5" t="s">
        <v>154</v>
      </c>
      <c r="D134" s="6"/>
      <c r="E134" s="7" t="s">
        <v>462</v>
      </c>
      <c r="G134" s="3"/>
      <c r="K134" s="8">
        <v>0.5</v>
      </c>
      <c r="L134" s="89" t="s">
        <v>950</v>
      </c>
    </row>
    <row r="135" spans="1:12">
      <c r="A135" s="108"/>
      <c r="C135" s="5" t="s">
        <v>153</v>
      </c>
      <c r="D135" s="6"/>
      <c r="E135" s="7"/>
      <c r="G135" s="3"/>
      <c r="K135" s="8">
        <v>0.5</v>
      </c>
      <c r="L135" s="89" t="s">
        <v>950</v>
      </c>
    </row>
    <row r="136" spans="1:12">
      <c r="A136" s="108"/>
      <c r="C136" s="5" t="s">
        <v>463</v>
      </c>
      <c r="D136" s="6"/>
      <c r="E136" s="7" t="s">
        <v>464</v>
      </c>
      <c r="G136" s="3"/>
      <c r="K136" s="8">
        <v>0.16666666666666666</v>
      </c>
      <c r="L136" s="89" t="s">
        <v>950</v>
      </c>
    </row>
    <row r="137" spans="1:12">
      <c r="A137" s="108"/>
      <c r="C137" s="5" t="s">
        <v>465</v>
      </c>
      <c r="D137" s="6"/>
      <c r="E137" s="7" t="s">
        <v>466</v>
      </c>
      <c r="G137" s="3"/>
      <c r="K137" s="8">
        <v>0.16666666666666666</v>
      </c>
      <c r="L137" s="89" t="s">
        <v>950</v>
      </c>
    </row>
    <row r="138" spans="1:12">
      <c r="A138" s="108" t="s">
        <v>13</v>
      </c>
      <c r="B138" s="3" t="s">
        <v>155</v>
      </c>
      <c r="C138" s="5" t="s">
        <v>163</v>
      </c>
      <c r="D138" s="6"/>
      <c r="E138" s="7" t="s">
        <v>467</v>
      </c>
      <c r="G138" s="3"/>
    </row>
    <row r="139" spans="1:12">
      <c r="A139" s="108"/>
      <c r="B139" s="3" t="s">
        <v>156</v>
      </c>
      <c r="C139" s="5" t="s">
        <v>156</v>
      </c>
      <c r="D139" s="6"/>
      <c r="E139" s="7" t="s">
        <v>468</v>
      </c>
      <c r="G139" s="3"/>
    </row>
    <row r="140" spans="1:12">
      <c r="A140" s="108"/>
      <c r="B140" s="3" t="s">
        <v>157</v>
      </c>
      <c r="C140" s="5" t="s">
        <v>167</v>
      </c>
      <c r="D140" s="6"/>
      <c r="E140" s="7" t="s">
        <v>469</v>
      </c>
      <c r="G140" s="3"/>
    </row>
    <row r="141" spans="1:12">
      <c r="A141" s="108"/>
      <c r="B141" s="3" t="s">
        <v>158</v>
      </c>
      <c r="C141" s="5" t="s">
        <v>166</v>
      </c>
      <c r="D141" s="6"/>
      <c r="E141" s="7" t="s">
        <v>470</v>
      </c>
      <c r="G141" s="3"/>
    </row>
    <row r="142" spans="1:12">
      <c r="A142" s="108"/>
      <c r="B142" s="3" t="s">
        <v>159</v>
      </c>
      <c r="C142" s="5" t="s">
        <v>175</v>
      </c>
      <c r="D142" s="6"/>
      <c r="E142" s="7" t="s">
        <v>471</v>
      </c>
      <c r="G142" s="3"/>
    </row>
    <row r="143" spans="1:12">
      <c r="A143" s="108"/>
      <c r="B143" s="3" t="s">
        <v>160</v>
      </c>
      <c r="C143" s="5" t="s">
        <v>164</v>
      </c>
      <c r="D143" s="6"/>
      <c r="E143" s="7" t="s">
        <v>472</v>
      </c>
      <c r="G143" s="3"/>
    </row>
    <row r="144" spans="1:12">
      <c r="A144" s="108"/>
      <c r="B144" s="3" t="s">
        <v>161</v>
      </c>
      <c r="C144" s="5" t="s">
        <v>171</v>
      </c>
      <c r="D144" s="6"/>
      <c r="E144" s="7" t="s">
        <v>473</v>
      </c>
      <c r="G144" s="3"/>
    </row>
    <row r="145" spans="1:12">
      <c r="A145" s="108"/>
      <c r="B145" s="3" t="s">
        <v>162</v>
      </c>
      <c r="C145" s="5" t="s">
        <v>174</v>
      </c>
      <c r="E145" s="7" t="s">
        <v>474</v>
      </c>
      <c r="G145" s="3"/>
    </row>
    <row r="146" spans="1:12">
      <c r="A146" s="108"/>
      <c r="B146" s="3" t="s">
        <v>163</v>
      </c>
      <c r="C146" s="5" t="s">
        <v>173</v>
      </c>
      <c r="D146" s="6"/>
      <c r="E146" s="7" t="s">
        <v>475</v>
      </c>
      <c r="G146" s="3"/>
    </row>
    <row r="147" spans="1:12">
      <c r="A147" s="108"/>
      <c r="B147" s="3" t="s">
        <v>164</v>
      </c>
      <c r="C147" s="5" t="s">
        <v>172</v>
      </c>
      <c r="D147" s="6"/>
      <c r="E147" s="7" t="s">
        <v>476</v>
      </c>
      <c r="G147" s="3"/>
    </row>
    <row r="148" spans="1:12">
      <c r="A148" s="108"/>
      <c r="B148" s="3" t="s">
        <v>165</v>
      </c>
      <c r="C148" s="5" t="s">
        <v>161</v>
      </c>
      <c r="D148" s="3" t="s">
        <v>700</v>
      </c>
      <c r="E148" s="7" t="s">
        <v>477</v>
      </c>
      <c r="F148" s="3">
        <v>100</v>
      </c>
      <c r="G148" s="3">
        <v>440</v>
      </c>
      <c r="H148" s="3">
        <v>70</v>
      </c>
      <c r="J148" s="3">
        <f t="shared" ref="J148:J184" si="10">SUM(F148:I148)</f>
        <v>610</v>
      </c>
      <c r="K148" s="8">
        <f>J148/SUM($J$148:$J$152)</f>
        <v>0.57009345794392519</v>
      </c>
    </row>
    <row r="149" spans="1:12" ht="30">
      <c r="A149" s="108"/>
      <c r="B149" s="3" t="s">
        <v>166</v>
      </c>
      <c r="C149" s="5" t="s">
        <v>162</v>
      </c>
      <c r="D149" s="6" t="s">
        <v>720</v>
      </c>
      <c r="E149" s="7" t="s">
        <v>478</v>
      </c>
      <c r="G149" s="3">
        <v>220</v>
      </c>
      <c r="H149" s="3">
        <v>90</v>
      </c>
      <c r="I149" s="3">
        <v>100</v>
      </c>
      <c r="J149" s="3">
        <f t="shared" si="10"/>
        <v>410</v>
      </c>
      <c r="K149" s="8">
        <f t="shared" ref="K149:K152" si="11">J149/SUM($J$148:$J$152)</f>
        <v>0.38317757009345793</v>
      </c>
    </row>
    <row r="150" spans="1:12" ht="30">
      <c r="A150" s="108"/>
      <c r="B150" s="3" t="s">
        <v>167</v>
      </c>
      <c r="C150" s="5" t="s">
        <v>158</v>
      </c>
      <c r="D150" s="6"/>
      <c r="E150" s="7" t="s">
        <v>479</v>
      </c>
      <c r="G150" s="3"/>
    </row>
    <row r="151" spans="1:12">
      <c r="A151" s="108"/>
      <c r="B151" s="3" t="s">
        <v>168</v>
      </c>
      <c r="C151" s="5" t="s">
        <v>159</v>
      </c>
      <c r="D151" s="6"/>
      <c r="E151" s="7" t="s">
        <v>480</v>
      </c>
      <c r="G151" s="3"/>
    </row>
    <row r="152" spans="1:12">
      <c r="A152" s="108"/>
      <c r="B152" s="3" t="s">
        <v>169</v>
      </c>
      <c r="C152" s="5" t="s">
        <v>155</v>
      </c>
      <c r="D152" s="3" t="s">
        <v>699</v>
      </c>
      <c r="E152" s="7" t="s">
        <v>481</v>
      </c>
      <c r="F152" s="3">
        <v>50</v>
      </c>
      <c r="G152" s="3"/>
      <c r="J152" s="3">
        <f t="shared" si="10"/>
        <v>50</v>
      </c>
      <c r="K152" s="8">
        <f t="shared" si="11"/>
        <v>4.6728971962616821E-2</v>
      </c>
    </row>
    <row r="153" spans="1:12">
      <c r="A153" s="108"/>
      <c r="B153" s="3" t="s">
        <v>170</v>
      </c>
      <c r="C153" s="5" t="s">
        <v>169</v>
      </c>
      <c r="D153" s="6"/>
      <c r="E153" s="7" t="s">
        <v>482</v>
      </c>
      <c r="G153" s="3"/>
    </row>
    <row r="154" spans="1:12">
      <c r="A154" s="108"/>
      <c r="B154" s="3" t="s">
        <v>171</v>
      </c>
      <c r="C154" s="5" t="s">
        <v>170</v>
      </c>
      <c r="D154" s="6"/>
      <c r="E154" s="7" t="s">
        <v>483</v>
      </c>
      <c r="G154" s="3"/>
    </row>
    <row r="155" spans="1:12">
      <c r="A155" s="108"/>
      <c r="B155" s="3" t="s">
        <v>172</v>
      </c>
      <c r="C155" s="5" t="s">
        <v>160</v>
      </c>
      <c r="D155" s="6"/>
      <c r="E155" s="7" t="s">
        <v>484</v>
      </c>
      <c r="G155" s="3"/>
    </row>
    <row r="156" spans="1:12">
      <c r="A156" s="108"/>
      <c r="B156" s="3" t="s">
        <v>173</v>
      </c>
      <c r="C156" s="5" t="s">
        <v>157</v>
      </c>
      <c r="D156" s="6"/>
      <c r="E156" s="7" t="s">
        <v>485</v>
      </c>
      <c r="G156" s="3"/>
    </row>
    <row r="157" spans="1:12">
      <c r="A157" s="108"/>
      <c r="B157" s="3" t="s">
        <v>174</v>
      </c>
      <c r="C157" s="5" t="s">
        <v>165</v>
      </c>
      <c r="D157" s="6"/>
      <c r="E157" s="7" t="s">
        <v>486</v>
      </c>
      <c r="G157" s="3"/>
    </row>
    <row r="158" spans="1:12">
      <c r="A158" s="108"/>
      <c r="B158" s="3" t="s">
        <v>175</v>
      </c>
      <c r="C158" s="5" t="s">
        <v>168</v>
      </c>
      <c r="D158" s="6"/>
      <c r="E158" s="7" t="s">
        <v>487</v>
      </c>
      <c r="G158" s="3"/>
    </row>
    <row r="159" spans="1:12">
      <c r="A159" s="26" t="s">
        <v>624</v>
      </c>
      <c r="C159" s="5" t="s">
        <v>488</v>
      </c>
      <c r="D159" s="6"/>
      <c r="E159" s="7" t="s">
        <v>489</v>
      </c>
      <c r="G159" s="3"/>
      <c r="K159" s="8">
        <v>1</v>
      </c>
      <c r="L159" s="89" t="s">
        <v>950</v>
      </c>
    </row>
    <row r="160" spans="1:12">
      <c r="A160" s="26" t="s">
        <v>14</v>
      </c>
      <c r="B160" s="3" t="s">
        <v>176</v>
      </c>
      <c r="C160" s="5" t="s">
        <v>176</v>
      </c>
      <c r="D160" s="6"/>
      <c r="E160" s="7" t="s">
        <v>490</v>
      </c>
      <c r="G160" s="3"/>
      <c r="K160" s="8">
        <v>1</v>
      </c>
      <c r="L160" s="89" t="s">
        <v>950</v>
      </c>
    </row>
    <row r="161" spans="1:12">
      <c r="A161" s="108" t="s">
        <v>623</v>
      </c>
      <c r="B161" s="3" t="s">
        <v>491</v>
      </c>
      <c r="C161" s="5" t="s">
        <v>491</v>
      </c>
      <c r="D161" s="6"/>
      <c r="E161" s="7" t="s">
        <v>492</v>
      </c>
      <c r="G161" s="3"/>
      <c r="K161" s="8">
        <v>0.5</v>
      </c>
      <c r="L161" s="89" t="s">
        <v>950</v>
      </c>
    </row>
    <row r="162" spans="1:12">
      <c r="A162" s="108"/>
      <c r="B162" s="3" t="s">
        <v>493</v>
      </c>
      <c r="C162" s="5" t="s">
        <v>493</v>
      </c>
      <c r="D162" s="6"/>
      <c r="E162" s="7" t="s">
        <v>494</v>
      </c>
      <c r="G162" s="3"/>
      <c r="K162" s="8">
        <v>0.5</v>
      </c>
      <c r="L162" s="89" t="s">
        <v>950</v>
      </c>
    </row>
    <row r="163" spans="1:12">
      <c r="A163" s="26" t="s">
        <v>15</v>
      </c>
      <c r="B163" s="3" t="s">
        <v>177</v>
      </c>
      <c r="C163" s="5" t="s">
        <v>177</v>
      </c>
      <c r="D163" s="6"/>
      <c r="E163" s="7" t="s">
        <v>15</v>
      </c>
      <c r="G163" s="3"/>
      <c r="K163" s="8">
        <v>1</v>
      </c>
      <c r="L163" s="89" t="s">
        <v>950</v>
      </c>
    </row>
    <row r="164" spans="1:12">
      <c r="A164" s="108" t="s">
        <v>16</v>
      </c>
      <c r="B164" s="3" t="s">
        <v>178</v>
      </c>
      <c r="C164" s="5" t="s">
        <v>182</v>
      </c>
      <c r="D164" s="6"/>
      <c r="E164" s="7" t="s">
        <v>495</v>
      </c>
      <c r="G164" s="3"/>
    </row>
    <row r="165" spans="1:12">
      <c r="A165" s="108"/>
      <c r="B165" s="3" t="s">
        <v>179</v>
      </c>
      <c r="C165" s="5" t="s">
        <v>181</v>
      </c>
      <c r="D165" s="6" t="s">
        <v>708</v>
      </c>
      <c r="E165" s="7" t="s">
        <v>496</v>
      </c>
      <c r="F165" s="3">
        <v>90</v>
      </c>
      <c r="G165" s="3"/>
      <c r="H165" s="3">
        <v>50</v>
      </c>
      <c r="J165" s="3">
        <f t="shared" si="10"/>
        <v>140</v>
      </c>
      <c r="K165" s="8">
        <v>1</v>
      </c>
    </row>
    <row r="166" spans="1:12">
      <c r="A166" s="108"/>
      <c r="B166" s="3" t="s">
        <v>180</v>
      </c>
      <c r="C166" s="5" t="s">
        <v>180</v>
      </c>
      <c r="D166" s="6"/>
      <c r="E166" s="7" t="s">
        <v>497</v>
      </c>
      <c r="G166" s="3"/>
    </row>
    <row r="167" spans="1:12">
      <c r="A167" s="108"/>
      <c r="B167" s="3" t="s">
        <v>181</v>
      </c>
      <c r="C167" s="5" t="s">
        <v>179</v>
      </c>
      <c r="D167" s="6"/>
      <c r="E167" s="7" t="s">
        <v>498</v>
      </c>
      <c r="G167" s="3"/>
    </row>
    <row r="168" spans="1:12">
      <c r="A168" s="108"/>
      <c r="B168" s="3" t="s">
        <v>182</v>
      </c>
      <c r="C168" s="5" t="s">
        <v>184</v>
      </c>
      <c r="D168" s="6"/>
      <c r="E168" s="7" t="s">
        <v>499</v>
      </c>
      <c r="G168" s="3"/>
    </row>
    <row r="169" spans="1:12">
      <c r="A169" s="108"/>
      <c r="B169" s="3" t="s">
        <v>183</v>
      </c>
      <c r="C169" s="5" t="s">
        <v>183</v>
      </c>
      <c r="E169" s="7" t="s">
        <v>500</v>
      </c>
      <c r="G169" s="3"/>
    </row>
    <row r="170" spans="1:12">
      <c r="A170" s="108"/>
      <c r="B170" s="3" t="s">
        <v>184</v>
      </c>
      <c r="C170" s="5" t="s">
        <v>178</v>
      </c>
      <c r="D170" s="6"/>
      <c r="E170" s="7" t="s">
        <v>501</v>
      </c>
      <c r="G170" s="3"/>
    </row>
    <row r="171" spans="1:12">
      <c r="A171" s="108"/>
      <c r="B171" s="3" t="s">
        <v>185</v>
      </c>
      <c r="C171" s="5" t="s">
        <v>185</v>
      </c>
      <c r="D171" s="6"/>
      <c r="E171" s="7" t="s">
        <v>502</v>
      </c>
      <c r="G171" s="3"/>
    </row>
    <row r="172" spans="1:12">
      <c r="A172" s="26" t="s">
        <v>504</v>
      </c>
      <c r="C172" s="5" t="s">
        <v>503</v>
      </c>
      <c r="D172" s="6"/>
      <c r="E172" s="7" t="s">
        <v>504</v>
      </c>
      <c r="G172" s="3"/>
      <c r="K172" s="8">
        <v>1</v>
      </c>
      <c r="L172" s="89" t="s">
        <v>950</v>
      </c>
    </row>
    <row r="173" spans="1:12">
      <c r="A173" s="108" t="s">
        <v>17</v>
      </c>
      <c r="B173" s="3" t="s">
        <v>186</v>
      </c>
      <c r="C173" s="5" t="s">
        <v>193</v>
      </c>
      <c r="D173" s="6"/>
      <c r="E173" s="7" t="s">
        <v>505</v>
      </c>
      <c r="G173" s="3"/>
    </row>
    <row r="174" spans="1:12">
      <c r="A174" s="108"/>
      <c r="B174" s="3" t="s">
        <v>187</v>
      </c>
      <c r="C174" s="5" t="s">
        <v>195</v>
      </c>
      <c r="D174" s="6"/>
      <c r="E174" s="7" t="s">
        <v>506</v>
      </c>
      <c r="G174" s="3"/>
    </row>
    <row r="175" spans="1:12">
      <c r="A175" s="108"/>
      <c r="B175" s="3" t="s">
        <v>188</v>
      </c>
      <c r="C175" s="5" t="s">
        <v>197</v>
      </c>
      <c r="D175" s="6"/>
      <c r="E175" s="7" t="s">
        <v>507</v>
      </c>
      <c r="G175" s="3"/>
    </row>
    <row r="176" spans="1:12">
      <c r="A176" s="108"/>
      <c r="B176" s="3" t="s">
        <v>189</v>
      </c>
      <c r="C176" s="5" t="s">
        <v>188</v>
      </c>
      <c r="D176" s="6"/>
      <c r="E176" s="7" t="s">
        <v>508</v>
      </c>
      <c r="G176" s="3"/>
    </row>
    <row r="177" spans="1:12">
      <c r="A177" s="108"/>
      <c r="B177" s="3" t="s">
        <v>190</v>
      </c>
      <c r="C177" s="5" t="s">
        <v>194</v>
      </c>
      <c r="D177" s="6"/>
      <c r="E177" s="7" t="s">
        <v>509</v>
      </c>
      <c r="G177" s="3"/>
    </row>
    <row r="178" spans="1:12">
      <c r="A178" s="108"/>
      <c r="B178" s="3" t="s">
        <v>191</v>
      </c>
      <c r="C178" s="5" t="s">
        <v>196</v>
      </c>
      <c r="D178" s="6"/>
      <c r="E178" s="7" t="s">
        <v>510</v>
      </c>
      <c r="G178" s="3"/>
    </row>
    <row r="179" spans="1:12">
      <c r="A179" s="108"/>
      <c r="B179" s="3" t="s">
        <v>192</v>
      </c>
      <c r="C179" s="5" t="s">
        <v>190</v>
      </c>
      <c r="D179" s="6"/>
      <c r="E179" s="7" t="s">
        <v>511</v>
      </c>
      <c r="G179" s="3"/>
    </row>
    <row r="180" spans="1:12">
      <c r="A180" s="108"/>
      <c r="B180" s="3" t="s">
        <v>193</v>
      </c>
      <c r="C180" s="5" t="s">
        <v>189</v>
      </c>
      <c r="D180" s="6"/>
      <c r="E180" s="7" t="s">
        <v>512</v>
      </c>
      <c r="G180" s="3"/>
    </row>
    <row r="181" spans="1:12">
      <c r="A181" s="108"/>
      <c r="B181" s="3" t="s">
        <v>194</v>
      </c>
      <c r="C181" s="5" t="s">
        <v>186</v>
      </c>
      <c r="D181" s="6" t="s">
        <v>705</v>
      </c>
      <c r="E181" s="7" t="s">
        <v>513</v>
      </c>
      <c r="F181" s="3">
        <v>260</v>
      </c>
      <c r="G181" s="3">
        <v>830</v>
      </c>
      <c r="H181" s="3">
        <v>130</v>
      </c>
      <c r="I181" s="3">
        <v>700</v>
      </c>
      <c r="J181" s="3">
        <f t="shared" si="10"/>
        <v>1920</v>
      </c>
      <c r="K181" s="8">
        <f>J181/SUM($J$181:$J$184)</f>
        <v>0.5133689839572193</v>
      </c>
    </row>
    <row r="182" spans="1:12">
      <c r="A182" s="108"/>
      <c r="B182" s="3" t="s">
        <v>195</v>
      </c>
      <c r="C182" s="5" t="s">
        <v>187</v>
      </c>
      <c r="D182" s="3" t="s">
        <v>679</v>
      </c>
      <c r="E182" s="7" t="s">
        <v>514</v>
      </c>
      <c r="G182" s="3">
        <v>915</v>
      </c>
      <c r="J182" s="3">
        <f t="shared" si="10"/>
        <v>915</v>
      </c>
      <c r="K182" s="8">
        <f t="shared" ref="K182:K184" si="12">J182/SUM($J$181:$J$184)</f>
        <v>0.24465240641711231</v>
      </c>
    </row>
    <row r="183" spans="1:12">
      <c r="A183" s="108"/>
      <c r="B183" s="3" t="s">
        <v>196</v>
      </c>
      <c r="C183" s="5" t="s">
        <v>191</v>
      </c>
      <c r="D183" s="3" t="s">
        <v>678</v>
      </c>
      <c r="E183" s="7" t="s">
        <v>515</v>
      </c>
      <c r="G183" s="3">
        <v>550</v>
      </c>
      <c r="J183" s="3">
        <f t="shared" si="10"/>
        <v>550</v>
      </c>
      <c r="K183" s="8">
        <f t="shared" si="12"/>
        <v>0.14705882352941177</v>
      </c>
    </row>
    <row r="184" spans="1:12">
      <c r="A184" s="108"/>
      <c r="B184" s="3" t="s">
        <v>197</v>
      </c>
      <c r="C184" s="5" t="s">
        <v>192</v>
      </c>
      <c r="D184" s="3" t="s">
        <v>677</v>
      </c>
      <c r="E184" s="7" t="s">
        <v>516</v>
      </c>
      <c r="G184" s="3">
        <v>355</v>
      </c>
      <c r="J184" s="3">
        <f t="shared" si="10"/>
        <v>355</v>
      </c>
      <c r="K184" s="8">
        <f t="shared" si="12"/>
        <v>9.4919786096256689E-2</v>
      </c>
    </row>
    <row r="185" spans="1:12">
      <c r="A185" s="108" t="s">
        <v>18</v>
      </c>
      <c r="B185" s="3" t="s">
        <v>198</v>
      </c>
      <c r="C185" s="5" t="s">
        <v>206</v>
      </c>
      <c r="D185" s="6"/>
      <c r="E185" s="7" t="s">
        <v>517</v>
      </c>
      <c r="G185" s="3"/>
      <c r="K185" s="8">
        <f xml:space="preserve"> 1/ ROWS(C185:C193)</f>
        <v>0.1111111111111111</v>
      </c>
      <c r="L185" s="89" t="s">
        <v>950</v>
      </c>
    </row>
    <row r="186" spans="1:12">
      <c r="A186" s="108"/>
      <c r="B186" s="3" t="s">
        <v>199</v>
      </c>
      <c r="C186" s="5" t="s">
        <v>204</v>
      </c>
      <c r="D186" s="6"/>
      <c r="E186" s="7" t="s">
        <v>518</v>
      </c>
      <c r="G186" s="3"/>
      <c r="K186" s="8">
        <f t="shared" ref="K186:K193" si="13" xml:space="preserve"> 1/ ROWS(C186:C194)</f>
        <v>0.1111111111111111</v>
      </c>
      <c r="L186" s="89" t="s">
        <v>950</v>
      </c>
    </row>
    <row r="187" spans="1:12">
      <c r="A187" s="108"/>
      <c r="B187" s="3" t="s">
        <v>200</v>
      </c>
      <c r="C187" s="5" t="s">
        <v>203</v>
      </c>
      <c r="D187" s="6"/>
      <c r="E187" s="7" t="s">
        <v>519</v>
      </c>
      <c r="G187" s="3"/>
      <c r="K187" s="8">
        <f t="shared" si="13"/>
        <v>0.1111111111111111</v>
      </c>
      <c r="L187" s="89" t="s">
        <v>950</v>
      </c>
    </row>
    <row r="188" spans="1:12">
      <c r="A188" s="108"/>
      <c r="B188" s="3" t="s">
        <v>201</v>
      </c>
      <c r="C188" s="5" t="s">
        <v>205</v>
      </c>
      <c r="D188" s="6"/>
      <c r="E188" s="7" t="s">
        <v>520</v>
      </c>
      <c r="G188" s="3"/>
      <c r="K188" s="8">
        <f t="shared" si="13"/>
        <v>0.1111111111111111</v>
      </c>
      <c r="L188" s="89" t="s">
        <v>950</v>
      </c>
    </row>
    <row r="189" spans="1:12">
      <c r="A189" s="108"/>
      <c r="B189" s="3" t="s">
        <v>202</v>
      </c>
      <c r="C189" s="5" t="s">
        <v>200</v>
      </c>
      <c r="D189" s="6"/>
      <c r="E189" s="7" t="s">
        <v>521</v>
      </c>
      <c r="G189" s="3"/>
      <c r="K189" s="8">
        <f t="shared" si="13"/>
        <v>0.1111111111111111</v>
      </c>
      <c r="L189" s="89" t="s">
        <v>950</v>
      </c>
    </row>
    <row r="190" spans="1:12">
      <c r="A190" s="108"/>
      <c r="B190" s="3" t="s">
        <v>203</v>
      </c>
      <c r="C190" s="5" t="s">
        <v>202</v>
      </c>
      <c r="D190" s="6"/>
      <c r="E190" s="7" t="s">
        <v>522</v>
      </c>
      <c r="G190" s="3"/>
      <c r="K190" s="8">
        <f t="shared" si="13"/>
        <v>0.1111111111111111</v>
      </c>
      <c r="L190" s="89" t="s">
        <v>950</v>
      </c>
    </row>
    <row r="191" spans="1:12">
      <c r="A191" s="108"/>
      <c r="B191" s="3" t="s">
        <v>204</v>
      </c>
      <c r="C191" s="5" t="s">
        <v>201</v>
      </c>
      <c r="D191" s="6"/>
      <c r="E191" s="7" t="s">
        <v>523</v>
      </c>
      <c r="G191" s="3"/>
      <c r="K191" s="8">
        <f t="shared" si="13"/>
        <v>0.1111111111111111</v>
      </c>
      <c r="L191" s="89" t="s">
        <v>950</v>
      </c>
    </row>
    <row r="192" spans="1:12">
      <c r="A192" s="108"/>
      <c r="B192" s="3" t="s">
        <v>205</v>
      </c>
      <c r="C192" s="5" t="s">
        <v>199</v>
      </c>
      <c r="D192" s="6"/>
      <c r="E192" s="7" t="s">
        <v>524</v>
      </c>
      <c r="G192" s="3"/>
      <c r="K192" s="8">
        <f t="shared" si="13"/>
        <v>0.1111111111111111</v>
      </c>
      <c r="L192" s="89" t="s">
        <v>950</v>
      </c>
    </row>
    <row r="193" spans="1:12">
      <c r="A193" s="108"/>
      <c r="B193" s="3" t="s">
        <v>206</v>
      </c>
      <c r="C193" s="5" t="s">
        <v>198</v>
      </c>
      <c r="D193" s="6"/>
      <c r="E193" s="7" t="s">
        <v>525</v>
      </c>
      <c r="G193" s="3"/>
      <c r="K193" s="8">
        <f t="shared" si="13"/>
        <v>0.1111111111111111</v>
      </c>
      <c r="L193" s="89" t="s">
        <v>950</v>
      </c>
    </row>
    <row r="194" spans="1:12">
      <c r="A194" s="108" t="s">
        <v>19</v>
      </c>
      <c r="B194" s="3" t="s">
        <v>207</v>
      </c>
      <c r="C194" s="5" t="s">
        <v>219</v>
      </c>
      <c r="D194" s="6"/>
      <c r="E194" s="7" t="s">
        <v>526</v>
      </c>
      <c r="G194" s="3"/>
    </row>
    <row r="195" spans="1:12">
      <c r="A195" s="108"/>
      <c r="B195" s="3" t="s">
        <v>208</v>
      </c>
      <c r="C195" s="5" t="s">
        <v>210</v>
      </c>
      <c r="D195" s="6"/>
      <c r="E195" s="7" t="s">
        <v>527</v>
      </c>
      <c r="G195" s="3"/>
    </row>
    <row r="196" spans="1:12">
      <c r="A196" s="108"/>
      <c r="B196" s="3" t="s">
        <v>209</v>
      </c>
      <c r="C196" s="5" t="s">
        <v>221</v>
      </c>
      <c r="D196" s="6"/>
      <c r="E196" s="7" t="s">
        <v>528</v>
      </c>
      <c r="G196" s="3"/>
    </row>
    <row r="197" spans="1:12">
      <c r="A197" s="108"/>
      <c r="B197" s="3" t="s">
        <v>210</v>
      </c>
      <c r="C197" s="5" t="s">
        <v>207</v>
      </c>
      <c r="D197" s="6"/>
      <c r="E197" s="7" t="s">
        <v>529</v>
      </c>
      <c r="G197" s="3"/>
    </row>
    <row r="198" spans="1:12">
      <c r="A198" s="108"/>
      <c r="B198" s="3" t="s">
        <v>211</v>
      </c>
      <c r="C198" s="5" t="s">
        <v>216</v>
      </c>
      <c r="D198" s="6"/>
      <c r="E198" s="7" t="s">
        <v>530</v>
      </c>
      <c r="G198" s="3"/>
    </row>
    <row r="199" spans="1:12">
      <c r="A199" s="108"/>
      <c r="B199" s="3" t="s">
        <v>212</v>
      </c>
      <c r="C199" s="5" t="s">
        <v>218</v>
      </c>
      <c r="D199" s="6"/>
      <c r="E199" s="7" t="s">
        <v>531</v>
      </c>
      <c r="G199" s="3"/>
    </row>
    <row r="200" spans="1:12">
      <c r="A200" s="108"/>
      <c r="B200" s="3" t="s">
        <v>213</v>
      </c>
      <c r="C200" s="5" t="s">
        <v>213</v>
      </c>
      <c r="D200" s="6"/>
      <c r="E200" s="7" t="s">
        <v>532</v>
      </c>
      <c r="G200" s="3"/>
    </row>
    <row r="201" spans="1:12">
      <c r="A201" s="108"/>
      <c r="B201" s="3" t="s">
        <v>214</v>
      </c>
      <c r="C201" s="5" t="s">
        <v>220</v>
      </c>
      <c r="D201" s="6" t="s">
        <v>721</v>
      </c>
      <c r="E201" s="7" t="s">
        <v>533</v>
      </c>
      <c r="G201" s="3"/>
      <c r="H201" s="3">
        <v>60</v>
      </c>
      <c r="I201" s="3">
        <v>400</v>
      </c>
      <c r="J201" s="3">
        <f t="shared" ref="J201:J252" si="14">SUM(F201:I201)</f>
        <v>460</v>
      </c>
      <c r="K201" s="8">
        <f>J201/SUM($J$201:$J$210)</f>
        <v>0.5714285714285714</v>
      </c>
    </row>
    <row r="202" spans="1:12">
      <c r="A202" s="108"/>
      <c r="B202" s="3" t="s">
        <v>215</v>
      </c>
      <c r="C202" s="5" t="s">
        <v>208</v>
      </c>
      <c r="D202" s="6"/>
      <c r="E202" s="7" t="s">
        <v>534</v>
      </c>
      <c r="G202" s="3"/>
    </row>
    <row r="203" spans="1:12">
      <c r="A203" s="108"/>
      <c r="B203" s="3" t="s">
        <v>216</v>
      </c>
      <c r="C203" s="5" t="s">
        <v>211</v>
      </c>
      <c r="D203" s="6"/>
      <c r="E203" s="7" t="s">
        <v>535</v>
      </c>
      <c r="G203" s="3"/>
    </row>
    <row r="204" spans="1:12">
      <c r="A204" s="108"/>
      <c r="B204" s="3" t="s">
        <v>217</v>
      </c>
      <c r="C204" s="5" t="s">
        <v>223</v>
      </c>
      <c r="D204" s="6"/>
      <c r="E204" s="7" t="s">
        <v>536</v>
      </c>
      <c r="G204" s="3"/>
    </row>
    <row r="205" spans="1:12">
      <c r="A205" s="108"/>
      <c r="B205" s="3" t="s">
        <v>218</v>
      </c>
      <c r="C205" s="5" t="s">
        <v>222</v>
      </c>
      <c r="D205" s="6"/>
      <c r="E205" s="7" t="s">
        <v>537</v>
      </c>
      <c r="G205" s="3"/>
    </row>
    <row r="206" spans="1:12">
      <c r="A206" s="108"/>
      <c r="B206" s="3" t="s">
        <v>219</v>
      </c>
      <c r="C206" s="5" t="s">
        <v>217</v>
      </c>
      <c r="D206" s="6"/>
      <c r="E206" s="7" t="s">
        <v>538</v>
      </c>
      <c r="G206" s="3"/>
    </row>
    <row r="207" spans="1:12">
      <c r="A207" s="108"/>
      <c r="B207" s="3" t="s">
        <v>220</v>
      </c>
      <c r="C207" s="5" t="s">
        <v>209</v>
      </c>
      <c r="D207" s="6"/>
      <c r="E207" s="7" t="s">
        <v>539</v>
      </c>
      <c r="G207" s="3"/>
    </row>
    <row r="208" spans="1:12">
      <c r="A208" s="108"/>
      <c r="B208" s="3" t="s">
        <v>221</v>
      </c>
      <c r="C208" s="5" t="s">
        <v>212</v>
      </c>
      <c r="D208" s="6"/>
      <c r="E208" s="7" t="s">
        <v>540</v>
      </c>
      <c r="G208" s="3"/>
    </row>
    <row r="209" spans="1:11">
      <c r="A209" s="108"/>
      <c r="B209" s="3" t="s">
        <v>222</v>
      </c>
      <c r="C209" s="5" t="s">
        <v>214</v>
      </c>
      <c r="D209" s="6"/>
      <c r="E209" s="7" t="s">
        <v>541</v>
      </c>
      <c r="G209" s="3"/>
    </row>
    <row r="210" spans="1:11">
      <c r="A210" s="108"/>
      <c r="B210" s="3" t="s">
        <v>223</v>
      </c>
      <c r="C210" s="5" t="s">
        <v>215</v>
      </c>
      <c r="D210" s="3" t="s">
        <v>676</v>
      </c>
      <c r="E210" s="7" t="s">
        <v>542</v>
      </c>
      <c r="F210" s="3">
        <v>285</v>
      </c>
      <c r="G210" s="3"/>
      <c r="H210" s="3">
        <v>10</v>
      </c>
      <c r="I210" s="3">
        <v>50</v>
      </c>
      <c r="J210" s="3">
        <f t="shared" si="14"/>
        <v>345</v>
      </c>
      <c r="K210" s="8">
        <f t="shared" ref="K210" si="15">J210/SUM($J$201:$J$210)</f>
        <v>0.42857142857142855</v>
      </c>
    </row>
    <row r="211" spans="1:11">
      <c r="A211" s="108" t="s">
        <v>20</v>
      </c>
      <c r="B211" s="3" t="s">
        <v>224</v>
      </c>
      <c r="C211" s="5" t="s">
        <v>226</v>
      </c>
      <c r="D211" s="6" t="s">
        <v>707</v>
      </c>
      <c r="E211" s="7" t="s">
        <v>543</v>
      </c>
      <c r="F211" s="3">
        <v>170</v>
      </c>
      <c r="G211" s="3"/>
      <c r="H211" s="3">
        <v>50</v>
      </c>
      <c r="I211" s="3">
        <v>140</v>
      </c>
      <c r="J211" s="3">
        <f t="shared" si="14"/>
        <v>360</v>
      </c>
      <c r="K211" s="8">
        <v>1</v>
      </c>
    </row>
    <row r="212" spans="1:11">
      <c r="A212" s="108"/>
      <c r="B212" s="3" t="s">
        <v>225</v>
      </c>
      <c r="C212" s="5" t="s">
        <v>225</v>
      </c>
      <c r="D212" s="6"/>
      <c r="E212" s="7" t="s">
        <v>544</v>
      </c>
      <c r="G212" s="3"/>
    </row>
    <row r="213" spans="1:11">
      <c r="A213" s="108"/>
      <c r="B213" s="3" t="s">
        <v>226</v>
      </c>
      <c r="C213" s="5" t="s">
        <v>228</v>
      </c>
      <c r="D213" s="6"/>
      <c r="E213" s="7" t="s">
        <v>545</v>
      </c>
      <c r="G213" s="3"/>
    </row>
    <row r="214" spans="1:11">
      <c r="A214" s="108"/>
      <c r="B214" s="3" t="s">
        <v>227</v>
      </c>
      <c r="C214" s="5" t="s">
        <v>224</v>
      </c>
      <c r="D214" s="6"/>
      <c r="E214" s="7" t="s">
        <v>546</v>
      </c>
      <c r="G214" s="3"/>
    </row>
    <row r="215" spans="1:11">
      <c r="A215" s="108"/>
      <c r="B215" s="3" t="s">
        <v>228</v>
      </c>
      <c r="C215" s="5" t="s">
        <v>227</v>
      </c>
      <c r="E215" s="7" t="s">
        <v>547</v>
      </c>
      <c r="G215" s="3"/>
    </row>
    <row r="216" spans="1:11">
      <c r="A216" s="108"/>
      <c r="C216" s="5" t="s">
        <v>548</v>
      </c>
      <c r="D216" s="6"/>
      <c r="E216" s="7" t="s">
        <v>549</v>
      </c>
      <c r="G216" s="3"/>
    </row>
    <row r="217" spans="1:11">
      <c r="A217" s="108"/>
      <c r="C217" s="5" t="s">
        <v>550</v>
      </c>
      <c r="D217" s="6"/>
      <c r="E217" s="7" t="s">
        <v>551</v>
      </c>
      <c r="G217" s="3"/>
    </row>
    <row r="218" spans="1:11">
      <c r="A218" s="108" t="s">
        <v>21</v>
      </c>
      <c r="B218" s="3" t="s">
        <v>229</v>
      </c>
      <c r="C218" s="5" t="s">
        <v>231</v>
      </c>
      <c r="D218" s="6"/>
      <c r="E218" s="7" t="s">
        <v>552</v>
      </c>
      <c r="G218" s="3"/>
    </row>
    <row r="219" spans="1:11">
      <c r="A219" s="108"/>
      <c r="B219" s="3" t="s">
        <v>230</v>
      </c>
      <c r="C219" s="5" t="s">
        <v>236</v>
      </c>
      <c r="D219" s="6"/>
      <c r="E219" s="7" t="s">
        <v>553</v>
      </c>
      <c r="G219" s="3"/>
    </row>
    <row r="220" spans="1:11">
      <c r="A220" s="108"/>
      <c r="B220" s="3" t="s">
        <v>231</v>
      </c>
      <c r="C220" s="5" t="s">
        <v>232</v>
      </c>
      <c r="D220" s="6"/>
      <c r="E220" s="7" t="s">
        <v>554</v>
      </c>
      <c r="G220" s="3"/>
    </row>
    <row r="221" spans="1:11">
      <c r="A221" s="108"/>
      <c r="B221" s="3" t="s">
        <v>232</v>
      </c>
      <c r="C221" s="5" t="s">
        <v>230</v>
      </c>
      <c r="D221" s="6" t="s">
        <v>723</v>
      </c>
      <c r="E221" s="7" t="s">
        <v>555</v>
      </c>
      <c r="G221" s="3"/>
      <c r="I221" s="3">
        <v>20</v>
      </c>
      <c r="J221" s="3">
        <f t="shared" si="14"/>
        <v>20</v>
      </c>
      <c r="K221" s="8">
        <v>1</v>
      </c>
    </row>
    <row r="222" spans="1:11">
      <c r="A222" s="108"/>
      <c r="B222" s="3" t="s">
        <v>233</v>
      </c>
      <c r="C222" s="5" t="s">
        <v>234</v>
      </c>
      <c r="D222" s="6"/>
      <c r="E222" s="7" t="s">
        <v>556</v>
      </c>
      <c r="G222" s="3"/>
    </row>
    <row r="223" spans="1:11">
      <c r="A223" s="108"/>
      <c r="B223" s="3" t="s">
        <v>234</v>
      </c>
      <c r="C223" s="5" t="s">
        <v>233</v>
      </c>
      <c r="D223" s="6"/>
      <c r="E223" s="7" t="s">
        <v>557</v>
      </c>
      <c r="G223" s="3"/>
    </row>
    <row r="224" spans="1:11">
      <c r="A224" s="108"/>
      <c r="B224" s="3" t="s">
        <v>235</v>
      </c>
      <c r="C224" s="5" t="s">
        <v>229</v>
      </c>
      <c r="D224" s="6"/>
      <c r="E224" s="7" t="s">
        <v>558</v>
      </c>
      <c r="G224" s="3"/>
    </row>
    <row r="225" spans="1:12">
      <c r="A225" s="108"/>
      <c r="B225" s="3" t="s">
        <v>236</v>
      </c>
      <c r="C225" s="5" t="s">
        <v>235</v>
      </c>
      <c r="D225" s="6"/>
      <c r="E225" s="7" t="s">
        <v>559</v>
      </c>
      <c r="G225" s="3"/>
    </row>
    <row r="226" spans="1:12">
      <c r="A226" s="108" t="s">
        <v>22</v>
      </c>
      <c r="B226" s="3" t="s">
        <v>237</v>
      </c>
      <c r="C226" s="5" t="s">
        <v>237</v>
      </c>
      <c r="D226" s="6"/>
      <c r="E226" s="7" t="s">
        <v>560</v>
      </c>
      <c r="G226" s="3"/>
      <c r="K226" s="8">
        <v>0.5</v>
      </c>
      <c r="L226" s="89" t="s">
        <v>950</v>
      </c>
    </row>
    <row r="227" spans="1:12">
      <c r="A227" s="108"/>
      <c r="B227" s="3" t="s">
        <v>238</v>
      </c>
      <c r="C227" s="5" t="s">
        <v>238</v>
      </c>
      <c r="D227" s="6"/>
      <c r="E227" s="7" t="s">
        <v>561</v>
      </c>
      <c r="G227" s="3"/>
      <c r="K227" s="8">
        <v>0.5</v>
      </c>
      <c r="L227" s="89" t="s">
        <v>950</v>
      </c>
    </row>
    <row r="228" spans="1:12">
      <c r="A228" s="108" t="s">
        <v>23</v>
      </c>
      <c r="B228" s="3" t="s">
        <v>239</v>
      </c>
      <c r="C228" s="5" t="s">
        <v>241</v>
      </c>
      <c r="D228" s="6" t="s">
        <v>674</v>
      </c>
      <c r="E228" s="7" t="s">
        <v>562</v>
      </c>
      <c r="F228" s="3">
        <v>40</v>
      </c>
      <c r="G228" s="3"/>
      <c r="H228" s="3">
        <v>15</v>
      </c>
      <c r="I228" s="3">
        <v>50</v>
      </c>
      <c r="J228" s="3">
        <f t="shared" si="14"/>
        <v>105</v>
      </c>
      <c r="K228" s="8">
        <v>1</v>
      </c>
    </row>
    <row r="229" spans="1:12">
      <c r="A229" s="108"/>
      <c r="B229" s="3" t="s">
        <v>240</v>
      </c>
      <c r="C229" s="5" t="s">
        <v>239</v>
      </c>
      <c r="D229" s="6"/>
      <c r="E229" s="7" t="s">
        <v>563</v>
      </c>
      <c r="G229" s="3"/>
    </row>
    <row r="230" spans="1:12">
      <c r="A230" s="108"/>
      <c r="B230" s="3" t="s">
        <v>241</v>
      </c>
      <c r="C230" s="5" t="s">
        <v>242</v>
      </c>
      <c r="D230" s="6"/>
      <c r="E230" s="7" t="s">
        <v>564</v>
      </c>
      <c r="G230" s="3"/>
    </row>
    <row r="231" spans="1:12">
      <c r="A231" s="108"/>
      <c r="B231" s="3" t="s">
        <v>242</v>
      </c>
      <c r="C231" s="5" t="s">
        <v>240</v>
      </c>
      <c r="D231" s="6"/>
      <c r="E231" s="7" t="s">
        <v>565</v>
      </c>
      <c r="G231" s="3"/>
    </row>
    <row r="232" spans="1:12">
      <c r="A232" s="108" t="s">
        <v>24</v>
      </c>
      <c r="B232" s="3" t="s">
        <v>243</v>
      </c>
      <c r="C232" s="5" t="s">
        <v>243</v>
      </c>
      <c r="D232" s="6"/>
      <c r="E232" s="7" t="s">
        <v>566</v>
      </c>
      <c r="G232" s="3"/>
    </row>
    <row r="233" spans="1:12">
      <c r="A233" s="108"/>
      <c r="B233" s="3" t="s">
        <v>244</v>
      </c>
      <c r="C233" s="5" t="s">
        <v>245</v>
      </c>
      <c r="D233" s="6" t="s">
        <v>663</v>
      </c>
      <c r="E233" s="7" t="s">
        <v>567</v>
      </c>
      <c r="G233" s="3">
        <v>150</v>
      </c>
      <c r="J233" s="3">
        <f t="shared" si="14"/>
        <v>150</v>
      </c>
      <c r="K233" s="8">
        <v>1</v>
      </c>
    </row>
    <row r="234" spans="1:12">
      <c r="A234" s="108"/>
      <c r="B234" s="3" t="s">
        <v>245</v>
      </c>
      <c r="C234" s="5" t="s">
        <v>244</v>
      </c>
      <c r="D234" s="6"/>
      <c r="E234" s="7" t="s">
        <v>568</v>
      </c>
      <c r="G234" s="3"/>
    </row>
    <row r="235" spans="1:12">
      <c r="A235" s="108"/>
      <c r="B235" s="3" t="s">
        <v>246</v>
      </c>
      <c r="C235" s="5" t="s">
        <v>246</v>
      </c>
      <c r="D235" s="6"/>
      <c r="E235" s="7" t="s">
        <v>569</v>
      </c>
      <c r="G235" s="3"/>
    </row>
    <row r="236" spans="1:12">
      <c r="A236" s="108"/>
      <c r="C236" s="5" t="s">
        <v>570</v>
      </c>
      <c r="D236" s="6"/>
      <c r="E236" s="7" t="s">
        <v>571</v>
      </c>
      <c r="G236" s="3"/>
    </row>
    <row r="237" spans="1:12">
      <c r="A237" s="108" t="s">
        <v>25</v>
      </c>
      <c r="B237" s="3" t="s">
        <v>247</v>
      </c>
      <c r="C237" s="5" t="s">
        <v>247</v>
      </c>
      <c r="D237" s="6"/>
      <c r="E237" s="7" t="s">
        <v>572</v>
      </c>
      <c r="G237" s="3"/>
      <c r="K237" s="8">
        <f xml:space="preserve"> 1/ ROWS(C237:C244)</f>
        <v>0.125</v>
      </c>
      <c r="L237" s="89" t="s">
        <v>950</v>
      </c>
    </row>
    <row r="238" spans="1:12">
      <c r="A238" s="108"/>
      <c r="B238" s="3" t="s">
        <v>248</v>
      </c>
      <c r="C238" s="5" t="s">
        <v>248</v>
      </c>
      <c r="D238" s="6"/>
      <c r="E238" s="7" t="s">
        <v>573</v>
      </c>
      <c r="G238" s="3"/>
      <c r="K238" s="8">
        <f t="shared" ref="K238:K244" si="16" xml:space="preserve"> 1/ ROWS(C238:C245)</f>
        <v>0.125</v>
      </c>
      <c r="L238" s="89" t="s">
        <v>950</v>
      </c>
    </row>
    <row r="239" spans="1:12">
      <c r="A239" s="108"/>
      <c r="B239" s="3" t="s">
        <v>249</v>
      </c>
      <c r="C239" s="5" t="s">
        <v>252</v>
      </c>
      <c r="D239" s="6"/>
      <c r="E239" s="7" t="s">
        <v>574</v>
      </c>
      <c r="G239" s="3"/>
      <c r="K239" s="8">
        <f t="shared" si="16"/>
        <v>0.125</v>
      </c>
      <c r="L239" s="89" t="s">
        <v>950</v>
      </c>
    </row>
    <row r="240" spans="1:12">
      <c r="A240" s="108"/>
      <c r="B240" s="3" t="s">
        <v>250</v>
      </c>
      <c r="C240" s="5" t="s">
        <v>254</v>
      </c>
      <c r="D240" s="6"/>
      <c r="E240" s="7" t="s">
        <v>575</v>
      </c>
      <c r="G240" s="3"/>
      <c r="K240" s="8">
        <f t="shared" si="16"/>
        <v>0.125</v>
      </c>
      <c r="L240" s="89" t="s">
        <v>950</v>
      </c>
    </row>
    <row r="241" spans="1:12">
      <c r="A241" s="108"/>
      <c r="B241" s="3" t="s">
        <v>251</v>
      </c>
      <c r="C241" s="5" t="s">
        <v>251</v>
      </c>
      <c r="E241" s="7" t="s">
        <v>576</v>
      </c>
      <c r="G241" s="3"/>
      <c r="K241" s="8">
        <f t="shared" si="16"/>
        <v>0.125</v>
      </c>
      <c r="L241" s="89" t="s">
        <v>950</v>
      </c>
    </row>
    <row r="242" spans="1:12">
      <c r="A242" s="108"/>
      <c r="B242" s="3" t="s">
        <v>252</v>
      </c>
      <c r="C242" s="5" t="s">
        <v>253</v>
      </c>
      <c r="D242" s="6"/>
      <c r="E242" s="7" t="s">
        <v>577</v>
      </c>
      <c r="G242" s="3"/>
      <c r="K242" s="8">
        <f t="shared" si="16"/>
        <v>0.125</v>
      </c>
      <c r="L242" s="89" t="s">
        <v>950</v>
      </c>
    </row>
    <row r="243" spans="1:12">
      <c r="A243" s="108"/>
      <c r="B243" s="3" t="s">
        <v>253</v>
      </c>
      <c r="C243" s="5" t="s">
        <v>250</v>
      </c>
      <c r="D243" s="6"/>
      <c r="E243" s="7" t="s">
        <v>578</v>
      </c>
      <c r="G243" s="3"/>
      <c r="K243" s="8">
        <f t="shared" si="16"/>
        <v>0.125</v>
      </c>
      <c r="L243" s="89" t="s">
        <v>950</v>
      </c>
    </row>
    <row r="244" spans="1:12">
      <c r="A244" s="108"/>
      <c r="B244" s="3" t="s">
        <v>254</v>
      </c>
      <c r="C244" s="5" t="s">
        <v>249</v>
      </c>
      <c r="D244" s="6"/>
      <c r="E244" s="7" t="s">
        <v>579</v>
      </c>
      <c r="G244" s="3"/>
      <c r="K244" s="8">
        <f t="shared" si="16"/>
        <v>0.125</v>
      </c>
      <c r="L244" s="89" t="s">
        <v>950</v>
      </c>
    </row>
    <row r="245" spans="1:12">
      <c r="A245" s="108" t="s">
        <v>26</v>
      </c>
      <c r="B245" s="3" t="s">
        <v>255</v>
      </c>
      <c r="C245" s="5" t="s">
        <v>294</v>
      </c>
      <c r="D245" s="25" t="s">
        <v>716</v>
      </c>
      <c r="E245" s="7" t="s">
        <v>580</v>
      </c>
      <c r="G245" s="3">
        <v>510</v>
      </c>
      <c r="J245" s="3">
        <f t="shared" si="14"/>
        <v>510</v>
      </c>
      <c r="K245" s="8">
        <f>J245/SUM($J$245:$J$282)</f>
        <v>0.40963855421686746</v>
      </c>
    </row>
    <row r="246" spans="1:12" ht="30">
      <c r="A246" s="108"/>
      <c r="B246" s="3" t="s">
        <v>256</v>
      </c>
      <c r="C246" s="5" t="s">
        <v>268</v>
      </c>
      <c r="D246" s="6"/>
      <c r="E246" s="7" t="s">
        <v>581</v>
      </c>
      <c r="G246" s="3"/>
    </row>
    <row r="247" spans="1:12">
      <c r="A247" s="108"/>
      <c r="B247" s="3" t="s">
        <v>257</v>
      </c>
      <c r="C247" s="5" t="s">
        <v>280</v>
      </c>
      <c r="D247" s="6"/>
      <c r="E247" s="7" t="s">
        <v>582</v>
      </c>
      <c r="G247" s="3"/>
    </row>
    <row r="248" spans="1:12">
      <c r="A248" s="108"/>
      <c r="B248" s="3" t="s">
        <v>258</v>
      </c>
      <c r="C248" s="5" t="s">
        <v>270</v>
      </c>
      <c r="D248" s="6"/>
      <c r="E248" s="7" t="s">
        <v>583</v>
      </c>
      <c r="G248" s="3"/>
    </row>
    <row r="249" spans="1:12">
      <c r="A249" s="108"/>
      <c r="B249" s="3" t="s">
        <v>259</v>
      </c>
      <c r="C249" s="5" t="s">
        <v>285</v>
      </c>
      <c r="D249" s="6"/>
      <c r="E249" s="7" t="s">
        <v>584</v>
      </c>
      <c r="G249" s="3"/>
    </row>
    <row r="250" spans="1:12">
      <c r="A250" s="108"/>
      <c r="B250" s="3" t="s">
        <v>260</v>
      </c>
      <c r="C250" s="5" t="s">
        <v>264</v>
      </c>
      <c r="D250" s="6" t="s">
        <v>718</v>
      </c>
      <c r="E250" s="7" t="s">
        <v>585</v>
      </c>
      <c r="G250" s="3">
        <v>240</v>
      </c>
      <c r="J250" s="3">
        <f t="shared" si="14"/>
        <v>240</v>
      </c>
      <c r="K250" s="8">
        <f t="shared" ref="K250:K282" si="17">J250/SUM($J$245:$J$282)</f>
        <v>0.19277108433734941</v>
      </c>
    </row>
    <row r="251" spans="1:12">
      <c r="A251" s="108"/>
      <c r="B251" s="3" t="s">
        <v>261</v>
      </c>
      <c r="C251" s="5" t="s">
        <v>269</v>
      </c>
      <c r="D251" s="6"/>
      <c r="E251" s="7" t="s">
        <v>586</v>
      </c>
      <c r="G251" s="3"/>
    </row>
    <row r="252" spans="1:12" ht="30">
      <c r="A252" s="108"/>
      <c r="B252" s="3" t="s">
        <v>262</v>
      </c>
      <c r="C252" s="5" t="s">
        <v>277</v>
      </c>
      <c r="D252" s="6" t="s">
        <v>719</v>
      </c>
      <c r="E252" s="7" t="s">
        <v>587</v>
      </c>
      <c r="G252" s="3">
        <v>200</v>
      </c>
      <c r="J252" s="3">
        <f t="shared" si="14"/>
        <v>200</v>
      </c>
      <c r="K252" s="8">
        <f t="shared" si="17"/>
        <v>0.1606425702811245</v>
      </c>
    </row>
    <row r="253" spans="1:12">
      <c r="A253" s="108"/>
      <c r="B253" s="3" t="s">
        <v>263</v>
      </c>
      <c r="C253" s="5" t="s">
        <v>295</v>
      </c>
      <c r="D253" s="6"/>
      <c r="E253" s="7" t="s">
        <v>588</v>
      </c>
      <c r="G253" s="3"/>
    </row>
    <row r="254" spans="1:12">
      <c r="A254" s="108"/>
      <c r="B254" s="3" t="s">
        <v>264</v>
      </c>
      <c r="C254" s="5" t="s">
        <v>266</v>
      </c>
      <c r="D254" s="6"/>
      <c r="E254" s="7" t="s">
        <v>589</v>
      </c>
      <c r="G254" s="3"/>
    </row>
    <row r="255" spans="1:12">
      <c r="A255" s="108"/>
      <c r="B255" s="3" t="s">
        <v>265</v>
      </c>
      <c r="C255" s="5" t="s">
        <v>263</v>
      </c>
      <c r="D255" s="6"/>
      <c r="E255" s="7" t="s">
        <v>590</v>
      </c>
      <c r="G255" s="3"/>
    </row>
    <row r="256" spans="1:12">
      <c r="A256" s="108"/>
      <c r="B256" s="3" t="s">
        <v>266</v>
      </c>
      <c r="C256" s="5" t="s">
        <v>279</v>
      </c>
      <c r="D256" s="6"/>
      <c r="E256" s="7" t="s">
        <v>591</v>
      </c>
      <c r="G256" s="3"/>
    </row>
    <row r="257" spans="1:7" ht="30">
      <c r="A257" s="108"/>
      <c r="B257" s="3" t="s">
        <v>267</v>
      </c>
      <c r="C257" s="5" t="s">
        <v>272</v>
      </c>
      <c r="D257" s="6"/>
      <c r="E257" s="7" t="s">
        <v>592</v>
      </c>
      <c r="G257" s="3"/>
    </row>
    <row r="258" spans="1:7">
      <c r="A258" s="108"/>
      <c r="B258" s="3" t="s">
        <v>268</v>
      </c>
      <c r="C258" s="5" t="s">
        <v>271</v>
      </c>
      <c r="D258" s="6"/>
      <c r="E258" s="7" t="s">
        <v>593</v>
      </c>
      <c r="G258" s="3"/>
    </row>
    <row r="259" spans="1:7" ht="30">
      <c r="A259" s="108"/>
      <c r="B259" s="3" t="s">
        <v>269</v>
      </c>
      <c r="C259" s="5" t="s">
        <v>275</v>
      </c>
      <c r="D259" s="6"/>
      <c r="E259" s="7" t="s">
        <v>594</v>
      </c>
      <c r="G259" s="3"/>
    </row>
    <row r="260" spans="1:7">
      <c r="A260" s="108"/>
      <c r="B260" s="3" t="s">
        <v>270</v>
      </c>
      <c r="C260" s="5" t="s">
        <v>267</v>
      </c>
      <c r="D260" s="6"/>
      <c r="E260" s="7" t="s">
        <v>595</v>
      </c>
      <c r="G260" s="3"/>
    </row>
    <row r="261" spans="1:7">
      <c r="A261" s="108"/>
      <c r="B261" s="3" t="s">
        <v>271</v>
      </c>
      <c r="C261" s="5" t="s">
        <v>274</v>
      </c>
      <c r="D261" s="6"/>
      <c r="E261" s="7" t="s">
        <v>596</v>
      </c>
      <c r="G261" s="3"/>
    </row>
    <row r="262" spans="1:7">
      <c r="A262" s="108"/>
      <c r="B262" s="3" t="s">
        <v>272</v>
      </c>
      <c r="C262" s="5" t="s">
        <v>282</v>
      </c>
      <c r="D262" s="6"/>
      <c r="E262" s="7" t="s">
        <v>597</v>
      </c>
      <c r="G262" s="3"/>
    </row>
    <row r="263" spans="1:7">
      <c r="A263" s="108"/>
      <c r="B263" s="3" t="s">
        <v>273</v>
      </c>
      <c r="C263" s="5" t="s">
        <v>287</v>
      </c>
      <c r="D263" s="6"/>
      <c r="E263" s="7" t="s">
        <v>598</v>
      </c>
      <c r="G263" s="3"/>
    </row>
    <row r="264" spans="1:7">
      <c r="A264" s="108"/>
      <c r="B264" s="3" t="s">
        <v>274</v>
      </c>
      <c r="C264" s="5" t="s">
        <v>265</v>
      </c>
      <c r="D264" s="6"/>
      <c r="E264" s="7" t="s">
        <v>599</v>
      </c>
      <c r="G264" s="3"/>
    </row>
    <row r="265" spans="1:7">
      <c r="A265" s="108"/>
      <c r="B265" s="3" t="s">
        <v>275</v>
      </c>
      <c r="C265" s="5" t="s">
        <v>293</v>
      </c>
      <c r="D265" s="6"/>
      <c r="E265" s="7" t="s">
        <v>600</v>
      </c>
      <c r="G265" s="3"/>
    </row>
    <row r="266" spans="1:7">
      <c r="A266" s="108"/>
      <c r="B266" s="3" t="s">
        <v>276</v>
      </c>
      <c r="C266" s="5" t="s">
        <v>292</v>
      </c>
      <c r="D266" s="6"/>
      <c r="E266" s="7" t="s">
        <v>601</v>
      </c>
      <c r="G266" s="3"/>
    </row>
    <row r="267" spans="1:7">
      <c r="A267" s="108"/>
      <c r="B267" s="3" t="s">
        <v>277</v>
      </c>
      <c r="C267" s="5" t="s">
        <v>291</v>
      </c>
      <c r="D267" s="6"/>
      <c r="E267" s="7" t="s">
        <v>602</v>
      </c>
      <c r="G267" s="3"/>
    </row>
    <row r="268" spans="1:7">
      <c r="A268" s="108"/>
      <c r="B268" s="3" t="s">
        <v>278</v>
      </c>
      <c r="C268" s="5" t="s">
        <v>290</v>
      </c>
      <c r="D268" s="6"/>
      <c r="E268" s="7" t="s">
        <v>603</v>
      </c>
      <c r="G268" s="3"/>
    </row>
    <row r="269" spans="1:7" ht="30">
      <c r="A269" s="108"/>
      <c r="B269" s="3" t="s">
        <v>279</v>
      </c>
      <c r="C269" s="5" t="s">
        <v>289</v>
      </c>
      <c r="D269" s="6"/>
      <c r="E269" s="7" t="s">
        <v>604</v>
      </c>
      <c r="G269" s="3"/>
    </row>
    <row r="270" spans="1:7" ht="30">
      <c r="A270" s="108"/>
      <c r="B270" s="3" t="s">
        <v>280</v>
      </c>
      <c r="C270" s="5" t="s">
        <v>286</v>
      </c>
      <c r="D270" s="6"/>
      <c r="E270" s="7" t="s">
        <v>605</v>
      </c>
      <c r="G270" s="3"/>
    </row>
    <row r="271" spans="1:7">
      <c r="A271" s="108"/>
      <c r="B271" s="3" t="s">
        <v>281</v>
      </c>
      <c r="C271" s="5" t="s">
        <v>283</v>
      </c>
      <c r="D271" s="6"/>
      <c r="E271" s="7" t="s">
        <v>606</v>
      </c>
      <c r="G271" s="3"/>
    </row>
    <row r="272" spans="1:7">
      <c r="A272" s="108"/>
      <c r="B272" s="3" t="s">
        <v>282</v>
      </c>
      <c r="C272" s="5" t="s">
        <v>276</v>
      </c>
      <c r="D272" s="6"/>
      <c r="E272" s="7" t="s">
        <v>607</v>
      </c>
      <c r="G272" s="3"/>
    </row>
    <row r="273" spans="1:12">
      <c r="A273" s="108"/>
      <c r="B273" s="3" t="s">
        <v>283</v>
      </c>
      <c r="C273" s="5" t="s">
        <v>273</v>
      </c>
      <c r="D273" s="6"/>
      <c r="E273" s="7" t="s">
        <v>608</v>
      </c>
      <c r="G273" s="3"/>
    </row>
    <row r="274" spans="1:12" ht="30">
      <c r="A274" s="108"/>
      <c r="B274" s="3" t="s">
        <v>284</v>
      </c>
      <c r="C274" s="5" t="s">
        <v>288</v>
      </c>
      <c r="D274" s="6"/>
      <c r="E274" s="7" t="s">
        <v>609</v>
      </c>
      <c r="G274" s="3"/>
    </row>
    <row r="275" spans="1:12">
      <c r="A275" s="108"/>
      <c r="B275" s="3" t="s">
        <v>285</v>
      </c>
      <c r="C275" s="5" t="s">
        <v>284</v>
      </c>
      <c r="D275" s="6"/>
      <c r="E275" s="7" t="s">
        <v>610</v>
      </c>
      <c r="G275" s="3"/>
    </row>
    <row r="276" spans="1:12">
      <c r="A276" s="108"/>
      <c r="B276" s="3" t="s">
        <v>286</v>
      </c>
      <c r="C276" s="5" t="s">
        <v>281</v>
      </c>
      <c r="D276" s="6"/>
      <c r="E276" s="7" t="s">
        <v>611</v>
      </c>
      <c r="G276" s="3"/>
    </row>
    <row r="277" spans="1:12">
      <c r="A277" s="108"/>
      <c r="B277" s="3" t="s">
        <v>287</v>
      </c>
      <c r="C277" s="5" t="s">
        <v>278</v>
      </c>
      <c r="D277" s="6"/>
      <c r="E277" s="7" t="s">
        <v>612</v>
      </c>
      <c r="G277" s="3"/>
    </row>
    <row r="278" spans="1:12">
      <c r="A278" s="108"/>
      <c r="B278" s="3" t="s">
        <v>288</v>
      </c>
      <c r="C278" s="5" t="s">
        <v>255</v>
      </c>
      <c r="D278" s="6"/>
      <c r="E278" s="7" t="s">
        <v>613</v>
      </c>
      <c r="G278" s="3"/>
    </row>
    <row r="279" spans="1:12">
      <c r="A279" s="108"/>
      <c r="B279" s="3" t="s">
        <v>289</v>
      </c>
      <c r="C279" s="5" t="s">
        <v>256</v>
      </c>
      <c r="D279" s="6"/>
      <c r="E279" s="7" t="s">
        <v>614</v>
      </c>
      <c r="G279" s="3"/>
    </row>
    <row r="280" spans="1:12">
      <c r="A280" s="108"/>
      <c r="B280" s="3" t="s">
        <v>290</v>
      </c>
      <c r="C280" s="5" t="s">
        <v>261</v>
      </c>
      <c r="D280" s="6"/>
      <c r="E280" s="7" t="s">
        <v>615</v>
      </c>
      <c r="G280" s="3"/>
    </row>
    <row r="281" spans="1:12">
      <c r="A281" s="108"/>
      <c r="B281" s="3" t="s">
        <v>291</v>
      </c>
      <c r="C281" s="5" t="s">
        <v>259</v>
      </c>
      <c r="D281" s="6"/>
      <c r="E281" s="7" t="s">
        <v>616</v>
      </c>
      <c r="G281" s="3"/>
    </row>
    <row r="282" spans="1:12">
      <c r="A282" s="108"/>
      <c r="B282" s="3" t="s">
        <v>292</v>
      </c>
      <c r="C282" s="5" t="s">
        <v>260</v>
      </c>
      <c r="D282" s="25" t="s">
        <v>671</v>
      </c>
      <c r="E282" s="7" t="s">
        <v>617</v>
      </c>
      <c r="G282" s="3">
        <v>295</v>
      </c>
      <c r="J282" s="3">
        <f t="shared" ref="J282" si="18">SUM(F282:I282)</f>
        <v>295</v>
      </c>
      <c r="K282" s="8">
        <f t="shared" si="17"/>
        <v>0.23694779116465864</v>
      </c>
    </row>
    <row r="283" spans="1:12">
      <c r="A283" s="108"/>
      <c r="B283" s="3" t="s">
        <v>293</v>
      </c>
      <c r="C283" s="5" t="s">
        <v>258</v>
      </c>
      <c r="D283" s="6"/>
      <c r="E283" s="7" t="s">
        <v>618</v>
      </c>
      <c r="G283" s="3"/>
    </row>
    <row r="284" spans="1:12">
      <c r="A284" s="108"/>
      <c r="B284" s="3" t="s">
        <v>294</v>
      </c>
      <c r="C284" s="5" t="s">
        <v>257</v>
      </c>
      <c r="D284" s="6"/>
      <c r="E284" s="7" t="s">
        <v>619</v>
      </c>
      <c r="G284" s="3"/>
    </row>
    <row r="285" spans="1:12">
      <c r="A285" s="108"/>
      <c r="B285" s="3" t="s">
        <v>295</v>
      </c>
      <c r="C285" s="5" t="s">
        <v>262</v>
      </c>
      <c r="D285" s="6"/>
      <c r="E285" s="7" t="s">
        <v>620</v>
      </c>
      <c r="G285" s="3"/>
    </row>
    <row r="286" spans="1:12">
      <c r="A286" s="108" t="s">
        <v>27</v>
      </c>
      <c r="B286" s="3" t="s">
        <v>296</v>
      </c>
      <c r="C286" s="12" t="s">
        <v>298</v>
      </c>
      <c r="E286" s="11" t="s">
        <v>629</v>
      </c>
      <c r="G286" s="3"/>
      <c r="K286" s="8">
        <f xml:space="preserve"> 1/ ROWS(C286:C292)</f>
        <v>0.14285714285714285</v>
      </c>
      <c r="L286" s="89" t="s">
        <v>950</v>
      </c>
    </row>
    <row r="287" spans="1:12">
      <c r="A287" s="108"/>
      <c r="B287" s="3" t="s">
        <v>297</v>
      </c>
      <c r="C287" s="11" t="s">
        <v>297</v>
      </c>
      <c r="E287" s="11" t="s">
        <v>630</v>
      </c>
      <c r="G287" s="3"/>
      <c r="K287" s="8">
        <f t="shared" ref="K287:K292" si="19" xml:space="preserve"> 1/ ROWS(C287:C293)</f>
        <v>0.14285714285714285</v>
      </c>
      <c r="L287" s="89" t="s">
        <v>950</v>
      </c>
    </row>
    <row r="288" spans="1:12">
      <c r="A288" s="108"/>
      <c r="B288" s="3" t="s">
        <v>298</v>
      </c>
      <c r="C288" s="11" t="s">
        <v>299</v>
      </c>
      <c r="E288" s="11" t="s">
        <v>631</v>
      </c>
      <c r="G288" s="3"/>
      <c r="K288" s="8">
        <f t="shared" si="19"/>
        <v>0.14285714285714285</v>
      </c>
      <c r="L288" s="89" t="s">
        <v>950</v>
      </c>
    </row>
    <row r="289" spans="1:12">
      <c r="A289" s="108"/>
      <c r="B289" s="3" t="s">
        <v>299</v>
      </c>
      <c r="C289" s="5" t="s">
        <v>625</v>
      </c>
      <c r="E289" s="11" t="s">
        <v>632</v>
      </c>
      <c r="G289" s="3"/>
      <c r="K289" s="8">
        <f t="shared" si="19"/>
        <v>0.14285714285714285</v>
      </c>
      <c r="L289" s="89" t="s">
        <v>950</v>
      </c>
    </row>
    <row r="290" spans="1:12">
      <c r="A290" s="108"/>
      <c r="B290" s="3" t="s">
        <v>300</v>
      </c>
      <c r="C290" s="12" t="s">
        <v>626</v>
      </c>
      <c r="E290" s="11" t="s">
        <v>633</v>
      </c>
      <c r="G290" s="3"/>
      <c r="K290" s="8">
        <f t="shared" si="19"/>
        <v>0.14285714285714285</v>
      </c>
      <c r="L290" s="89" t="s">
        <v>950</v>
      </c>
    </row>
    <row r="291" spans="1:12">
      <c r="A291" s="108"/>
      <c r="B291" s="3" t="s">
        <v>301</v>
      </c>
      <c r="C291" s="12" t="s">
        <v>627</v>
      </c>
      <c r="E291" s="11" t="s">
        <v>634</v>
      </c>
      <c r="G291" s="3"/>
      <c r="K291" s="8">
        <f t="shared" si="19"/>
        <v>0.14285714285714285</v>
      </c>
      <c r="L291" s="89" t="s">
        <v>950</v>
      </c>
    </row>
    <row r="292" spans="1:12">
      <c r="A292" s="108"/>
      <c r="B292" s="3" t="s">
        <v>302</v>
      </c>
      <c r="C292" s="12" t="s">
        <v>628</v>
      </c>
      <c r="E292" s="11" t="s">
        <v>635</v>
      </c>
      <c r="G292" s="3"/>
      <c r="K292" s="8">
        <f t="shared" si="19"/>
        <v>0.14285714285714285</v>
      </c>
      <c r="L292" s="89" t="s">
        <v>950</v>
      </c>
    </row>
    <row r="293" spans="1:12">
      <c r="A293" s="108"/>
      <c r="C293" s="12" t="s">
        <v>302</v>
      </c>
      <c r="E293" s="11"/>
      <c r="G293" s="3"/>
      <c r="K293" s="8">
        <f>K289*1.3/2.3</f>
        <v>8.0745341614906846E-2</v>
      </c>
    </row>
    <row r="294" spans="1:12">
      <c r="A294" s="108"/>
      <c r="C294" s="12" t="s">
        <v>301</v>
      </c>
      <c r="E294" s="11"/>
      <c r="G294" s="3"/>
      <c r="K294" s="8">
        <f>K289*1/2.3</f>
        <v>6.2111801242236024E-2</v>
      </c>
    </row>
    <row r="295" spans="1:12">
      <c r="A295" s="108"/>
      <c r="C295" s="12" t="s">
        <v>300</v>
      </c>
      <c r="E295" s="11"/>
      <c r="G295" s="3"/>
      <c r="K295" s="8">
        <f>K290</f>
        <v>0.14285714285714285</v>
      </c>
    </row>
    <row r="296" spans="1:12">
      <c r="A296" s="108"/>
      <c r="C296" s="12" t="s">
        <v>296</v>
      </c>
      <c r="E296" s="11"/>
      <c r="G296" s="3"/>
      <c r="K296" s="8">
        <f>K291</f>
        <v>0.14285714285714285</v>
      </c>
    </row>
    <row r="297" spans="1:12">
      <c r="A297" s="108" t="s">
        <v>636</v>
      </c>
      <c r="B297" s="3" t="s">
        <v>303</v>
      </c>
      <c r="C297" s="12" t="s">
        <v>305</v>
      </c>
      <c r="D297" s="13"/>
      <c r="E297" s="12" t="s">
        <v>637</v>
      </c>
      <c r="G297" s="3"/>
      <c r="K297" s="8">
        <f t="shared" ref="K297:K303" si="20" xml:space="preserve"> 1/ ROWS(C297:C303)</f>
        <v>0.14285714285714285</v>
      </c>
      <c r="L297" s="89" t="s">
        <v>950</v>
      </c>
    </row>
    <row r="298" spans="1:12">
      <c r="A298" s="108"/>
      <c r="B298" s="3" t="s">
        <v>304</v>
      </c>
      <c r="C298" s="12" t="s">
        <v>307</v>
      </c>
      <c r="D298" s="13"/>
      <c r="E298" s="12" t="s">
        <v>638</v>
      </c>
      <c r="G298" s="3"/>
      <c r="K298" s="8">
        <f t="shared" si="20"/>
        <v>0.14285714285714285</v>
      </c>
      <c r="L298" s="89" t="s">
        <v>950</v>
      </c>
    </row>
    <row r="299" spans="1:12">
      <c r="A299" s="108"/>
      <c r="B299" s="3" t="s">
        <v>305</v>
      </c>
      <c r="C299" s="12" t="s">
        <v>309</v>
      </c>
      <c r="D299" s="13"/>
      <c r="E299" s="12" t="s">
        <v>639</v>
      </c>
      <c r="G299" s="3"/>
      <c r="K299" s="8">
        <f t="shared" si="20"/>
        <v>0.14285714285714285</v>
      </c>
      <c r="L299" s="89" t="s">
        <v>950</v>
      </c>
    </row>
    <row r="300" spans="1:12">
      <c r="A300" s="108"/>
      <c r="B300" s="3" t="s">
        <v>306</v>
      </c>
      <c r="C300" s="12" t="s">
        <v>303</v>
      </c>
      <c r="D300" s="13"/>
      <c r="E300" s="12" t="s">
        <v>640</v>
      </c>
      <c r="G300" s="3"/>
      <c r="K300" s="8">
        <f t="shared" si="20"/>
        <v>0.14285714285714285</v>
      </c>
      <c r="L300" s="89" t="s">
        <v>950</v>
      </c>
    </row>
    <row r="301" spans="1:12">
      <c r="A301" s="108"/>
      <c r="B301" s="3" t="s">
        <v>307</v>
      </c>
      <c r="C301" s="12" t="s">
        <v>308</v>
      </c>
      <c r="D301" s="13"/>
      <c r="E301" s="12" t="s">
        <v>641</v>
      </c>
      <c r="G301" s="3"/>
      <c r="K301" s="8">
        <f t="shared" si="20"/>
        <v>0.14285714285714285</v>
      </c>
      <c r="L301" s="89" t="s">
        <v>950</v>
      </c>
    </row>
    <row r="302" spans="1:12">
      <c r="A302" s="108"/>
      <c r="B302" s="3" t="s">
        <v>308</v>
      </c>
      <c r="C302" s="12" t="s">
        <v>304</v>
      </c>
      <c r="D302" s="13"/>
      <c r="E302" s="12" t="s">
        <v>642</v>
      </c>
      <c r="G302" s="3"/>
      <c r="K302" s="8">
        <f t="shared" si="20"/>
        <v>0.14285714285714285</v>
      </c>
      <c r="L302" s="89" t="s">
        <v>950</v>
      </c>
    </row>
    <row r="303" spans="1:12">
      <c r="A303" s="108"/>
      <c r="B303" s="3" t="s">
        <v>309</v>
      </c>
      <c r="C303" s="12" t="s">
        <v>306</v>
      </c>
      <c r="D303" s="13"/>
      <c r="E303" s="12" t="s">
        <v>643</v>
      </c>
      <c r="G303" s="3"/>
      <c r="K303" s="8">
        <f t="shared" si="20"/>
        <v>0.14285714285714285</v>
      </c>
      <c r="L303" s="89" t="s">
        <v>950</v>
      </c>
    </row>
    <row r="304" spans="1:12">
      <c r="A304" s="26" t="s">
        <v>28</v>
      </c>
      <c r="B304" s="3" t="s">
        <v>310</v>
      </c>
      <c r="C304" s="28" t="s">
        <v>310</v>
      </c>
      <c r="D304" s="27"/>
      <c r="E304" s="28" t="s">
        <v>644</v>
      </c>
      <c r="G304" s="3"/>
      <c r="K304" s="8">
        <v>1</v>
      </c>
      <c r="L304" s="89" t="s">
        <v>950</v>
      </c>
    </row>
    <row r="305" spans="1:12">
      <c r="A305" s="24" t="s">
        <v>29</v>
      </c>
      <c r="B305" s="3" t="s">
        <v>311</v>
      </c>
      <c r="C305" s="11" t="s">
        <v>311</v>
      </c>
      <c r="D305" s="7"/>
      <c r="E305" s="7" t="s">
        <v>645</v>
      </c>
      <c r="G305" s="3"/>
      <c r="K305" s="8">
        <v>1</v>
      </c>
      <c r="L305" s="89" t="s">
        <v>950</v>
      </c>
    </row>
    <row r="306" spans="1:12">
      <c r="A306" s="108" t="s">
        <v>30</v>
      </c>
      <c r="B306" s="3" t="s">
        <v>35</v>
      </c>
      <c r="C306" s="11" t="s">
        <v>33</v>
      </c>
      <c r="D306" s="7"/>
      <c r="E306" s="11" t="s">
        <v>646</v>
      </c>
      <c r="G306" s="3"/>
      <c r="K306" s="8">
        <f xml:space="preserve"> 1/ ROWS(C306:C308)</f>
        <v>0.33333333333333331</v>
      </c>
      <c r="L306" s="89" t="s">
        <v>950</v>
      </c>
    </row>
    <row r="307" spans="1:12">
      <c r="A307" s="108"/>
      <c r="B307" s="3" t="s">
        <v>34</v>
      </c>
      <c r="C307" s="11" t="s">
        <v>34</v>
      </c>
      <c r="D307" s="7"/>
      <c r="E307" s="11" t="s">
        <v>647</v>
      </c>
      <c r="G307" s="3"/>
      <c r="K307" s="8">
        <f t="shared" ref="K307:K308" si="21" xml:space="preserve"> 1/ ROWS(C307:C309)</f>
        <v>0.33333333333333331</v>
      </c>
      <c r="L307" s="89" t="s">
        <v>950</v>
      </c>
    </row>
    <row r="308" spans="1:12">
      <c r="A308" s="108"/>
      <c r="B308" s="3" t="s">
        <v>33</v>
      </c>
      <c r="C308" s="11" t="s">
        <v>35</v>
      </c>
      <c r="D308" s="7"/>
      <c r="E308" s="11" t="s">
        <v>648</v>
      </c>
      <c r="G308" s="3"/>
      <c r="K308" s="8">
        <f t="shared" si="21"/>
        <v>0.33333333333333331</v>
      </c>
      <c r="L308" s="89" t="s">
        <v>950</v>
      </c>
    </row>
    <row r="309" spans="1:12">
      <c r="A309" s="108" t="s">
        <v>31</v>
      </c>
      <c r="B309" s="3" t="s">
        <v>312</v>
      </c>
      <c r="C309" s="11" t="s">
        <v>315</v>
      </c>
      <c r="D309" s="7" t="s">
        <v>5014</v>
      </c>
      <c r="E309" s="11" t="s">
        <v>649</v>
      </c>
      <c r="F309" s="3">
        <v>70</v>
      </c>
      <c r="G309" s="3">
        <v>72</v>
      </c>
      <c r="J309" s="3">
        <f>SUM(F309:I309)</f>
        <v>142</v>
      </c>
      <c r="K309" s="8">
        <v>1</v>
      </c>
      <c r="L309" s="89" t="s">
        <v>950</v>
      </c>
    </row>
    <row r="310" spans="1:12">
      <c r="A310" s="108"/>
      <c r="B310" s="3" t="s">
        <v>313</v>
      </c>
      <c r="C310" s="11" t="s">
        <v>314</v>
      </c>
      <c r="D310" s="7"/>
      <c r="E310" s="11" t="s">
        <v>650</v>
      </c>
      <c r="G310" s="3"/>
      <c r="K310" s="8">
        <v>0</v>
      </c>
      <c r="L310" s="89" t="s">
        <v>950</v>
      </c>
    </row>
    <row r="311" spans="1:12" ht="30">
      <c r="A311" s="108"/>
      <c r="B311" s="3" t="s">
        <v>314</v>
      </c>
      <c r="C311" s="11" t="s">
        <v>313</v>
      </c>
      <c r="D311" s="7"/>
      <c r="E311" s="7" t="s">
        <v>651</v>
      </c>
      <c r="G311" s="3"/>
      <c r="K311" s="8">
        <v>0</v>
      </c>
      <c r="L311" s="89" t="s">
        <v>950</v>
      </c>
    </row>
    <row r="312" spans="1:12">
      <c r="A312" s="108"/>
      <c r="B312" s="3" t="s">
        <v>315</v>
      </c>
      <c r="C312" s="11" t="s">
        <v>312</v>
      </c>
      <c r="D312" s="7"/>
      <c r="E312" s="7" t="s">
        <v>652</v>
      </c>
      <c r="G312" s="3"/>
      <c r="K312" s="8">
        <v>0</v>
      </c>
      <c r="L312" s="89" t="s">
        <v>950</v>
      </c>
    </row>
    <row r="313" spans="1:12">
      <c r="A313" s="26" t="s">
        <v>32</v>
      </c>
      <c r="B313" s="3" t="s">
        <v>5018</v>
      </c>
      <c r="C313" s="11" t="s">
        <v>5018</v>
      </c>
      <c r="G313" s="3"/>
      <c r="K313" s="8">
        <v>1</v>
      </c>
      <c r="L313" s="89" t="s">
        <v>950</v>
      </c>
    </row>
    <row r="314" spans="1:12">
      <c r="A314" s="26" t="s">
        <v>654</v>
      </c>
      <c r="B314" s="3" t="s">
        <v>656</v>
      </c>
      <c r="C314" s="11" t="s">
        <v>656</v>
      </c>
      <c r="E314" s="3" t="s">
        <v>654</v>
      </c>
      <c r="G314" s="3"/>
      <c r="K314" s="8">
        <v>1</v>
      </c>
      <c r="L314" s="89" t="s">
        <v>950</v>
      </c>
    </row>
    <row r="315" spans="1:12">
      <c r="A315" s="26" t="s">
        <v>2150</v>
      </c>
      <c r="C315" s="11" t="s">
        <v>655</v>
      </c>
      <c r="E315" s="3" t="s">
        <v>653</v>
      </c>
      <c r="G315" s="3"/>
      <c r="K315" s="8">
        <v>1</v>
      </c>
      <c r="L315" s="89" t="s">
        <v>950</v>
      </c>
    </row>
    <row r="316" spans="1:12">
      <c r="G316" s="3"/>
    </row>
    <row r="317" spans="1:12">
      <c r="G317" s="3"/>
    </row>
    <row r="318" spans="1:12">
      <c r="G318" s="3"/>
    </row>
    <row r="319" spans="1:12">
      <c r="G319" s="3"/>
    </row>
    <row r="320" spans="1:12">
      <c r="G320" s="3"/>
    </row>
    <row r="321" spans="7:7">
      <c r="G321" s="3"/>
    </row>
    <row r="322" spans="7:7">
      <c r="G322" s="3"/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8EB0-20F5-40E8-ABEB-255C81558C7B}">
  <dimension ref="A1:F74"/>
  <sheetViews>
    <sheetView topLeftCell="A51" workbookViewId="0">
      <selection activeCell="C66" sqref="C66"/>
    </sheetView>
  </sheetViews>
  <sheetFormatPr baseColWidth="10" defaultRowHeight="15.75"/>
  <cols>
    <col min="1" max="1" width="22.875" customWidth="1"/>
    <col min="3" max="3" width="21.375" customWidth="1"/>
    <col min="4" max="4" width="40.375" bestFit="1" customWidth="1"/>
  </cols>
  <sheetData>
    <row r="1" spans="1:6">
      <c r="A1" t="s">
        <v>4928</v>
      </c>
    </row>
    <row r="3" spans="1:6">
      <c r="A3" t="s">
        <v>4929</v>
      </c>
      <c r="B3" t="s">
        <v>4930</v>
      </c>
      <c r="C3" t="s">
        <v>4931</v>
      </c>
    </row>
    <row r="5" spans="1:6">
      <c r="A5" s="101" t="s">
        <v>4923</v>
      </c>
      <c r="B5" s="101"/>
      <c r="C5" s="101"/>
      <c r="D5" s="101"/>
      <c r="E5" s="101"/>
    </row>
    <row r="6" spans="1:6">
      <c r="A6" t="s">
        <v>4924</v>
      </c>
      <c r="B6" t="s">
        <v>4925</v>
      </c>
      <c r="E6" s="102" t="s">
        <v>4926</v>
      </c>
    </row>
    <row r="8" spans="1:6">
      <c r="A8" s="101" t="s">
        <v>4932</v>
      </c>
      <c r="B8" s="101"/>
      <c r="C8" s="101"/>
      <c r="D8" s="101"/>
      <c r="E8" s="101"/>
    </row>
    <row r="9" spans="1:6">
      <c r="A9" t="s">
        <v>4924</v>
      </c>
      <c r="B9" t="s">
        <v>4925</v>
      </c>
      <c r="E9" s="102" t="s">
        <v>4926</v>
      </c>
    </row>
    <row r="11" spans="1:6">
      <c r="A11" s="101" t="s">
        <v>4933</v>
      </c>
      <c r="B11" s="101"/>
      <c r="C11" s="101"/>
      <c r="D11" s="101"/>
      <c r="E11" s="101"/>
    </row>
    <row r="12" spans="1:6">
      <c r="A12" t="s">
        <v>4924</v>
      </c>
      <c r="B12" t="s">
        <v>4925</v>
      </c>
      <c r="C12" t="s">
        <v>4936</v>
      </c>
      <c r="E12" s="102" t="s">
        <v>4934</v>
      </c>
    </row>
    <row r="14" spans="1:6">
      <c r="A14" t="s">
        <v>4941</v>
      </c>
      <c r="B14" t="s">
        <v>4942</v>
      </c>
      <c r="C14" t="s">
        <v>4937</v>
      </c>
      <c r="D14" t="s">
        <v>4939</v>
      </c>
      <c r="E14" s="102" t="s">
        <v>4938</v>
      </c>
      <c r="F14" t="s">
        <v>4940</v>
      </c>
    </row>
    <row r="15" spans="1:6">
      <c r="B15" t="s">
        <v>4943</v>
      </c>
      <c r="C15" t="s">
        <v>4946</v>
      </c>
      <c r="E15" s="102" t="s">
        <v>4945</v>
      </c>
    </row>
    <row r="16" spans="1:6">
      <c r="B16" t="s">
        <v>4944</v>
      </c>
      <c r="C16" t="s">
        <v>4946</v>
      </c>
      <c r="E16" s="102" t="s">
        <v>4947</v>
      </c>
    </row>
    <row r="18" spans="1:6">
      <c r="A18" s="101" t="s">
        <v>4949</v>
      </c>
      <c r="B18" s="101"/>
      <c r="C18" s="101"/>
      <c r="D18" s="101"/>
      <c r="E18" s="101"/>
    </row>
    <row r="19" spans="1:6">
      <c r="A19" t="s">
        <v>4924</v>
      </c>
      <c r="B19" t="s">
        <v>4925</v>
      </c>
      <c r="C19" t="s">
        <v>4936</v>
      </c>
      <c r="D19" t="s">
        <v>4950</v>
      </c>
      <c r="E19" s="102" t="s">
        <v>4948</v>
      </c>
    </row>
    <row r="21" spans="1:6">
      <c r="A21" s="101" t="s">
        <v>5024</v>
      </c>
      <c r="B21" s="101"/>
      <c r="C21" s="101"/>
      <c r="D21" s="101"/>
      <c r="E21" s="101"/>
    </row>
    <row r="22" spans="1:6">
      <c r="A22" s="103" t="s">
        <v>4951</v>
      </c>
      <c r="B22" t="s">
        <v>4952</v>
      </c>
    </row>
    <row r="24" spans="1:6">
      <c r="A24" s="101" t="s">
        <v>4953</v>
      </c>
      <c r="B24" s="101"/>
      <c r="C24" s="101"/>
      <c r="D24" s="101"/>
      <c r="E24" s="101"/>
    </row>
    <row r="25" spans="1:6">
      <c r="A25" t="s">
        <v>4924</v>
      </c>
      <c r="B25" t="s">
        <v>4925</v>
      </c>
      <c r="C25" t="s">
        <v>4954</v>
      </c>
      <c r="D25" t="s">
        <v>4955</v>
      </c>
      <c r="E25" s="102" t="s">
        <v>4957</v>
      </c>
      <c r="F25" t="s">
        <v>4956</v>
      </c>
    </row>
    <row r="26" spans="1:6">
      <c r="E26" s="102"/>
    </row>
    <row r="27" spans="1:6">
      <c r="A27" t="s">
        <v>4941</v>
      </c>
      <c r="B27" t="s">
        <v>4942</v>
      </c>
      <c r="C27" t="s">
        <v>4963</v>
      </c>
      <c r="E27" s="102" t="s">
        <v>4964</v>
      </c>
      <c r="F27" t="s">
        <v>4965</v>
      </c>
    </row>
    <row r="28" spans="1:6">
      <c r="B28" t="s">
        <v>4943</v>
      </c>
      <c r="C28" t="s">
        <v>4968</v>
      </c>
      <c r="E28" s="102" t="s">
        <v>4967</v>
      </c>
    </row>
    <row r="30" spans="1:6">
      <c r="A30" s="101" t="s">
        <v>4958</v>
      </c>
      <c r="B30" s="101"/>
      <c r="C30" s="101"/>
      <c r="D30" s="101"/>
      <c r="E30" s="101"/>
    </row>
    <row r="31" spans="1:6">
      <c r="A31" t="s">
        <v>4924</v>
      </c>
      <c r="B31" t="s">
        <v>4925</v>
      </c>
      <c r="C31" t="s">
        <v>4954</v>
      </c>
      <c r="D31" t="s">
        <v>4955</v>
      </c>
      <c r="E31" s="102" t="s">
        <v>4957</v>
      </c>
      <c r="F31" t="s">
        <v>4956</v>
      </c>
    </row>
    <row r="32" spans="1:6">
      <c r="B32" t="s">
        <v>4935</v>
      </c>
      <c r="C32" t="s">
        <v>4959</v>
      </c>
      <c r="E32" s="102" t="s">
        <v>4961</v>
      </c>
      <c r="F32" t="s">
        <v>4960</v>
      </c>
    </row>
    <row r="34" spans="1:6">
      <c r="A34" s="101" t="s">
        <v>4962</v>
      </c>
      <c r="B34" s="101"/>
      <c r="C34" s="101"/>
      <c r="D34" s="101"/>
      <c r="E34" s="101"/>
    </row>
    <row r="35" spans="1:6">
      <c r="A35" t="s">
        <v>4924</v>
      </c>
      <c r="B35" t="s">
        <v>4925</v>
      </c>
      <c r="C35" t="s">
        <v>4954</v>
      </c>
      <c r="D35" t="s">
        <v>4955</v>
      </c>
      <c r="E35" s="102" t="s">
        <v>4957</v>
      </c>
      <c r="F35" t="s">
        <v>4956</v>
      </c>
    </row>
    <row r="36" spans="1:6">
      <c r="B36" t="s">
        <v>4935</v>
      </c>
      <c r="C36" t="s">
        <v>4959</v>
      </c>
      <c r="E36" s="102" t="s">
        <v>4961</v>
      </c>
      <c r="F36" t="s">
        <v>4960</v>
      </c>
    </row>
    <row r="38" spans="1:6">
      <c r="A38" t="s">
        <v>4941</v>
      </c>
      <c r="B38" t="s">
        <v>4942</v>
      </c>
      <c r="C38" t="s">
        <v>4966</v>
      </c>
      <c r="D38" t="s">
        <v>4970</v>
      </c>
      <c r="E38" s="102" t="s">
        <v>4969</v>
      </c>
    </row>
    <row r="39" spans="1:6">
      <c r="B39" t="s">
        <v>4943</v>
      </c>
      <c r="C39" t="s">
        <v>4966</v>
      </c>
      <c r="D39" t="s">
        <v>4972</v>
      </c>
      <c r="E39" s="102" t="s">
        <v>4971</v>
      </c>
    </row>
    <row r="41" spans="1:6">
      <c r="A41" s="101" t="s">
        <v>4973</v>
      </c>
      <c r="B41" s="101"/>
      <c r="C41" s="101"/>
      <c r="D41" s="101"/>
      <c r="E41" s="101"/>
    </row>
    <row r="42" spans="1:6" ht="31.5">
      <c r="A42" t="s">
        <v>4924</v>
      </c>
      <c r="B42" t="s">
        <v>4925</v>
      </c>
      <c r="C42" t="s">
        <v>4975</v>
      </c>
      <c r="D42" s="72" t="s">
        <v>4976</v>
      </c>
      <c r="E42" s="102" t="s">
        <v>4974</v>
      </c>
    </row>
    <row r="44" spans="1:6">
      <c r="A44" t="s">
        <v>4941</v>
      </c>
      <c r="B44" t="s">
        <v>4942</v>
      </c>
      <c r="C44" t="s">
        <v>4977</v>
      </c>
      <c r="D44" t="s">
        <v>4979</v>
      </c>
      <c r="E44" s="102" t="s">
        <v>4978</v>
      </c>
    </row>
    <row r="46" spans="1:6">
      <c r="A46" s="101" t="s">
        <v>4980</v>
      </c>
      <c r="B46" s="101"/>
      <c r="C46" s="101"/>
      <c r="D46" s="101"/>
      <c r="E46" s="101"/>
    </row>
    <row r="47" spans="1:6">
      <c r="A47" t="s">
        <v>4924</v>
      </c>
      <c r="B47" t="s">
        <v>4925</v>
      </c>
      <c r="C47" t="s">
        <v>4986</v>
      </c>
      <c r="E47" s="102" t="s">
        <v>4985</v>
      </c>
    </row>
    <row r="48" spans="1:6">
      <c r="B48" t="s">
        <v>4935</v>
      </c>
      <c r="C48" t="s">
        <v>4989</v>
      </c>
      <c r="D48" t="s">
        <v>4988</v>
      </c>
      <c r="E48" s="102" t="s">
        <v>4987</v>
      </c>
    </row>
    <row r="50" spans="1:5">
      <c r="A50" t="s">
        <v>4941</v>
      </c>
      <c r="B50" t="s">
        <v>4942</v>
      </c>
      <c r="C50" s="21" t="s">
        <v>4982</v>
      </c>
      <c r="E50" s="102" t="s">
        <v>4981</v>
      </c>
    </row>
    <row r="52" spans="1:5">
      <c r="A52" s="101" t="s">
        <v>4990</v>
      </c>
      <c r="B52" s="101"/>
      <c r="C52" s="101"/>
      <c r="D52" s="101"/>
      <c r="E52" s="101"/>
    </row>
    <row r="53" spans="1:5">
      <c r="A53" t="s">
        <v>4924</v>
      </c>
      <c r="B53" t="s">
        <v>4925</v>
      </c>
      <c r="C53" t="s">
        <v>4992</v>
      </c>
      <c r="E53" s="107" t="s">
        <v>4991</v>
      </c>
    </row>
    <row r="54" spans="1:5">
      <c r="B54" t="s">
        <v>4935</v>
      </c>
      <c r="C54" t="s">
        <v>31</v>
      </c>
      <c r="E54" s="107" t="s">
        <v>5013</v>
      </c>
    </row>
    <row r="55" spans="1:5">
      <c r="E55" s="107"/>
    </row>
    <row r="56" spans="1:5">
      <c r="A56" t="s">
        <v>4995</v>
      </c>
      <c r="B56" s="103" t="s">
        <v>4930</v>
      </c>
      <c r="C56" t="s">
        <v>4996</v>
      </c>
      <c r="E56" s="107"/>
    </row>
    <row r="57" spans="1:5">
      <c r="C57" t="s">
        <v>4997</v>
      </c>
      <c r="E57" s="107"/>
    </row>
    <row r="58" spans="1:5">
      <c r="E58" s="107"/>
    </row>
    <row r="59" spans="1:5">
      <c r="A59" t="s">
        <v>4941</v>
      </c>
      <c r="B59" t="s">
        <v>4942</v>
      </c>
      <c r="C59" t="s">
        <v>4993</v>
      </c>
      <c r="E59" s="102" t="s">
        <v>4994</v>
      </c>
    </row>
    <row r="61" spans="1:5">
      <c r="A61" s="101" t="s">
        <v>4998</v>
      </c>
      <c r="B61" s="101"/>
      <c r="C61" s="101"/>
      <c r="D61" s="101"/>
      <c r="E61" s="101"/>
    </row>
    <row r="62" spans="1:5">
      <c r="A62" t="s">
        <v>4999</v>
      </c>
      <c r="B62" t="s">
        <v>4925</v>
      </c>
      <c r="C62" t="s">
        <v>5015</v>
      </c>
      <c r="E62" s="106" t="s">
        <v>5000</v>
      </c>
    </row>
    <row r="63" spans="1:5">
      <c r="B63" t="s">
        <v>4935</v>
      </c>
      <c r="C63" t="s">
        <v>31</v>
      </c>
      <c r="E63" s="102" t="s">
        <v>5016</v>
      </c>
    </row>
    <row r="65" spans="1:5">
      <c r="A65" t="s">
        <v>4995</v>
      </c>
      <c r="B65" t="s">
        <v>4930</v>
      </c>
      <c r="C65" t="s">
        <v>5001</v>
      </c>
    </row>
    <row r="67" spans="1:5">
      <c r="A67" t="s">
        <v>4941</v>
      </c>
      <c r="B67" t="s">
        <v>4942</v>
      </c>
      <c r="C67" t="s">
        <v>31</v>
      </c>
      <c r="E67" s="102" t="s">
        <v>5013</v>
      </c>
    </row>
    <row r="69" spans="1:5">
      <c r="A69" s="101" t="s">
        <v>5002</v>
      </c>
      <c r="B69" s="101"/>
      <c r="C69" s="101"/>
      <c r="D69" s="101"/>
      <c r="E69" s="101"/>
    </row>
    <row r="70" spans="1:5">
      <c r="A70" t="s">
        <v>4999</v>
      </c>
      <c r="B70" t="s">
        <v>4925</v>
      </c>
      <c r="C70" t="s">
        <v>5003</v>
      </c>
      <c r="E70" s="107" t="s">
        <v>5010</v>
      </c>
    </row>
    <row r="71" spans="1:5">
      <c r="B71" t="s">
        <v>4935</v>
      </c>
      <c r="C71" t="s">
        <v>5004</v>
      </c>
      <c r="E71" s="107" t="s">
        <v>5009</v>
      </c>
    </row>
    <row r="72" spans="1:5">
      <c r="B72" t="s">
        <v>5007</v>
      </c>
      <c r="C72" t="s">
        <v>5006</v>
      </c>
      <c r="E72" s="107" t="s">
        <v>5011</v>
      </c>
    </row>
    <row r="73" spans="1:5">
      <c r="B73" t="s">
        <v>5008</v>
      </c>
      <c r="C73" t="s">
        <v>5005</v>
      </c>
      <c r="E73" s="107" t="s">
        <v>5012</v>
      </c>
    </row>
    <row r="74" spans="1:5">
      <c r="B74" t="s">
        <v>5017</v>
      </c>
      <c r="C74" t="s">
        <v>31</v>
      </c>
      <c r="E74" s="102" t="s">
        <v>5013</v>
      </c>
    </row>
  </sheetData>
  <hyperlinks>
    <hyperlink ref="E12" r:id="rId1" xr:uid="{85F09EF5-D2DA-43A1-B814-6AD3D27FEFE3}"/>
    <hyperlink ref="E14" r:id="rId2" xr:uid="{E657EE9C-BA48-4368-9DA7-A2B38917B996}"/>
    <hyperlink ref="E15" r:id="rId3" xr:uid="{29CD38B0-ACA6-440C-B82C-61EE395CE280}"/>
    <hyperlink ref="E16" r:id="rId4" xr:uid="{5376E5E5-A6BF-4631-A25D-70F07876A496}"/>
    <hyperlink ref="E19" r:id="rId5" xr:uid="{5B324567-245C-4ACC-A304-5DCCDC13B85B}"/>
    <hyperlink ref="E25" r:id="rId6" xr:uid="{63D301A2-3B04-4AE7-B559-D75A70A85FA3}"/>
    <hyperlink ref="E31" r:id="rId7" xr:uid="{6C3FA3DD-6C3A-46F4-AD2F-388F6CABF146}"/>
    <hyperlink ref="E32" r:id="rId8" xr:uid="{8B7E5E45-7ABD-4C8E-B04D-E30FF9F6FD19}"/>
    <hyperlink ref="E28" r:id="rId9" xr:uid="{65608569-65E8-4ADA-B266-6268001C2AFB}"/>
    <hyperlink ref="E35" r:id="rId10" xr:uid="{46671E90-67FA-435B-82D3-C51BED7A6D15}"/>
    <hyperlink ref="E36" r:id="rId11" xr:uid="{5AFFF7D4-1D3F-4DD5-8C57-7594128C858F}"/>
    <hyperlink ref="E38" r:id="rId12" xr:uid="{381AEF0A-7C70-419D-8CBD-6F7DAA60CBF4}"/>
    <hyperlink ref="E39" r:id="rId13" xr:uid="{547D0A5D-5D68-4D8A-8F8C-A9CDA06ADFD9}"/>
    <hyperlink ref="E44" r:id="rId14" display="https://healthybuilding.net/uploads/files/Chlorine &amp; Building Materials Phase 2 Asia.pdf" xr:uid="{A0C7249F-588C-4007-AD8B-69D1E843DCFD}"/>
    <hyperlink ref="E47" r:id="rId15" xr:uid="{93BC09D4-A84A-4363-B9A0-951050C6A54E}"/>
    <hyperlink ref="E48" r:id="rId16" xr:uid="{3056517D-C816-43A0-932F-BF6A574B3742}"/>
    <hyperlink ref="E53" r:id="rId17" xr:uid="{333E8EE0-7D22-400A-A24D-62E9C60791FA}"/>
    <hyperlink ref="E59" r:id="rId18" xr:uid="{7508FC93-D259-450A-B865-231A04AAE089}"/>
    <hyperlink ref="E71" r:id="rId19" xr:uid="{878AEAC3-2E47-4E28-81C7-C4B49D04BC85}"/>
    <hyperlink ref="E70" r:id="rId20" xr:uid="{E311BAE5-D193-457D-99E3-5CA41D7EB0A3}"/>
    <hyperlink ref="E72" r:id="rId21" xr:uid="{133AC287-CD89-4B0B-B150-2C3244B46EBA}"/>
    <hyperlink ref="E73" r:id="rId22" xr:uid="{4E7DD4B5-7F02-49F0-BF15-27FE6AACD9B4}"/>
    <hyperlink ref="E63" r:id="rId23" xr:uid="{275B0F59-E5D5-46D2-84EC-F561038D57A1}"/>
    <hyperlink ref="E67" r:id="rId24" xr:uid="{3A4BB877-6B9B-4839-AA27-7CBCC608CB12}"/>
    <hyperlink ref="E50" r:id="rId25" xr:uid="{AFA44946-0A1A-4507-BD84-51F2BF1F6D92}"/>
    <hyperlink ref="E42" r:id="rId26" xr:uid="{CBF544D5-D324-46A4-B661-86B02148416D}"/>
    <hyperlink ref="E9" r:id="rId27" xr:uid="{830C87AF-675F-413E-BCE2-8E27079DBE39}"/>
    <hyperlink ref="E6" r:id="rId28" xr:uid="{E3043E09-DF63-406D-9223-358F484981E2}"/>
    <hyperlink ref="E74" r:id="rId29" xr:uid="{D99C6965-0224-43AB-8AD8-517A7EE905D9}"/>
  </hyperlinks>
  <pageMargins left="0.7" right="0.7" top="0.78740157499999996" bottom="0.78740157499999996" header="0.3" footer="0.3"/>
  <pageSetup paperSize="9" orientation="portrait" r:id="rId3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649"/>
  <sheetViews>
    <sheetView zoomScale="85" zoomScaleNormal="85" workbookViewId="0">
      <selection activeCell="F126" sqref="F126:F128"/>
    </sheetView>
  </sheetViews>
  <sheetFormatPr baseColWidth="10" defaultColWidth="8" defaultRowHeight="15.75"/>
  <cols>
    <col min="1" max="1" width="14" style="77" bestFit="1" customWidth="1"/>
    <col min="2" max="2" width="8" style="77"/>
    <col min="3" max="3" width="10.875" style="77" customWidth="1"/>
    <col min="4" max="5" width="8" style="77"/>
    <col min="6" max="6" width="8" style="80"/>
    <col min="7" max="16384" width="8" style="77"/>
  </cols>
  <sheetData>
    <row r="1" spans="1:6" ht="30">
      <c r="A1" s="75" t="s">
        <v>0</v>
      </c>
      <c r="B1" s="75" t="s">
        <v>2</v>
      </c>
      <c r="C1" s="75" t="s">
        <v>957</v>
      </c>
      <c r="D1" s="75" t="s">
        <v>958</v>
      </c>
      <c r="E1" s="75" t="s">
        <v>1</v>
      </c>
      <c r="F1" s="76" t="s">
        <v>959</v>
      </c>
    </row>
    <row r="2" spans="1:6" ht="60">
      <c r="A2" s="104" t="s">
        <v>960</v>
      </c>
      <c r="B2" s="78" t="s">
        <v>961</v>
      </c>
      <c r="C2" s="78" t="s">
        <v>962</v>
      </c>
      <c r="D2" s="79">
        <v>50000</v>
      </c>
    </row>
    <row r="3" spans="1:6" ht="45">
      <c r="A3" s="78" t="s">
        <v>30</v>
      </c>
      <c r="B3" s="78" t="s">
        <v>963</v>
      </c>
      <c r="C3" s="78" t="s">
        <v>964</v>
      </c>
      <c r="D3" s="78"/>
    </row>
    <row r="4" spans="1:6" ht="60">
      <c r="A4" s="78" t="s">
        <v>965</v>
      </c>
      <c r="B4" s="78" t="s">
        <v>966</v>
      </c>
      <c r="C4" s="78" t="s">
        <v>967</v>
      </c>
      <c r="D4" s="79">
        <v>7000</v>
      </c>
    </row>
    <row r="5" spans="1:6" ht="30">
      <c r="A5" s="78" t="s">
        <v>965</v>
      </c>
      <c r="B5" s="78" t="s">
        <v>968</v>
      </c>
      <c r="C5" s="78" t="s">
        <v>969</v>
      </c>
      <c r="D5" s="78"/>
    </row>
    <row r="6" spans="1:6">
      <c r="A6" s="78" t="s">
        <v>965</v>
      </c>
      <c r="B6" s="78" t="s">
        <v>970</v>
      </c>
      <c r="C6" s="78" t="s">
        <v>971</v>
      </c>
      <c r="D6" s="78"/>
    </row>
    <row r="7" spans="1:6" ht="45">
      <c r="A7" s="78" t="s">
        <v>972</v>
      </c>
      <c r="B7" s="78" t="s">
        <v>973</v>
      </c>
      <c r="C7" s="78" t="s">
        <v>974</v>
      </c>
      <c r="D7" s="79">
        <v>1300</v>
      </c>
    </row>
    <row r="8" spans="1:6" ht="30">
      <c r="A8" s="78" t="s">
        <v>972</v>
      </c>
      <c r="B8" s="78" t="s">
        <v>975</v>
      </c>
      <c r="C8" s="78" t="s">
        <v>976</v>
      </c>
      <c r="D8" s="78"/>
    </row>
    <row r="9" spans="1:6" ht="30">
      <c r="A9" s="78" t="s">
        <v>972</v>
      </c>
      <c r="B9" s="78" t="s">
        <v>977</v>
      </c>
      <c r="C9" s="78" t="s">
        <v>978</v>
      </c>
      <c r="D9" s="78"/>
    </row>
    <row r="10" spans="1:6">
      <c r="A10" s="78" t="s">
        <v>972</v>
      </c>
      <c r="B10" s="78" t="s">
        <v>979</v>
      </c>
      <c r="C10" s="78" t="s">
        <v>980</v>
      </c>
      <c r="D10" s="78"/>
    </row>
    <row r="11" spans="1:6" ht="30">
      <c r="A11" s="78" t="s">
        <v>972</v>
      </c>
      <c r="B11" s="78" t="s">
        <v>981</v>
      </c>
      <c r="C11" s="78" t="s">
        <v>982</v>
      </c>
      <c r="D11" s="78"/>
    </row>
    <row r="12" spans="1:6" ht="30">
      <c r="A12" s="78" t="s">
        <v>972</v>
      </c>
      <c r="B12" s="78" t="s">
        <v>981</v>
      </c>
      <c r="C12" s="78" t="s">
        <v>983</v>
      </c>
      <c r="D12" s="78"/>
    </row>
    <row r="13" spans="1:6" ht="30">
      <c r="A13" s="78" t="s">
        <v>972</v>
      </c>
      <c r="B13" s="78" t="s">
        <v>984</v>
      </c>
      <c r="C13" s="78" t="s">
        <v>985</v>
      </c>
      <c r="D13" s="78"/>
    </row>
    <row r="14" spans="1:6" ht="30">
      <c r="A14" s="78" t="s">
        <v>972</v>
      </c>
      <c r="B14" s="78" t="s">
        <v>986</v>
      </c>
      <c r="C14" s="78" t="s">
        <v>987</v>
      </c>
      <c r="D14" s="78"/>
    </row>
    <row r="15" spans="1:6">
      <c r="A15" s="78" t="s">
        <v>972</v>
      </c>
      <c r="B15" s="78" t="s">
        <v>988</v>
      </c>
      <c r="C15" s="78" t="s">
        <v>989</v>
      </c>
      <c r="D15" s="79">
        <v>12000</v>
      </c>
    </row>
    <row r="16" spans="1:6" ht="45">
      <c r="A16" s="78" t="s">
        <v>972</v>
      </c>
      <c r="B16" s="78" t="s">
        <v>990</v>
      </c>
      <c r="C16" s="78" t="s">
        <v>991</v>
      </c>
      <c r="D16" s="78"/>
    </row>
    <row r="17" spans="1:4" ht="45">
      <c r="A17" s="78" t="s">
        <v>972</v>
      </c>
      <c r="B17" s="78" t="s">
        <v>992</v>
      </c>
      <c r="C17" s="78" t="s">
        <v>993</v>
      </c>
      <c r="D17" s="78"/>
    </row>
    <row r="18" spans="1:4" ht="30">
      <c r="A18" s="78" t="s">
        <v>972</v>
      </c>
      <c r="B18" s="78" t="s">
        <v>994</v>
      </c>
      <c r="C18" s="78" t="s">
        <v>995</v>
      </c>
      <c r="D18" s="79">
        <v>132000</v>
      </c>
    </row>
    <row r="19" spans="1:4" ht="45">
      <c r="A19" s="78" t="s">
        <v>972</v>
      </c>
      <c r="B19" s="78" t="s">
        <v>996</v>
      </c>
      <c r="C19" s="78" t="s">
        <v>997</v>
      </c>
      <c r="D19" s="78">
        <v>450</v>
      </c>
    </row>
    <row r="20" spans="1:4" ht="30">
      <c r="A20" s="78" t="s">
        <v>972</v>
      </c>
      <c r="B20" s="78" t="s">
        <v>998</v>
      </c>
      <c r="C20" s="78" t="s">
        <v>999</v>
      </c>
      <c r="D20" s="79">
        <v>1000</v>
      </c>
    </row>
    <row r="21" spans="1:4" ht="45">
      <c r="A21" s="78" t="s">
        <v>972</v>
      </c>
      <c r="B21" s="78" t="s">
        <v>1000</v>
      </c>
      <c r="C21" s="78" t="s">
        <v>1001</v>
      </c>
      <c r="D21" s="78"/>
    </row>
    <row r="22" spans="1:4" ht="30">
      <c r="A22" s="78" t="s">
        <v>972</v>
      </c>
      <c r="B22" s="78" t="s">
        <v>1002</v>
      </c>
      <c r="C22" s="78" t="s">
        <v>1003</v>
      </c>
      <c r="D22" s="79">
        <v>1500</v>
      </c>
    </row>
    <row r="23" spans="1:4">
      <c r="A23" s="78" t="s">
        <v>972</v>
      </c>
      <c r="B23" s="78" t="s">
        <v>1004</v>
      </c>
      <c r="C23" s="78" t="s">
        <v>1005</v>
      </c>
      <c r="D23" s="78"/>
    </row>
    <row r="24" spans="1:4" ht="45">
      <c r="A24" s="78" t="s">
        <v>972</v>
      </c>
      <c r="B24" s="78" t="s">
        <v>1006</v>
      </c>
      <c r="C24" s="78" t="s">
        <v>1007</v>
      </c>
      <c r="D24" s="79">
        <v>4500</v>
      </c>
    </row>
    <row r="25" spans="1:4">
      <c r="A25" s="78" t="s">
        <v>972</v>
      </c>
      <c r="B25" s="78" t="s">
        <v>1008</v>
      </c>
      <c r="C25" s="78" t="s">
        <v>1009</v>
      </c>
      <c r="D25" s="79">
        <v>30000</v>
      </c>
    </row>
    <row r="26" spans="1:4" ht="30">
      <c r="A26" s="78" t="s">
        <v>972</v>
      </c>
      <c r="B26" s="78" t="s">
        <v>1010</v>
      </c>
      <c r="C26" s="78" t="s">
        <v>1011</v>
      </c>
      <c r="D26" s="79">
        <v>35000</v>
      </c>
    </row>
    <row r="27" spans="1:4">
      <c r="A27" s="78" t="s">
        <v>972</v>
      </c>
      <c r="B27" s="78" t="s">
        <v>1012</v>
      </c>
      <c r="C27" s="78" t="s">
        <v>1013</v>
      </c>
      <c r="D27" s="79">
        <v>1500</v>
      </c>
    </row>
    <row r="28" spans="1:4" ht="45">
      <c r="A28" s="78" t="s">
        <v>972</v>
      </c>
      <c r="B28" s="78" t="s">
        <v>1014</v>
      </c>
      <c r="C28" s="78" t="s">
        <v>1015</v>
      </c>
      <c r="D28" s="78">
        <v>950</v>
      </c>
    </row>
    <row r="29" spans="1:4" ht="30">
      <c r="A29" s="78" t="s">
        <v>972</v>
      </c>
      <c r="B29" s="78" t="s">
        <v>1016</v>
      </c>
      <c r="C29" s="78" t="s">
        <v>1017</v>
      </c>
      <c r="D29" s="79">
        <v>1000</v>
      </c>
    </row>
    <row r="30" spans="1:4" ht="45">
      <c r="A30" s="78" t="s">
        <v>972</v>
      </c>
      <c r="B30" s="78" t="s">
        <v>1018</v>
      </c>
      <c r="C30" s="78" t="s">
        <v>1019</v>
      </c>
      <c r="D30" s="78"/>
    </row>
    <row r="31" spans="1:4" ht="30">
      <c r="A31" s="78" t="s">
        <v>972</v>
      </c>
      <c r="B31" s="78" t="s">
        <v>1020</v>
      </c>
      <c r="C31" s="78" t="s">
        <v>1021</v>
      </c>
      <c r="D31" s="78"/>
    </row>
    <row r="32" spans="1:4" ht="30">
      <c r="A32" s="78" t="s">
        <v>972</v>
      </c>
      <c r="B32" s="78" t="s">
        <v>1022</v>
      </c>
      <c r="C32" s="78" t="s">
        <v>1023</v>
      </c>
      <c r="D32" s="78">
        <v>360</v>
      </c>
    </row>
    <row r="33" spans="1:4" ht="30">
      <c r="A33" s="78" t="s">
        <v>972</v>
      </c>
      <c r="B33" s="78" t="s">
        <v>1022</v>
      </c>
      <c r="C33" s="78" t="s">
        <v>1024</v>
      </c>
      <c r="D33" s="78"/>
    </row>
    <row r="34" spans="1:4" ht="30">
      <c r="A34" s="78" t="s">
        <v>972</v>
      </c>
      <c r="B34" s="78" t="s">
        <v>1025</v>
      </c>
      <c r="C34" s="78" t="s">
        <v>978</v>
      </c>
      <c r="D34" s="79">
        <v>30000</v>
      </c>
    </row>
    <row r="35" spans="1:4" ht="30">
      <c r="A35" s="78" t="s">
        <v>972</v>
      </c>
      <c r="B35" s="78" t="s">
        <v>1026</v>
      </c>
      <c r="C35" s="78" t="s">
        <v>1027</v>
      </c>
      <c r="D35" s="79">
        <v>1200</v>
      </c>
    </row>
    <row r="36" spans="1:4" ht="45">
      <c r="A36" s="78" t="s">
        <v>972</v>
      </c>
      <c r="B36" s="78" t="s">
        <v>1028</v>
      </c>
      <c r="C36" s="78" t="s">
        <v>1029</v>
      </c>
      <c r="D36" s="79">
        <v>50000</v>
      </c>
    </row>
    <row r="37" spans="1:4" ht="45">
      <c r="A37" s="78" t="s">
        <v>972</v>
      </c>
      <c r="B37" s="78" t="s">
        <v>1030</v>
      </c>
      <c r="C37" s="78" t="s">
        <v>1031</v>
      </c>
      <c r="D37" s="78"/>
    </row>
    <row r="38" spans="1:4" ht="30">
      <c r="A38" s="78" t="s">
        <v>1032</v>
      </c>
      <c r="B38" s="78" t="s">
        <v>1033</v>
      </c>
      <c r="C38" s="78" t="s">
        <v>1034</v>
      </c>
      <c r="D38" s="78"/>
    </row>
    <row r="39" spans="1:4" ht="30">
      <c r="A39" s="78" t="s">
        <v>1035</v>
      </c>
      <c r="B39" s="78" t="s">
        <v>1036</v>
      </c>
      <c r="C39" s="78" t="s">
        <v>1037</v>
      </c>
      <c r="D39" s="78"/>
    </row>
    <row r="40" spans="1:4" ht="30">
      <c r="A40" s="78" t="s">
        <v>1035</v>
      </c>
      <c r="B40" s="78" t="s">
        <v>1038</v>
      </c>
      <c r="C40" s="78" t="s">
        <v>1039</v>
      </c>
      <c r="D40" s="78">
        <v>350</v>
      </c>
    </row>
    <row r="41" spans="1:4" ht="30">
      <c r="A41" s="78" t="s">
        <v>1035</v>
      </c>
      <c r="B41" s="78" t="s">
        <v>1040</v>
      </c>
      <c r="C41" s="78" t="s">
        <v>1041</v>
      </c>
      <c r="D41" s="78">
        <v>760</v>
      </c>
    </row>
    <row r="42" spans="1:4" ht="30">
      <c r="A42" s="78" t="s">
        <v>1035</v>
      </c>
      <c r="B42" s="78" t="s">
        <v>1042</v>
      </c>
      <c r="C42" s="78" t="s">
        <v>1043</v>
      </c>
      <c r="D42" s="79">
        <v>2400</v>
      </c>
    </row>
    <row r="43" spans="1:4" ht="30">
      <c r="A43" s="78" t="s">
        <v>1035</v>
      </c>
      <c r="B43" s="78" t="s">
        <v>1044</v>
      </c>
      <c r="C43" s="78" t="s">
        <v>1045</v>
      </c>
      <c r="D43" s="79">
        <v>8000</v>
      </c>
    </row>
    <row r="44" spans="1:4" ht="30">
      <c r="A44" s="78" t="s">
        <v>1035</v>
      </c>
      <c r="B44" s="78" t="s">
        <v>1044</v>
      </c>
      <c r="C44" s="78" t="s">
        <v>1046</v>
      </c>
      <c r="D44" s="78"/>
    </row>
    <row r="45" spans="1:4" ht="30">
      <c r="A45" s="78" t="s">
        <v>1035</v>
      </c>
      <c r="B45" s="78" t="s">
        <v>1047</v>
      </c>
      <c r="C45" s="78" t="s">
        <v>1048</v>
      </c>
      <c r="D45" s="78"/>
    </row>
    <row r="46" spans="1:4" ht="30">
      <c r="A46" s="78" t="s">
        <v>1035</v>
      </c>
      <c r="B46" s="78" t="s">
        <v>1049</v>
      </c>
      <c r="C46" s="78" t="s">
        <v>1050</v>
      </c>
      <c r="D46" s="78"/>
    </row>
    <row r="47" spans="1:4" ht="30">
      <c r="A47" s="78" t="s">
        <v>1035</v>
      </c>
      <c r="B47" s="78" t="s">
        <v>1051</v>
      </c>
      <c r="C47" s="78" t="s">
        <v>1052</v>
      </c>
      <c r="D47" s="78"/>
    </row>
    <row r="48" spans="1:4" ht="30">
      <c r="A48" s="78" t="s">
        <v>1035</v>
      </c>
      <c r="B48" s="78" t="s">
        <v>1053</v>
      </c>
      <c r="C48" s="78" t="s">
        <v>1054</v>
      </c>
      <c r="D48" s="78"/>
    </row>
    <row r="49" spans="1:4" ht="45">
      <c r="A49" s="78" t="s">
        <v>1035</v>
      </c>
      <c r="B49" s="78" t="s">
        <v>1055</v>
      </c>
      <c r="C49" s="78" t="s">
        <v>1056</v>
      </c>
      <c r="D49" s="78"/>
    </row>
    <row r="50" spans="1:4" ht="30">
      <c r="A50" s="78" t="s">
        <v>1035</v>
      </c>
      <c r="B50" s="78" t="s">
        <v>1057</v>
      </c>
      <c r="C50" s="78" t="s">
        <v>1058</v>
      </c>
      <c r="D50" s="78"/>
    </row>
    <row r="51" spans="1:4" ht="30">
      <c r="A51" s="78" t="s">
        <v>1035</v>
      </c>
      <c r="B51" s="78" t="s">
        <v>1059</v>
      </c>
      <c r="C51" s="78" t="s">
        <v>1060</v>
      </c>
      <c r="D51" s="79">
        <v>1200</v>
      </c>
    </row>
    <row r="52" spans="1:4" ht="30">
      <c r="A52" s="78" t="s">
        <v>1035</v>
      </c>
      <c r="B52" s="78" t="s">
        <v>1061</v>
      </c>
      <c r="C52" s="78" t="s">
        <v>1062</v>
      </c>
      <c r="D52" s="79">
        <v>10000</v>
      </c>
    </row>
    <row r="53" spans="1:4" ht="30">
      <c r="A53" s="78" t="s">
        <v>1035</v>
      </c>
      <c r="B53" s="78" t="s">
        <v>1063</v>
      </c>
      <c r="C53" s="78" t="s">
        <v>1064</v>
      </c>
      <c r="D53" s="78"/>
    </row>
    <row r="54" spans="1:4" ht="30">
      <c r="A54" s="78" t="s">
        <v>1035</v>
      </c>
      <c r="B54" s="78" t="s">
        <v>1065</v>
      </c>
      <c r="C54" s="78" t="s">
        <v>1066</v>
      </c>
      <c r="D54" s="78">
        <v>750</v>
      </c>
    </row>
    <row r="55" spans="1:4" ht="30">
      <c r="A55" s="78" t="s">
        <v>1035</v>
      </c>
      <c r="B55" s="78" t="s">
        <v>1067</v>
      </c>
      <c r="C55" s="78" t="s">
        <v>1068</v>
      </c>
      <c r="D55" s="79">
        <v>7000</v>
      </c>
    </row>
    <row r="56" spans="1:4" ht="30">
      <c r="A56" s="78" t="s">
        <v>1035</v>
      </c>
      <c r="B56" s="78" t="s">
        <v>1067</v>
      </c>
      <c r="C56" s="78" t="s">
        <v>1069</v>
      </c>
      <c r="D56" s="79">
        <v>20000</v>
      </c>
    </row>
    <row r="57" spans="1:4">
      <c r="A57" s="78" t="s">
        <v>1035</v>
      </c>
      <c r="B57" s="78" t="s">
        <v>1070</v>
      </c>
      <c r="C57" s="78" t="s">
        <v>1071</v>
      </c>
      <c r="D57" s="78">
        <v>240</v>
      </c>
    </row>
    <row r="58" spans="1:4" ht="30">
      <c r="A58" s="78" t="s">
        <v>1035</v>
      </c>
      <c r="B58" s="78" t="s">
        <v>1072</v>
      </c>
      <c r="C58" s="78" t="s">
        <v>1073</v>
      </c>
      <c r="D58" s="78"/>
    </row>
    <row r="59" spans="1:4" ht="30">
      <c r="A59" s="78" t="s">
        <v>1035</v>
      </c>
      <c r="B59" s="78" t="s">
        <v>1074</v>
      </c>
      <c r="C59" s="78" t="s">
        <v>1075</v>
      </c>
      <c r="D59" s="79">
        <v>15000</v>
      </c>
    </row>
    <row r="60" spans="1:4" ht="60">
      <c r="A60" s="78" t="s">
        <v>1035</v>
      </c>
      <c r="B60" s="78" t="s">
        <v>1074</v>
      </c>
      <c r="C60" s="78" t="s">
        <v>1076</v>
      </c>
      <c r="D60" s="78"/>
    </row>
    <row r="61" spans="1:4" ht="30">
      <c r="A61" s="78" t="s">
        <v>1035</v>
      </c>
      <c r="B61" s="78" t="s">
        <v>1077</v>
      </c>
      <c r="C61" s="78" t="s">
        <v>1078</v>
      </c>
      <c r="D61" s="78"/>
    </row>
    <row r="62" spans="1:4" ht="30">
      <c r="A62" s="78" t="s">
        <v>1035</v>
      </c>
      <c r="B62" s="78" t="s">
        <v>1079</v>
      </c>
      <c r="C62" s="78" t="s">
        <v>1080</v>
      </c>
      <c r="D62" s="79">
        <v>30000</v>
      </c>
    </row>
    <row r="63" spans="1:4" ht="30">
      <c r="A63" s="78" t="s">
        <v>1035</v>
      </c>
      <c r="B63" s="78" t="s">
        <v>1081</v>
      </c>
      <c r="C63" s="78" t="s">
        <v>1082</v>
      </c>
      <c r="D63" s="79">
        <v>4900</v>
      </c>
    </row>
    <row r="64" spans="1:4" ht="30">
      <c r="A64" s="78" t="s">
        <v>1035</v>
      </c>
      <c r="B64" s="78" t="s">
        <v>1083</v>
      </c>
      <c r="C64" s="78" t="s">
        <v>1084</v>
      </c>
      <c r="D64" s="78"/>
    </row>
    <row r="65" spans="1:6" ht="30">
      <c r="A65" s="78" t="s">
        <v>1035</v>
      </c>
      <c r="B65" s="78" t="s">
        <v>1085</v>
      </c>
      <c r="C65" s="78" t="s">
        <v>1086</v>
      </c>
      <c r="D65" s="78"/>
    </row>
    <row r="66" spans="1:6" ht="45">
      <c r="A66" s="78" t="s">
        <v>1035</v>
      </c>
      <c r="B66" s="78" t="s">
        <v>1085</v>
      </c>
      <c r="C66" s="78" t="s">
        <v>1087</v>
      </c>
      <c r="D66" s="79">
        <v>1500</v>
      </c>
    </row>
    <row r="67" spans="1:6" ht="30">
      <c r="A67" s="78" t="s">
        <v>1035</v>
      </c>
      <c r="B67" s="78" t="s">
        <v>1088</v>
      </c>
      <c r="C67" s="78" t="s">
        <v>1089</v>
      </c>
      <c r="D67" s="78"/>
    </row>
    <row r="68" spans="1:6" ht="60">
      <c r="A68" s="78" t="s">
        <v>1035</v>
      </c>
      <c r="B68" s="78" t="s">
        <v>1090</v>
      </c>
      <c r="C68" s="78" t="s">
        <v>1091</v>
      </c>
      <c r="D68" s="78">
        <v>600</v>
      </c>
    </row>
    <row r="69" spans="1:6" ht="30">
      <c r="A69" s="78" t="s">
        <v>1035</v>
      </c>
      <c r="B69" s="78" t="s">
        <v>1092</v>
      </c>
      <c r="C69" s="78" t="s">
        <v>1093</v>
      </c>
      <c r="D69" s="78"/>
    </row>
    <row r="70" spans="1:6" ht="30">
      <c r="A70" s="78" t="s">
        <v>1035</v>
      </c>
      <c r="B70" s="78" t="s">
        <v>1094</v>
      </c>
      <c r="C70" s="78" t="s">
        <v>1095</v>
      </c>
      <c r="D70" s="78"/>
    </row>
    <row r="71" spans="1:6" ht="45">
      <c r="A71" s="78" t="s">
        <v>1035</v>
      </c>
      <c r="B71" s="78" t="s">
        <v>1096</v>
      </c>
      <c r="C71" s="78" t="s">
        <v>1097</v>
      </c>
      <c r="D71" s="78"/>
    </row>
    <row r="72" spans="1:6" ht="30">
      <c r="A72" s="78" t="s">
        <v>1035</v>
      </c>
      <c r="B72" s="78" t="s">
        <v>1098</v>
      </c>
      <c r="C72" s="78" t="s">
        <v>1099</v>
      </c>
      <c r="D72" s="79">
        <v>8000</v>
      </c>
    </row>
    <row r="73" spans="1:6" ht="60">
      <c r="A73" s="78" t="s">
        <v>18</v>
      </c>
      <c r="B73" s="78" t="s">
        <v>1106</v>
      </c>
      <c r="C73" s="78" t="s">
        <v>1107</v>
      </c>
      <c r="D73" s="78">
        <v>24000</v>
      </c>
      <c r="E73" s="78" t="s">
        <v>204</v>
      </c>
      <c r="F73" s="80">
        <f t="shared" ref="F73:F79" si="0">D73/555000</f>
        <v>4.3243243243243246E-2</v>
      </c>
    </row>
    <row r="74" spans="1:6" ht="30">
      <c r="A74" s="78" t="s">
        <v>18</v>
      </c>
      <c r="B74" s="78" t="s">
        <v>1115</v>
      </c>
      <c r="C74" s="78" t="s">
        <v>1116</v>
      </c>
      <c r="D74" s="79">
        <v>16000</v>
      </c>
      <c r="E74" s="78" t="s">
        <v>204</v>
      </c>
      <c r="F74" s="80">
        <f t="shared" si="0"/>
        <v>2.8828828828828829E-2</v>
      </c>
    </row>
    <row r="75" spans="1:6" ht="45">
      <c r="A75" s="78" t="s">
        <v>18</v>
      </c>
      <c r="B75" s="78" t="s">
        <v>1121</v>
      </c>
      <c r="C75" s="78" t="s">
        <v>1122</v>
      </c>
      <c r="D75" s="79">
        <v>300000</v>
      </c>
      <c r="E75" s="78" t="s">
        <v>202</v>
      </c>
      <c r="F75" s="80">
        <f t="shared" si="0"/>
        <v>0.54054054054054057</v>
      </c>
    </row>
    <row r="76" spans="1:6" ht="60">
      <c r="A76" s="78" t="s">
        <v>18</v>
      </c>
      <c r="B76" s="78" t="s">
        <v>1121</v>
      </c>
      <c r="C76" s="78" t="s">
        <v>1123</v>
      </c>
      <c r="D76" s="79">
        <v>80000</v>
      </c>
      <c r="E76" s="78" t="s">
        <v>202</v>
      </c>
      <c r="F76" s="80">
        <f t="shared" si="0"/>
        <v>0.14414414414414414</v>
      </c>
    </row>
    <row r="77" spans="1:6" ht="30">
      <c r="A77" s="78" t="s">
        <v>18</v>
      </c>
      <c r="B77" s="78" t="s">
        <v>1112</v>
      </c>
      <c r="C77" s="78" t="s">
        <v>1113</v>
      </c>
      <c r="D77" s="79">
        <v>40000</v>
      </c>
      <c r="E77" s="78" t="s">
        <v>201</v>
      </c>
      <c r="F77" s="80">
        <f t="shared" si="0"/>
        <v>7.2072072072072071E-2</v>
      </c>
    </row>
    <row r="78" spans="1:6" ht="30">
      <c r="A78" s="78" t="s">
        <v>18</v>
      </c>
      <c r="B78" s="78" t="s">
        <v>1127</v>
      </c>
      <c r="C78" s="78" t="s">
        <v>1128</v>
      </c>
      <c r="D78" s="79">
        <v>15000</v>
      </c>
      <c r="E78" s="78" t="s">
        <v>201</v>
      </c>
      <c r="F78" s="80">
        <f t="shared" si="0"/>
        <v>2.7027027027027029E-2</v>
      </c>
    </row>
    <row r="79" spans="1:6" ht="75">
      <c r="A79" s="78" t="s">
        <v>18</v>
      </c>
      <c r="B79" s="78" t="s">
        <v>1125</v>
      </c>
      <c r="C79" s="78" t="s">
        <v>1126</v>
      </c>
      <c r="D79" s="79">
        <v>80000</v>
      </c>
      <c r="E79" s="78" t="s">
        <v>198</v>
      </c>
      <c r="F79" s="80">
        <f t="shared" si="0"/>
        <v>0.14414414414414414</v>
      </c>
    </row>
    <row r="80" spans="1:6" ht="30">
      <c r="A80" s="78" t="s">
        <v>18</v>
      </c>
      <c r="B80" s="78" t="s">
        <v>1100</v>
      </c>
      <c r="C80" s="78" t="s">
        <v>1101</v>
      </c>
      <c r="D80" s="78"/>
    </row>
    <row r="81" spans="1:4" ht="30">
      <c r="A81" s="78" t="s">
        <v>18</v>
      </c>
      <c r="B81" s="78" t="s">
        <v>1102</v>
      </c>
      <c r="C81" s="78" t="s">
        <v>1103</v>
      </c>
      <c r="D81" s="78"/>
    </row>
    <row r="82" spans="1:4" ht="45">
      <c r="A82" s="78" t="s">
        <v>18</v>
      </c>
      <c r="B82" s="78" t="s">
        <v>1104</v>
      </c>
      <c r="C82" s="78" t="s">
        <v>1105</v>
      </c>
      <c r="D82" s="78"/>
    </row>
    <row r="83" spans="1:4" ht="45">
      <c r="A83" s="78" t="s">
        <v>18</v>
      </c>
      <c r="B83" s="78" t="s">
        <v>1108</v>
      </c>
      <c r="C83" s="78" t="s">
        <v>1109</v>
      </c>
      <c r="D83" s="78"/>
    </row>
    <row r="84" spans="1:4" ht="45">
      <c r="A84" s="78" t="s">
        <v>18</v>
      </c>
      <c r="B84" s="78" t="s">
        <v>1110</v>
      </c>
      <c r="C84" s="78" t="s">
        <v>1111</v>
      </c>
      <c r="D84" s="78"/>
    </row>
    <row r="85" spans="1:4">
      <c r="A85" s="78" t="s">
        <v>18</v>
      </c>
      <c r="B85" s="78" t="s">
        <v>829</v>
      </c>
      <c r="C85" s="78" t="s">
        <v>1114</v>
      </c>
      <c r="D85" s="78"/>
    </row>
    <row r="86" spans="1:4" ht="60">
      <c r="A86" s="78" t="s">
        <v>18</v>
      </c>
      <c r="B86" s="78" t="s">
        <v>1117</v>
      </c>
      <c r="C86" s="78" t="s">
        <v>1118</v>
      </c>
      <c r="D86" s="78"/>
    </row>
    <row r="87" spans="1:4" ht="60">
      <c r="A87" s="78" t="s">
        <v>18</v>
      </c>
      <c r="B87" s="78" t="s">
        <v>1119</v>
      </c>
      <c r="C87" s="78" t="s">
        <v>1120</v>
      </c>
      <c r="D87" s="78"/>
    </row>
    <row r="88" spans="1:4" ht="75">
      <c r="A88" s="78" t="s">
        <v>18</v>
      </c>
      <c r="B88" s="78" t="s">
        <v>1121</v>
      </c>
      <c r="C88" s="78" t="s">
        <v>1124</v>
      </c>
      <c r="D88" s="78"/>
    </row>
    <row r="89" spans="1:4" ht="45">
      <c r="A89" s="78" t="s">
        <v>18</v>
      </c>
      <c r="B89" s="78" t="s">
        <v>1129</v>
      </c>
      <c r="C89" s="78" t="s">
        <v>1130</v>
      </c>
      <c r="D89" s="78"/>
    </row>
    <row r="90" spans="1:4" ht="30">
      <c r="A90" s="78" t="s">
        <v>1131</v>
      </c>
      <c r="B90" s="78" t="s">
        <v>1132</v>
      </c>
      <c r="C90" s="78" t="s">
        <v>1133</v>
      </c>
      <c r="D90" s="78"/>
    </row>
    <row r="91" spans="1:4" ht="45">
      <c r="A91" s="78" t="s">
        <v>1131</v>
      </c>
      <c r="B91" s="78" t="s">
        <v>1134</v>
      </c>
      <c r="C91" s="78" t="s">
        <v>1135</v>
      </c>
      <c r="D91" s="79">
        <v>22000</v>
      </c>
    </row>
    <row r="92" spans="1:4" ht="45">
      <c r="A92" s="78" t="s">
        <v>1136</v>
      </c>
      <c r="B92" s="78" t="s">
        <v>1137</v>
      </c>
      <c r="C92" s="78" t="s">
        <v>1138</v>
      </c>
      <c r="D92" s="78">
        <v>200</v>
      </c>
    </row>
    <row r="93" spans="1:4" ht="30">
      <c r="A93" s="78" t="s">
        <v>1136</v>
      </c>
      <c r="B93" s="78" t="s">
        <v>1139</v>
      </c>
      <c r="C93" s="78" t="s">
        <v>1140</v>
      </c>
      <c r="D93" s="79">
        <v>200000</v>
      </c>
    </row>
    <row r="94" spans="1:4" ht="60">
      <c r="A94" s="78" t="s">
        <v>1136</v>
      </c>
      <c r="B94" s="78" t="s">
        <v>1141</v>
      </c>
      <c r="C94" s="78" t="s">
        <v>1142</v>
      </c>
      <c r="D94" s="79">
        <v>12000</v>
      </c>
    </row>
    <row r="95" spans="1:4">
      <c r="A95" s="78" t="s">
        <v>1136</v>
      </c>
      <c r="B95" s="78"/>
      <c r="C95" s="78" t="s">
        <v>1143</v>
      </c>
      <c r="D95" s="79">
        <v>30000</v>
      </c>
    </row>
    <row r="96" spans="1:4" ht="60">
      <c r="A96" s="78" t="s">
        <v>1144</v>
      </c>
      <c r="B96" s="78" t="s">
        <v>1145</v>
      </c>
      <c r="C96" s="78" t="s">
        <v>1146</v>
      </c>
      <c r="D96" s="78"/>
    </row>
    <row r="97" spans="1:4" ht="30">
      <c r="A97" s="78" t="s">
        <v>1144</v>
      </c>
      <c r="B97" s="78" t="s">
        <v>1147</v>
      </c>
      <c r="C97" s="78" t="s">
        <v>1148</v>
      </c>
      <c r="D97" s="78">
        <v>200</v>
      </c>
    </row>
    <row r="98" spans="1:4" ht="45">
      <c r="A98" s="78" t="s">
        <v>1144</v>
      </c>
      <c r="B98" s="78" t="s">
        <v>1147</v>
      </c>
      <c r="C98" s="78" t="s">
        <v>1149</v>
      </c>
      <c r="D98" s="78">
        <v>300</v>
      </c>
    </row>
    <row r="99" spans="1:4" ht="45">
      <c r="A99" s="78" t="s">
        <v>1144</v>
      </c>
      <c r="B99" s="78" t="s">
        <v>1147</v>
      </c>
      <c r="C99" s="78" t="s">
        <v>1150</v>
      </c>
      <c r="D99" s="78">
        <v>300</v>
      </c>
    </row>
    <row r="100" spans="1:4" ht="30">
      <c r="A100" s="78" t="s">
        <v>1144</v>
      </c>
      <c r="B100" s="78" t="s">
        <v>1147</v>
      </c>
      <c r="C100" s="78" t="s">
        <v>1151</v>
      </c>
      <c r="D100" s="78">
        <v>300</v>
      </c>
    </row>
    <row r="101" spans="1:4" ht="45">
      <c r="A101" s="78" t="s">
        <v>1144</v>
      </c>
      <c r="B101" s="78" t="s">
        <v>1147</v>
      </c>
      <c r="C101" s="78" t="s">
        <v>1152</v>
      </c>
      <c r="D101" s="78">
        <v>300</v>
      </c>
    </row>
    <row r="102" spans="1:4" ht="45">
      <c r="A102" s="78" t="s">
        <v>1144</v>
      </c>
      <c r="B102" s="78" t="s">
        <v>1147</v>
      </c>
      <c r="C102" s="78" t="s">
        <v>1153</v>
      </c>
      <c r="D102" s="78">
        <v>250</v>
      </c>
    </row>
    <row r="103" spans="1:4" ht="45">
      <c r="A103" s="78" t="s">
        <v>1144</v>
      </c>
      <c r="B103" s="78" t="s">
        <v>1147</v>
      </c>
      <c r="C103" s="78" t="s">
        <v>1154</v>
      </c>
      <c r="D103" s="78">
        <v>250</v>
      </c>
    </row>
    <row r="104" spans="1:4" ht="45">
      <c r="A104" s="78" t="s">
        <v>1144</v>
      </c>
      <c r="B104" s="78" t="s">
        <v>1147</v>
      </c>
      <c r="C104" s="78" t="s">
        <v>1155</v>
      </c>
      <c r="D104" s="78">
        <v>200</v>
      </c>
    </row>
    <row r="105" spans="1:4" ht="45">
      <c r="A105" s="78" t="s">
        <v>1144</v>
      </c>
      <c r="B105" s="78" t="s">
        <v>1156</v>
      </c>
      <c r="C105" s="78" t="s">
        <v>1157</v>
      </c>
      <c r="D105" s="78">
        <v>400</v>
      </c>
    </row>
    <row r="106" spans="1:4" ht="45">
      <c r="A106" s="78" t="s">
        <v>1144</v>
      </c>
      <c r="B106" s="78" t="s">
        <v>1158</v>
      </c>
      <c r="C106" s="78" t="s">
        <v>1159</v>
      </c>
      <c r="D106" s="78">
        <v>350</v>
      </c>
    </row>
    <row r="107" spans="1:4" ht="30">
      <c r="A107" s="78" t="s">
        <v>1144</v>
      </c>
      <c r="B107" s="78" t="s">
        <v>1158</v>
      </c>
      <c r="C107" s="78" t="s">
        <v>1160</v>
      </c>
      <c r="D107" s="78">
        <v>400</v>
      </c>
    </row>
    <row r="108" spans="1:4" ht="30">
      <c r="A108" s="78" t="s">
        <v>1144</v>
      </c>
      <c r="B108" s="78" t="s">
        <v>1158</v>
      </c>
      <c r="C108" s="78" t="s">
        <v>1161</v>
      </c>
      <c r="D108" s="78">
        <v>400</v>
      </c>
    </row>
    <row r="109" spans="1:4" ht="45">
      <c r="A109" s="78" t="s">
        <v>1144</v>
      </c>
      <c r="B109" s="78" t="s">
        <v>1158</v>
      </c>
      <c r="C109" s="78" t="s">
        <v>1162</v>
      </c>
      <c r="D109" s="78">
        <v>100</v>
      </c>
    </row>
    <row r="110" spans="1:4" ht="60">
      <c r="A110" s="78" t="s">
        <v>1144</v>
      </c>
      <c r="B110" s="78" t="s">
        <v>1158</v>
      </c>
      <c r="C110" s="78" t="s">
        <v>1163</v>
      </c>
      <c r="D110" s="78"/>
    </row>
    <row r="111" spans="1:4" ht="30">
      <c r="A111" s="78" t="s">
        <v>1144</v>
      </c>
      <c r="B111" s="78" t="s">
        <v>1158</v>
      </c>
      <c r="C111" s="78" t="s">
        <v>1164</v>
      </c>
      <c r="D111" s="78">
        <v>400</v>
      </c>
    </row>
    <row r="112" spans="1:4" ht="30">
      <c r="A112" s="78" t="s">
        <v>1144</v>
      </c>
      <c r="B112" s="78" t="s">
        <v>1158</v>
      </c>
      <c r="C112" s="78" t="s">
        <v>1165</v>
      </c>
      <c r="D112" s="78">
        <v>500</v>
      </c>
    </row>
    <row r="113" spans="1:6" ht="45">
      <c r="A113" s="78" t="s">
        <v>1144</v>
      </c>
      <c r="B113" s="78" t="s">
        <v>1158</v>
      </c>
      <c r="C113" s="78" t="s">
        <v>1166</v>
      </c>
      <c r="D113" s="78">
        <v>350</v>
      </c>
    </row>
    <row r="114" spans="1:6" ht="45">
      <c r="A114" s="78" t="s">
        <v>1144</v>
      </c>
      <c r="B114" s="78" t="s">
        <v>1158</v>
      </c>
      <c r="C114" s="78" t="s">
        <v>1167</v>
      </c>
      <c r="D114" s="78">
        <v>400</v>
      </c>
    </row>
    <row r="115" spans="1:6" ht="45">
      <c r="A115" s="78" t="s">
        <v>1144</v>
      </c>
      <c r="B115" s="78" t="s">
        <v>1158</v>
      </c>
      <c r="C115" s="78" t="s">
        <v>1168</v>
      </c>
      <c r="D115" s="78">
        <v>700</v>
      </c>
    </row>
    <row r="116" spans="1:6" ht="45">
      <c r="A116" s="78" t="s">
        <v>1144</v>
      </c>
      <c r="B116" s="78" t="s">
        <v>1158</v>
      </c>
      <c r="C116" s="78" t="s">
        <v>1169</v>
      </c>
      <c r="D116" s="78">
        <v>250</v>
      </c>
    </row>
    <row r="117" spans="1:6" ht="45">
      <c r="A117" s="78" t="s">
        <v>1144</v>
      </c>
      <c r="B117" s="78" t="s">
        <v>1158</v>
      </c>
      <c r="C117" s="78" t="s">
        <v>1170</v>
      </c>
      <c r="D117" s="78">
        <v>400</v>
      </c>
    </row>
    <row r="118" spans="1:6" ht="45">
      <c r="A118" s="78" t="s">
        <v>1144</v>
      </c>
      <c r="B118" s="78" t="s">
        <v>1158</v>
      </c>
      <c r="C118" s="78" t="s">
        <v>1171</v>
      </c>
      <c r="D118" s="78">
        <v>1000</v>
      </c>
    </row>
    <row r="119" spans="1:6" ht="30">
      <c r="A119" s="78" t="s">
        <v>1144</v>
      </c>
      <c r="B119" s="78" t="s">
        <v>1158</v>
      </c>
      <c r="C119" s="78" t="s">
        <v>1172</v>
      </c>
      <c r="D119" s="78">
        <v>200</v>
      </c>
    </row>
    <row r="120" spans="1:6" ht="30">
      <c r="A120" s="78" t="s">
        <v>1144</v>
      </c>
      <c r="B120" s="78" t="s">
        <v>1158</v>
      </c>
      <c r="C120" s="78" t="s">
        <v>1173</v>
      </c>
      <c r="D120" s="79">
        <v>1000</v>
      </c>
    </row>
    <row r="121" spans="1:6" ht="45">
      <c r="A121" s="78" t="s">
        <v>1144</v>
      </c>
      <c r="B121" s="78" t="s">
        <v>1158</v>
      </c>
      <c r="C121" s="78" t="s">
        <v>1174</v>
      </c>
      <c r="D121" s="78">
        <v>400</v>
      </c>
    </row>
    <row r="122" spans="1:6" ht="45">
      <c r="A122" s="78" t="s">
        <v>1144</v>
      </c>
      <c r="B122" s="78" t="s">
        <v>1158</v>
      </c>
      <c r="C122" s="78" t="s">
        <v>1175</v>
      </c>
      <c r="D122" s="78">
        <v>200</v>
      </c>
    </row>
    <row r="123" spans="1:6" ht="45">
      <c r="A123" s="78" t="s">
        <v>1144</v>
      </c>
      <c r="B123" s="78" t="s">
        <v>1176</v>
      </c>
      <c r="C123" s="78" t="s">
        <v>1177</v>
      </c>
      <c r="D123" s="78">
        <v>400</v>
      </c>
    </row>
    <row r="124" spans="1:6" ht="30">
      <c r="A124" s="78" t="s">
        <v>1178</v>
      </c>
      <c r="B124" s="78" t="s">
        <v>1179</v>
      </c>
      <c r="C124" s="78" t="s">
        <v>1180</v>
      </c>
      <c r="D124" s="78"/>
    </row>
    <row r="125" spans="1:6" ht="30">
      <c r="A125" s="78" t="s">
        <v>3</v>
      </c>
      <c r="B125" s="78" t="s">
        <v>1184</v>
      </c>
      <c r="C125" s="78" t="s">
        <v>1185</v>
      </c>
      <c r="D125" s="79">
        <v>104000</v>
      </c>
      <c r="E125" s="78" t="s">
        <v>40</v>
      </c>
      <c r="F125" s="80">
        <f>D125/254000</f>
        <v>0.40944881889763779</v>
      </c>
    </row>
    <row r="126" spans="1:6" ht="30">
      <c r="A126" s="78" t="s">
        <v>3</v>
      </c>
      <c r="B126" s="78" t="s">
        <v>1188</v>
      </c>
      <c r="C126" s="78" t="s">
        <v>1189</v>
      </c>
      <c r="D126" s="79">
        <v>30000</v>
      </c>
      <c r="E126" s="78" t="s">
        <v>37</v>
      </c>
      <c r="F126" s="80">
        <f t="shared" ref="F126:F129" si="1">D126/254000</f>
        <v>0.11811023622047244</v>
      </c>
    </row>
    <row r="127" spans="1:6" ht="30">
      <c r="A127" s="78" t="s">
        <v>3</v>
      </c>
      <c r="B127" s="78" t="s">
        <v>1194</v>
      </c>
      <c r="C127" s="78" t="s">
        <v>1196</v>
      </c>
      <c r="D127" s="79">
        <v>30000</v>
      </c>
      <c r="E127" s="78" t="s">
        <v>37</v>
      </c>
      <c r="F127" s="80">
        <f t="shared" si="1"/>
        <v>0.11811023622047244</v>
      </c>
    </row>
    <row r="128" spans="1:6" ht="45">
      <c r="A128" s="78" t="s">
        <v>3</v>
      </c>
      <c r="B128" s="78" t="s">
        <v>1199</v>
      </c>
      <c r="C128" s="78" t="s">
        <v>1200</v>
      </c>
      <c r="D128" s="79">
        <v>30000</v>
      </c>
      <c r="E128" s="78" t="s">
        <v>37</v>
      </c>
      <c r="F128" s="80">
        <f t="shared" si="1"/>
        <v>0.11811023622047244</v>
      </c>
    </row>
    <row r="129" spans="1:6" ht="60">
      <c r="A129" s="78" t="s">
        <v>3</v>
      </c>
      <c r="B129" s="78" t="s">
        <v>1186</v>
      </c>
      <c r="C129" s="78" t="s">
        <v>1187</v>
      </c>
      <c r="D129" s="79">
        <v>60000</v>
      </c>
      <c r="E129" s="78" t="s">
        <v>42</v>
      </c>
      <c r="F129" s="80">
        <f t="shared" si="1"/>
        <v>0.23622047244094488</v>
      </c>
    </row>
    <row r="130" spans="1:6">
      <c r="A130" s="78" t="s">
        <v>3</v>
      </c>
      <c r="B130" s="78" t="s">
        <v>659</v>
      </c>
      <c r="C130" s="78" t="s">
        <v>1181</v>
      </c>
      <c r="D130" s="78"/>
      <c r="E130" s="78"/>
    </row>
    <row r="131" spans="1:6" ht="30">
      <c r="A131" s="78" t="s">
        <v>3</v>
      </c>
      <c r="B131" s="78" t="s">
        <v>1182</v>
      </c>
      <c r="C131" s="78" t="s">
        <v>1183</v>
      </c>
      <c r="D131" s="78"/>
      <c r="E131" s="78"/>
    </row>
    <row r="132" spans="1:6" ht="30">
      <c r="A132" s="78" t="s">
        <v>3</v>
      </c>
      <c r="B132" s="78" t="s">
        <v>1190</v>
      </c>
      <c r="C132" s="78" t="s">
        <v>1191</v>
      </c>
      <c r="D132" s="78"/>
      <c r="E132" s="78"/>
    </row>
    <row r="133" spans="1:6" ht="30">
      <c r="A133" s="78" t="s">
        <v>3</v>
      </c>
      <c r="B133" s="78" t="s">
        <v>1192</v>
      </c>
      <c r="C133" s="78" t="s">
        <v>1193</v>
      </c>
      <c r="D133" s="78"/>
      <c r="E133" s="78"/>
    </row>
    <row r="134" spans="1:6" ht="30">
      <c r="A134" s="78" t="s">
        <v>3</v>
      </c>
      <c r="B134" s="78" t="s">
        <v>1194</v>
      </c>
      <c r="C134" s="78" t="s">
        <v>1195</v>
      </c>
      <c r="D134" s="78"/>
      <c r="E134" s="78"/>
    </row>
    <row r="135" spans="1:6">
      <c r="A135" s="78" t="s">
        <v>3</v>
      </c>
      <c r="B135" s="78" t="s">
        <v>1197</v>
      </c>
      <c r="C135" s="78" t="s">
        <v>1198</v>
      </c>
      <c r="D135" s="78"/>
      <c r="E135" s="78"/>
    </row>
    <row r="136" spans="1:6">
      <c r="A136" s="78" t="s">
        <v>3</v>
      </c>
      <c r="B136" s="78" t="s">
        <v>1201</v>
      </c>
      <c r="C136" s="78" t="s">
        <v>1202</v>
      </c>
      <c r="D136" s="78"/>
      <c r="E136" s="78"/>
    </row>
    <row r="137" spans="1:6" ht="45">
      <c r="A137" s="78" t="s">
        <v>1203</v>
      </c>
      <c r="B137" s="78" t="s">
        <v>1204</v>
      </c>
      <c r="C137" s="78" t="s">
        <v>1205</v>
      </c>
      <c r="D137" s="79">
        <v>2500</v>
      </c>
    </row>
    <row r="138" spans="1:6" ht="30">
      <c r="A138" s="78" t="s">
        <v>1206</v>
      </c>
      <c r="B138" s="78" t="s">
        <v>1207</v>
      </c>
      <c r="C138" s="78" t="s">
        <v>1208</v>
      </c>
      <c r="D138" s="79">
        <v>30000</v>
      </c>
      <c r="F138" s="80">
        <v>1</v>
      </c>
    </row>
    <row r="139" spans="1:6" ht="30">
      <c r="A139" s="78" t="s">
        <v>1209</v>
      </c>
      <c r="B139" s="78" t="s">
        <v>1210</v>
      </c>
      <c r="C139" s="78" t="s">
        <v>1211</v>
      </c>
      <c r="D139" s="78"/>
    </row>
    <row r="140" spans="1:6" ht="45">
      <c r="A140" s="78" t="s">
        <v>1209</v>
      </c>
      <c r="B140" s="78" t="s">
        <v>1212</v>
      </c>
      <c r="C140" s="78" t="s">
        <v>1213</v>
      </c>
      <c r="D140" s="79">
        <v>150000</v>
      </c>
    </row>
    <row r="141" spans="1:6" ht="30">
      <c r="A141" s="78" t="s">
        <v>1209</v>
      </c>
      <c r="B141" s="78" t="s">
        <v>1214</v>
      </c>
      <c r="C141" s="78" t="s">
        <v>1215</v>
      </c>
      <c r="D141" s="78"/>
    </row>
    <row r="142" spans="1:6" ht="30">
      <c r="A142" s="78" t="s">
        <v>1209</v>
      </c>
      <c r="B142" s="78" t="s">
        <v>1216</v>
      </c>
      <c r="C142" s="78" t="s">
        <v>1217</v>
      </c>
      <c r="D142" s="79">
        <v>150000</v>
      </c>
    </row>
    <row r="143" spans="1:6" ht="30">
      <c r="A143" s="78" t="s">
        <v>1209</v>
      </c>
      <c r="B143" s="78" t="s">
        <v>1218</v>
      </c>
      <c r="C143" s="78" t="s">
        <v>1219</v>
      </c>
      <c r="D143" s="78"/>
    </row>
    <row r="144" spans="1:6" ht="30">
      <c r="A144" s="78" t="s">
        <v>1209</v>
      </c>
      <c r="B144" s="78" t="s">
        <v>1220</v>
      </c>
      <c r="C144" s="78" t="s">
        <v>1221</v>
      </c>
      <c r="D144" s="79">
        <v>10000</v>
      </c>
    </row>
    <row r="145" spans="1:4" ht="45">
      <c r="A145" s="78" t="s">
        <v>1209</v>
      </c>
      <c r="B145" s="78" t="s">
        <v>1222</v>
      </c>
      <c r="C145" s="78" t="s">
        <v>1223</v>
      </c>
      <c r="D145" s="78"/>
    </row>
    <row r="146" spans="1:4" ht="30">
      <c r="A146" s="78" t="s">
        <v>1209</v>
      </c>
      <c r="B146" s="78" t="s">
        <v>1224</v>
      </c>
      <c r="C146" s="78" t="s">
        <v>1225</v>
      </c>
      <c r="D146" s="78"/>
    </row>
    <row r="147" spans="1:4" ht="30">
      <c r="A147" s="78" t="s">
        <v>1209</v>
      </c>
      <c r="B147" s="78" t="s">
        <v>1224</v>
      </c>
      <c r="C147" s="78" t="s">
        <v>1226</v>
      </c>
      <c r="D147" s="78"/>
    </row>
    <row r="148" spans="1:4" ht="45">
      <c r="A148" s="78" t="s">
        <v>1209</v>
      </c>
      <c r="B148" s="78" t="s">
        <v>1227</v>
      </c>
      <c r="C148" s="78" t="s">
        <v>1228</v>
      </c>
      <c r="D148" s="78"/>
    </row>
    <row r="149" spans="1:4" ht="45">
      <c r="A149" s="78" t="s">
        <v>1209</v>
      </c>
      <c r="B149" s="78" t="s">
        <v>1229</v>
      </c>
      <c r="C149" s="78" t="s">
        <v>1230</v>
      </c>
      <c r="D149" s="79">
        <v>12000</v>
      </c>
    </row>
    <row r="150" spans="1:4" ht="45">
      <c r="A150" s="78" t="s">
        <v>1209</v>
      </c>
      <c r="B150" s="78" t="s">
        <v>1231</v>
      </c>
      <c r="C150" s="78" t="s">
        <v>1232</v>
      </c>
      <c r="D150" s="78"/>
    </row>
    <row r="151" spans="1:4" ht="30">
      <c r="A151" s="78" t="s">
        <v>1209</v>
      </c>
      <c r="B151" s="78" t="s">
        <v>1233</v>
      </c>
      <c r="C151" s="78" t="s">
        <v>1234</v>
      </c>
      <c r="D151" s="79">
        <v>36000</v>
      </c>
    </row>
    <row r="152" spans="1:4" ht="30">
      <c r="A152" s="78" t="s">
        <v>1209</v>
      </c>
      <c r="B152" s="78" t="s">
        <v>1235</v>
      </c>
      <c r="C152" s="78" t="s">
        <v>1236</v>
      </c>
      <c r="D152" s="78"/>
    </row>
    <row r="153" spans="1:4" ht="30">
      <c r="A153" s="78" t="s">
        <v>1209</v>
      </c>
      <c r="B153" s="78" t="s">
        <v>1235</v>
      </c>
      <c r="C153" s="78" t="s">
        <v>1237</v>
      </c>
      <c r="D153" s="79">
        <v>36000</v>
      </c>
    </row>
    <row r="154" spans="1:4" ht="30">
      <c r="A154" s="78" t="s">
        <v>1209</v>
      </c>
      <c r="B154" s="78" t="s">
        <v>1235</v>
      </c>
      <c r="C154" s="78" t="s">
        <v>1238</v>
      </c>
      <c r="D154" s="78"/>
    </row>
    <row r="155" spans="1:4" ht="45">
      <c r="A155" s="78" t="s">
        <v>1209</v>
      </c>
      <c r="B155" s="78" t="s">
        <v>1235</v>
      </c>
      <c r="C155" s="78" t="s">
        <v>1239</v>
      </c>
      <c r="D155" s="78"/>
    </row>
    <row r="156" spans="1:4" ht="60">
      <c r="A156" s="78" t="s">
        <v>1209</v>
      </c>
      <c r="B156" s="78" t="s">
        <v>1240</v>
      </c>
      <c r="C156" s="78" t="s">
        <v>1241</v>
      </c>
      <c r="D156" s="78"/>
    </row>
    <row r="157" spans="1:4" ht="45">
      <c r="A157" s="78" t="s">
        <v>1209</v>
      </c>
      <c r="B157" s="78" t="s">
        <v>1242</v>
      </c>
      <c r="C157" s="78" t="s">
        <v>1243</v>
      </c>
      <c r="D157" s="78"/>
    </row>
    <row r="158" spans="1:4" ht="45">
      <c r="A158" s="78" t="s">
        <v>1209</v>
      </c>
      <c r="B158" s="78" t="s">
        <v>1244</v>
      </c>
      <c r="C158" s="78" t="s">
        <v>1245</v>
      </c>
      <c r="D158" s="78"/>
    </row>
    <row r="159" spans="1:4" ht="45">
      <c r="A159" s="78" t="s">
        <v>1209</v>
      </c>
      <c r="B159" s="78" t="s">
        <v>1246</v>
      </c>
      <c r="C159" s="78" t="s">
        <v>1247</v>
      </c>
      <c r="D159" s="78"/>
    </row>
    <row r="160" spans="1:4" ht="45">
      <c r="A160" s="78" t="s">
        <v>1209</v>
      </c>
      <c r="B160" s="78" t="s">
        <v>1246</v>
      </c>
      <c r="C160" s="78" t="s">
        <v>1248</v>
      </c>
      <c r="D160" s="78"/>
    </row>
    <row r="161" spans="1:4" ht="45">
      <c r="A161" s="78" t="s">
        <v>1209</v>
      </c>
      <c r="B161" s="78" t="s">
        <v>1249</v>
      </c>
      <c r="C161" s="78" t="s">
        <v>1250</v>
      </c>
      <c r="D161" s="78"/>
    </row>
    <row r="162" spans="1:4" ht="45">
      <c r="A162" s="78" t="s">
        <v>1209</v>
      </c>
      <c r="B162" s="78" t="s">
        <v>1249</v>
      </c>
      <c r="C162" s="78" t="s">
        <v>1251</v>
      </c>
      <c r="D162" s="78"/>
    </row>
    <row r="163" spans="1:4" ht="45">
      <c r="A163" s="78" t="s">
        <v>1209</v>
      </c>
      <c r="B163" s="78" t="s">
        <v>1249</v>
      </c>
      <c r="C163" s="78" t="s">
        <v>1252</v>
      </c>
      <c r="D163" s="78"/>
    </row>
    <row r="164" spans="1:4" ht="45">
      <c r="A164" s="78" t="s">
        <v>1209</v>
      </c>
      <c r="B164" s="78" t="s">
        <v>1249</v>
      </c>
      <c r="C164" s="78" t="s">
        <v>1253</v>
      </c>
      <c r="D164" s="78"/>
    </row>
    <row r="165" spans="1:4" ht="60">
      <c r="A165" s="78" t="s">
        <v>1209</v>
      </c>
      <c r="B165" s="78" t="s">
        <v>1249</v>
      </c>
      <c r="C165" s="78" t="s">
        <v>1254</v>
      </c>
      <c r="D165" s="78"/>
    </row>
    <row r="166" spans="1:4" ht="45">
      <c r="A166" s="78" t="s">
        <v>1209</v>
      </c>
      <c r="B166" s="78" t="s">
        <v>1249</v>
      </c>
      <c r="C166" s="78" t="s">
        <v>1255</v>
      </c>
      <c r="D166" s="78"/>
    </row>
    <row r="167" spans="1:4" ht="30">
      <c r="A167" s="78" t="s">
        <v>1209</v>
      </c>
      <c r="B167" s="78" t="s">
        <v>1256</v>
      </c>
      <c r="C167" s="78" t="s">
        <v>1257</v>
      </c>
      <c r="D167" s="79">
        <v>2500</v>
      </c>
    </row>
    <row r="168" spans="1:4" ht="30">
      <c r="A168" s="78" t="s">
        <v>1209</v>
      </c>
      <c r="B168" s="78" t="s">
        <v>1256</v>
      </c>
      <c r="C168" s="78" t="s">
        <v>1258</v>
      </c>
      <c r="D168" s="79">
        <v>3000</v>
      </c>
    </row>
    <row r="169" spans="1:4" ht="45">
      <c r="A169" s="78" t="s">
        <v>1209</v>
      </c>
      <c r="B169" s="78" t="s">
        <v>1256</v>
      </c>
      <c r="C169" s="78" t="s">
        <v>1259</v>
      </c>
      <c r="D169" s="78">
        <v>500</v>
      </c>
    </row>
    <row r="170" spans="1:4" ht="30">
      <c r="A170" s="78" t="s">
        <v>1209</v>
      </c>
      <c r="B170" s="78" t="s">
        <v>1260</v>
      </c>
      <c r="C170" s="78" t="s">
        <v>1217</v>
      </c>
      <c r="D170" s="79">
        <v>50000</v>
      </c>
    </row>
    <row r="171" spans="1:4" ht="45">
      <c r="A171" s="78" t="s">
        <v>1209</v>
      </c>
      <c r="B171" s="78" t="s">
        <v>1261</v>
      </c>
      <c r="C171" s="78" t="s">
        <v>1262</v>
      </c>
      <c r="D171" s="78"/>
    </row>
    <row r="172" spans="1:4" ht="45">
      <c r="A172" s="78" t="s">
        <v>1209</v>
      </c>
      <c r="B172" s="78" t="s">
        <v>1263</v>
      </c>
      <c r="C172" s="78" t="s">
        <v>1264</v>
      </c>
      <c r="D172" s="78"/>
    </row>
    <row r="173" spans="1:4" ht="45">
      <c r="A173" s="78" t="s">
        <v>1209</v>
      </c>
      <c r="B173" s="78" t="s">
        <v>1265</v>
      </c>
      <c r="C173" s="78" t="s">
        <v>1266</v>
      </c>
      <c r="D173" s="78"/>
    </row>
    <row r="174" spans="1:4" ht="30">
      <c r="A174" s="78" t="s">
        <v>1209</v>
      </c>
      <c r="B174" s="78" t="s">
        <v>1267</v>
      </c>
      <c r="C174" s="78" t="s">
        <v>1268</v>
      </c>
      <c r="D174" s="78"/>
    </row>
    <row r="175" spans="1:4" ht="45">
      <c r="A175" s="78" t="s">
        <v>1209</v>
      </c>
      <c r="B175" s="78" t="s">
        <v>1269</v>
      </c>
      <c r="C175" s="78" t="s">
        <v>1270</v>
      </c>
      <c r="D175" s="78"/>
    </row>
    <row r="176" spans="1:4" ht="45">
      <c r="A176" s="78" t="s">
        <v>1209</v>
      </c>
      <c r="B176" s="78" t="s">
        <v>1271</v>
      </c>
      <c r="C176" s="78" t="s">
        <v>1272</v>
      </c>
      <c r="D176" s="78"/>
    </row>
    <row r="177" spans="1:4" ht="45">
      <c r="A177" s="78" t="s">
        <v>1209</v>
      </c>
      <c r="B177" s="78" t="s">
        <v>1271</v>
      </c>
      <c r="C177" s="78" t="s">
        <v>1273</v>
      </c>
      <c r="D177" s="79">
        <v>450000</v>
      </c>
    </row>
    <row r="178" spans="1:4" ht="45">
      <c r="A178" s="78" t="s">
        <v>1209</v>
      </c>
      <c r="B178" s="78" t="s">
        <v>1271</v>
      </c>
      <c r="C178" s="78" t="s">
        <v>1274</v>
      </c>
      <c r="D178" s="79">
        <v>90700</v>
      </c>
    </row>
    <row r="179" spans="1:4" ht="45">
      <c r="A179" s="78" t="s">
        <v>1209</v>
      </c>
      <c r="B179" s="78" t="s">
        <v>1271</v>
      </c>
      <c r="C179" s="78" t="s">
        <v>1275</v>
      </c>
      <c r="D179" s="78"/>
    </row>
    <row r="180" spans="1:4" ht="30">
      <c r="A180" s="78" t="s">
        <v>1209</v>
      </c>
      <c r="B180" s="78" t="s">
        <v>1276</v>
      </c>
      <c r="C180" s="78" t="s">
        <v>1277</v>
      </c>
      <c r="D180" s="78"/>
    </row>
    <row r="181" spans="1:4" ht="45">
      <c r="A181" s="78" t="s">
        <v>1209</v>
      </c>
      <c r="B181" s="78" t="s">
        <v>1278</v>
      </c>
      <c r="C181" s="78" t="s">
        <v>1279</v>
      </c>
      <c r="D181" s="78"/>
    </row>
    <row r="182" spans="1:4">
      <c r="A182" s="78" t="s">
        <v>1209</v>
      </c>
      <c r="B182" s="78" t="s">
        <v>1280</v>
      </c>
      <c r="C182" s="78" t="s">
        <v>1281</v>
      </c>
      <c r="D182" s="78"/>
    </row>
    <row r="183" spans="1:4" ht="30">
      <c r="A183" s="78" t="s">
        <v>1209</v>
      </c>
      <c r="B183" s="78" t="s">
        <v>1282</v>
      </c>
      <c r="C183" s="78" t="s">
        <v>1283</v>
      </c>
      <c r="D183" s="79">
        <v>92000</v>
      </c>
    </row>
    <row r="184" spans="1:4" ht="45">
      <c r="A184" s="78" t="s">
        <v>1209</v>
      </c>
      <c r="B184" s="78" t="s">
        <v>1282</v>
      </c>
      <c r="C184" s="78" t="s">
        <v>1284</v>
      </c>
      <c r="D184" s="79">
        <v>60000</v>
      </c>
    </row>
    <row r="185" spans="1:4" ht="45">
      <c r="A185" s="78" t="s">
        <v>1209</v>
      </c>
      <c r="B185" s="78" t="s">
        <v>1285</v>
      </c>
      <c r="C185" s="78" t="s">
        <v>1272</v>
      </c>
      <c r="D185" s="78"/>
    </row>
    <row r="186" spans="1:4" ht="30">
      <c r="A186" s="78" t="s">
        <v>1209</v>
      </c>
      <c r="B186" s="78" t="s">
        <v>1285</v>
      </c>
      <c r="C186" s="78" t="s">
        <v>1286</v>
      </c>
      <c r="D186" s="78"/>
    </row>
    <row r="187" spans="1:4" ht="30">
      <c r="A187" s="78" t="s">
        <v>1209</v>
      </c>
      <c r="B187" s="78" t="s">
        <v>1285</v>
      </c>
      <c r="C187" s="78" t="s">
        <v>1268</v>
      </c>
      <c r="D187" s="78"/>
    </row>
    <row r="188" spans="1:4" ht="30">
      <c r="A188" s="78" t="s">
        <v>1209</v>
      </c>
      <c r="B188" s="78" t="s">
        <v>1285</v>
      </c>
      <c r="C188" s="78" t="s">
        <v>1273</v>
      </c>
      <c r="D188" s="79">
        <v>28000</v>
      </c>
    </row>
    <row r="189" spans="1:4" ht="30">
      <c r="A189" s="78" t="s">
        <v>1209</v>
      </c>
      <c r="B189" s="78" t="s">
        <v>1287</v>
      </c>
      <c r="C189" s="78" t="s">
        <v>1288</v>
      </c>
      <c r="D189" s="78"/>
    </row>
    <row r="190" spans="1:4" ht="45">
      <c r="A190" s="78" t="s">
        <v>1209</v>
      </c>
      <c r="B190" s="78" t="s">
        <v>1289</v>
      </c>
      <c r="C190" s="78" t="s">
        <v>1290</v>
      </c>
      <c r="D190" s="79">
        <v>6000</v>
      </c>
    </row>
    <row r="191" spans="1:4" ht="45">
      <c r="A191" s="78" t="s">
        <v>1209</v>
      </c>
      <c r="B191" s="78" t="s">
        <v>1289</v>
      </c>
      <c r="C191" s="78" t="s">
        <v>1291</v>
      </c>
      <c r="D191" s="79">
        <v>18000</v>
      </c>
    </row>
    <row r="192" spans="1:4" ht="60">
      <c r="A192" s="78" t="s">
        <v>1209</v>
      </c>
      <c r="B192" s="78" t="s">
        <v>1289</v>
      </c>
      <c r="C192" s="78" t="s">
        <v>1292</v>
      </c>
      <c r="D192" s="78"/>
    </row>
    <row r="193" spans="1:6" ht="45">
      <c r="A193" s="78" t="s">
        <v>1209</v>
      </c>
      <c r="B193" s="78" t="s">
        <v>1289</v>
      </c>
      <c r="C193" s="78" t="s">
        <v>1293</v>
      </c>
      <c r="D193" s="78"/>
    </row>
    <row r="194" spans="1:6" ht="30">
      <c r="A194" s="78" t="s">
        <v>1209</v>
      </c>
      <c r="B194" s="78" t="s">
        <v>1289</v>
      </c>
      <c r="C194" s="78" t="s">
        <v>1274</v>
      </c>
      <c r="D194" s="79">
        <v>50000</v>
      </c>
    </row>
    <row r="195" spans="1:6" ht="30">
      <c r="A195" s="78" t="s">
        <v>1209</v>
      </c>
      <c r="B195" s="78" t="s">
        <v>1289</v>
      </c>
      <c r="C195" s="78" t="s">
        <v>1294</v>
      </c>
      <c r="D195" s="79">
        <v>35000</v>
      </c>
    </row>
    <row r="196" spans="1:6" ht="45">
      <c r="A196" s="78" t="s">
        <v>1209</v>
      </c>
      <c r="B196" s="78" t="s">
        <v>1295</v>
      </c>
      <c r="C196" s="78" t="s">
        <v>1296</v>
      </c>
      <c r="D196" s="78"/>
    </row>
    <row r="197" spans="1:6">
      <c r="A197" s="78" t="s">
        <v>1209</v>
      </c>
      <c r="B197" s="78" t="s">
        <v>1297</v>
      </c>
      <c r="C197" s="78" t="s">
        <v>1298</v>
      </c>
      <c r="D197" s="78"/>
    </row>
    <row r="198" spans="1:6" ht="45">
      <c r="A198" s="78" t="s">
        <v>1209</v>
      </c>
      <c r="B198" s="78" t="s">
        <v>1299</v>
      </c>
      <c r="C198" s="78" t="s">
        <v>1300</v>
      </c>
      <c r="D198" s="79">
        <v>2000</v>
      </c>
    </row>
    <row r="199" spans="1:6" ht="30">
      <c r="A199" s="78" t="s">
        <v>1209</v>
      </c>
      <c r="B199" s="78" t="s">
        <v>1301</v>
      </c>
      <c r="C199" s="78" t="s">
        <v>1302</v>
      </c>
      <c r="D199" s="78"/>
    </row>
    <row r="200" spans="1:6" ht="30">
      <c r="A200" s="78" t="s">
        <v>1209</v>
      </c>
      <c r="B200" s="78" t="s">
        <v>1303</v>
      </c>
      <c r="C200" s="78" t="s">
        <v>1304</v>
      </c>
      <c r="D200" s="79">
        <v>3000</v>
      </c>
    </row>
    <row r="201" spans="1:6" ht="45">
      <c r="A201" s="78" t="s">
        <v>4</v>
      </c>
      <c r="B201" s="78" t="s">
        <v>1305</v>
      </c>
      <c r="C201" s="78" t="s">
        <v>1306</v>
      </c>
      <c r="D201" s="79">
        <v>1000</v>
      </c>
      <c r="E201" s="78" t="s">
        <v>49</v>
      </c>
      <c r="F201" s="86">
        <f>D201/47650</f>
        <v>2.098635886673662E-2</v>
      </c>
    </row>
    <row r="202" spans="1:6">
      <c r="A202" s="78" t="s">
        <v>4</v>
      </c>
      <c r="B202" s="78" t="s">
        <v>1312</v>
      </c>
      <c r="C202" s="78" t="s">
        <v>1313</v>
      </c>
      <c r="D202" s="79">
        <v>40000</v>
      </c>
      <c r="E202" s="78" t="s">
        <v>50</v>
      </c>
      <c r="F202" s="86">
        <f>D202/47650</f>
        <v>0.83945435466946483</v>
      </c>
    </row>
    <row r="203" spans="1:6" ht="30">
      <c r="A203" s="78" t="s">
        <v>4</v>
      </c>
      <c r="B203" s="78" t="s">
        <v>1315</v>
      </c>
      <c r="C203" s="78" t="s">
        <v>1306</v>
      </c>
      <c r="D203" s="79">
        <v>1000</v>
      </c>
      <c r="E203" s="78" t="s">
        <v>51</v>
      </c>
      <c r="F203" s="86">
        <f>D203/47650</f>
        <v>2.098635886673662E-2</v>
      </c>
    </row>
    <row r="204" spans="1:6" ht="30">
      <c r="A204" s="78" t="s">
        <v>4</v>
      </c>
      <c r="B204" s="78" t="s">
        <v>927</v>
      </c>
      <c r="C204" s="78" t="s">
        <v>1314</v>
      </c>
      <c r="D204" s="79">
        <v>5650</v>
      </c>
      <c r="E204" s="78" t="s">
        <v>52</v>
      </c>
      <c r="F204" s="86">
        <f>D204/47650</f>
        <v>0.11857292759706191</v>
      </c>
    </row>
    <row r="205" spans="1:6">
      <c r="A205" s="78" t="s">
        <v>4</v>
      </c>
      <c r="B205" s="78" t="s">
        <v>1307</v>
      </c>
      <c r="C205" s="78" t="s">
        <v>1308</v>
      </c>
      <c r="D205" s="78"/>
    </row>
    <row r="206" spans="1:6" ht="30">
      <c r="A206" s="78" t="s">
        <v>4</v>
      </c>
      <c r="B206" s="78" t="s">
        <v>1307</v>
      </c>
      <c r="C206" s="78" t="s">
        <v>1309</v>
      </c>
      <c r="D206" s="78"/>
    </row>
    <row r="207" spans="1:6">
      <c r="A207" s="78" t="s">
        <v>4</v>
      </c>
      <c r="B207" s="78" t="s">
        <v>1310</v>
      </c>
      <c r="C207" s="78" t="s">
        <v>1311</v>
      </c>
      <c r="D207" s="78"/>
    </row>
    <row r="208" spans="1:6">
      <c r="A208" s="78" t="s">
        <v>1316</v>
      </c>
      <c r="B208" s="78" t="s">
        <v>1317</v>
      </c>
      <c r="C208" s="78" t="s">
        <v>1318</v>
      </c>
      <c r="D208" s="79">
        <v>85000</v>
      </c>
    </row>
    <row r="209" spans="1:4" ht="75">
      <c r="A209" s="78" t="s">
        <v>1319</v>
      </c>
      <c r="B209" s="78" t="s">
        <v>1320</v>
      </c>
      <c r="C209" s="78" t="s">
        <v>1321</v>
      </c>
      <c r="D209" s="79">
        <v>50000</v>
      </c>
    </row>
    <row r="210" spans="1:4">
      <c r="A210" s="78" t="s">
        <v>1319</v>
      </c>
      <c r="B210" s="78" t="s">
        <v>1322</v>
      </c>
      <c r="C210" s="78" t="s">
        <v>1323</v>
      </c>
      <c r="D210" s="79">
        <v>100000</v>
      </c>
    </row>
    <row r="211" spans="1:4" ht="30">
      <c r="A211" s="78" t="s">
        <v>1319</v>
      </c>
      <c r="B211" s="78" t="s">
        <v>1324</v>
      </c>
      <c r="C211" s="78" t="s">
        <v>1325</v>
      </c>
      <c r="D211" s="78"/>
    </row>
    <row r="212" spans="1:4" ht="60">
      <c r="A212" s="78" t="s">
        <v>1319</v>
      </c>
      <c r="B212" s="78" t="s">
        <v>1324</v>
      </c>
      <c r="C212" s="78" t="s">
        <v>1326</v>
      </c>
      <c r="D212" s="78"/>
    </row>
    <row r="213" spans="1:4" ht="30">
      <c r="A213" s="78" t="s">
        <v>1319</v>
      </c>
      <c r="B213" s="78" t="s">
        <v>1327</v>
      </c>
      <c r="C213" s="78" t="s">
        <v>1325</v>
      </c>
      <c r="D213" s="78"/>
    </row>
    <row r="214" spans="1:4" ht="30">
      <c r="A214" s="78" t="s">
        <v>1319</v>
      </c>
      <c r="B214" s="78" t="s">
        <v>1327</v>
      </c>
      <c r="C214" s="78" t="s">
        <v>1328</v>
      </c>
      <c r="D214" s="78"/>
    </row>
    <row r="215" spans="1:4" ht="45">
      <c r="A215" s="78" t="s">
        <v>1319</v>
      </c>
      <c r="B215" s="78" t="s">
        <v>1327</v>
      </c>
      <c r="C215" s="78" t="s">
        <v>1329</v>
      </c>
      <c r="D215" s="78"/>
    </row>
    <row r="216" spans="1:4" ht="60">
      <c r="A216" s="78" t="s">
        <v>1319</v>
      </c>
      <c r="B216" s="78" t="s">
        <v>1330</v>
      </c>
      <c r="C216" s="78" t="s">
        <v>1331</v>
      </c>
      <c r="D216" s="79">
        <v>91000</v>
      </c>
    </row>
    <row r="217" spans="1:4" ht="45">
      <c r="A217" s="78" t="s">
        <v>1319</v>
      </c>
      <c r="B217" s="78" t="s">
        <v>1332</v>
      </c>
      <c r="C217" s="78" t="s">
        <v>1333</v>
      </c>
      <c r="D217" s="79">
        <v>4000</v>
      </c>
    </row>
    <row r="218" spans="1:4" ht="30">
      <c r="A218" s="78" t="s">
        <v>1319</v>
      </c>
      <c r="B218" s="78" t="s">
        <v>1334</v>
      </c>
      <c r="C218" s="78" t="s">
        <v>1335</v>
      </c>
      <c r="D218" s="78"/>
    </row>
    <row r="219" spans="1:4" ht="30">
      <c r="A219" s="78" t="s">
        <v>1319</v>
      </c>
      <c r="B219" s="78" t="s">
        <v>1334</v>
      </c>
      <c r="C219" s="78" t="s">
        <v>1336</v>
      </c>
      <c r="D219" s="78"/>
    </row>
    <row r="220" spans="1:4" ht="60">
      <c r="A220" s="78" t="s">
        <v>1319</v>
      </c>
      <c r="B220" s="78" t="s">
        <v>1337</v>
      </c>
      <c r="C220" s="78" t="s">
        <v>1338</v>
      </c>
      <c r="D220" s="79">
        <v>45350</v>
      </c>
    </row>
    <row r="221" spans="1:4">
      <c r="A221" s="78" t="s">
        <v>1319</v>
      </c>
      <c r="B221" s="78" t="s">
        <v>1339</v>
      </c>
      <c r="C221" s="78" t="s">
        <v>1323</v>
      </c>
      <c r="D221" s="79">
        <v>45000</v>
      </c>
    </row>
    <row r="222" spans="1:4" ht="45">
      <c r="A222" s="78" t="s">
        <v>1319</v>
      </c>
      <c r="B222" s="78" t="s">
        <v>1340</v>
      </c>
      <c r="C222" s="78" t="s">
        <v>1341</v>
      </c>
      <c r="D222" s="78"/>
    </row>
    <row r="223" spans="1:4">
      <c r="A223" s="78" t="s">
        <v>1319</v>
      </c>
      <c r="B223" s="78" t="s">
        <v>1342</v>
      </c>
      <c r="C223" s="78" t="s">
        <v>1323</v>
      </c>
      <c r="D223" s="79">
        <v>55000</v>
      </c>
    </row>
    <row r="224" spans="1:4" ht="60">
      <c r="A224" s="78" t="s">
        <v>1319</v>
      </c>
      <c r="B224" s="78" t="s">
        <v>1343</v>
      </c>
      <c r="C224" s="78" t="s">
        <v>1344</v>
      </c>
      <c r="D224" s="78"/>
    </row>
    <row r="225" spans="1:4">
      <c r="A225" s="78" t="s">
        <v>1319</v>
      </c>
      <c r="B225" s="78" t="s">
        <v>1345</v>
      </c>
      <c r="C225" s="78" t="s">
        <v>1273</v>
      </c>
      <c r="D225" s="78"/>
    </row>
    <row r="226" spans="1:4">
      <c r="A226" s="78" t="s">
        <v>1319</v>
      </c>
      <c r="B226" s="78" t="s">
        <v>1346</v>
      </c>
      <c r="C226" s="78" t="s">
        <v>1323</v>
      </c>
      <c r="D226" s="78"/>
    </row>
    <row r="227" spans="1:4">
      <c r="A227" s="78" t="s">
        <v>1319</v>
      </c>
      <c r="B227" s="78" t="s">
        <v>1347</v>
      </c>
      <c r="C227" s="78" t="s">
        <v>1348</v>
      </c>
      <c r="D227" s="79">
        <v>35000</v>
      </c>
    </row>
    <row r="228" spans="1:4" ht="30">
      <c r="A228" s="78" t="s">
        <v>1319</v>
      </c>
      <c r="B228" s="78" t="s">
        <v>1349</v>
      </c>
      <c r="C228" s="78" t="s">
        <v>1350</v>
      </c>
      <c r="D228" s="78"/>
    </row>
    <row r="229" spans="1:4" ht="45">
      <c r="A229" s="78" t="s">
        <v>1319</v>
      </c>
      <c r="B229" s="78" t="s">
        <v>1351</v>
      </c>
      <c r="C229" s="78" t="s">
        <v>1352</v>
      </c>
      <c r="D229" s="79">
        <v>82000</v>
      </c>
    </row>
    <row r="230" spans="1:4" ht="45">
      <c r="A230" s="78" t="s">
        <v>1319</v>
      </c>
      <c r="B230" s="78" t="s">
        <v>1353</v>
      </c>
      <c r="C230" s="78" t="s">
        <v>1354</v>
      </c>
      <c r="D230" s="78"/>
    </row>
    <row r="231" spans="1:4">
      <c r="A231" s="78" t="s">
        <v>1319</v>
      </c>
      <c r="B231" s="78" t="s">
        <v>1353</v>
      </c>
      <c r="C231" s="78" t="s">
        <v>1355</v>
      </c>
      <c r="D231" s="78"/>
    </row>
    <row r="232" spans="1:4" ht="30">
      <c r="A232" s="78" t="s">
        <v>1319</v>
      </c>
      <c r="B232" s="78" t="s">
        <v>1356</v>
      </c>
      <c r="C232" s="78" t="s">
        <v>1357</v>
      </c>
      <c r="D232" s="79">
        <v>100000</v>
      </c>
    </row>
    <row r="233" spans="1:4" ht="45">
      <c r="A233" s="78" t="s">
        <v>1319</v>
      </c>
      <c r="B233" s="78" t="s">
        <v>1358</v>
      </c>
      <c r="C233" s="78" t="s">
        <v>1359</v>
      </c>
      <c r="D233" s="78"/>
    </row>
    <row r="234" spans="1:4">
      <c r="A234" s="78" t="s">
        <v>1319</v>
      </c>
      <c r="B234" s="78" t="s">
        <v>1358</v>
      </c>
      <c r="C234" s="78" t="s">
        <v>1360</v>
      </c>
      <c r="D234" s="78"/>
    </row>
    <row r="235" spans="1:4">
      <c r="A235" s="78" t="s">
        <v>1319</v>
      </c>
      <c r="B235" s="78" t="s">
        <v>1361</v>
      </c>
      <c r="C235" s="78" t="s">
        <v>1362</v>
      </c>
      <c r="D235" s="79">
        <v>35000</v>
      </c>
    </row>
    <row r="236" spans="1:4">
      <c r="A236" s="78" t="s">
        <v>1319</v>
      </c>
      <c r="B236" s="78" t="s">
        <v>1363</v>
      </c>
      <c r="C236" s="78" t="s">
        <v>1364</v>
      </c>
      <c r="D236" s="78"/>
    </row>
    <row r="237" spans="1:4" ht="30">
      <c r="A237" s="78" t="s">
        <v>1319</v>
      </c>
      <c r="B237" s="78" t="s">
        <v>1365</v>
      </c>
      <c r="C237" s="78" t="s">
        <v>1366</v>
      </c>
      <c r="D237" s="78"/>
    </row>
    <row r="238" spans="1:4" ht="45">
      <c r="A238" s="78" t="s">
        <v>1319</v>
      </c>
      <c r="B238" s="78" t="s">
        <v>1365</v>
      </c>
      <c r="C238" s="78" t="s">
        <v>1367</v>
      </c>
      <c r="D238" s="78"/>
    </row>
    <row r="239" spans="1:4" ht="30">
      <c r="A239" s="78" t="s">
        <v>1319</v>
      </c>
      <c r="B239" s="78" t="s">
        <v>1368</v>
      </c>
      <c r="C239" s="78" t="s">
        <v>1323</v>
      </c>
      <c r="D239" s="78"/>
    </row>
    <row r="240" spans="1:4" ht="30">
      <c r="A240" s="78" t="s">
        <v>1319</v>
      </c>
      <c r="B240" s="78" t="s">
        <v>1368</v>
      </c>
      <c r="C240" s="78" t="s">
        <v>1369</v>
      </c>
      <c r="D240" s="78"/>
    </row>
    <row r="241" spans="1:4" ht="30">
      <c r="A241" s="78" t="s">
        <v>1319</v>
      </c>
      <c r="B241" s="78" t="s">
        <v>1370</v>
      </c>
      <c r="C241" s="78" t="s">
        <v>1364</v>
      </c>
      <c r="D241" s="78"/>
    </row>
    <row r="242" spans="1:4" ht="30">
      <c r="A242" s="78" t="s">
        <v>1319</v>
      </c>
      <c r="B242" s="78" t="s">
        <v>1371</v>
      </c>
      <c r="C242" s="78" t="s">
        <v>1372</v>
      </c>
      <c r="D242" s="79">
        <v>50000</v>
      </c>
    </row>
    <row r="243" spans="1:4" ht="30">
      <c r="A243" s="78" t="s">
        <v>1319</v>
      </c>
      <c r="B243" s="78" t="s">
        <v>1373</v>
      </c>
      <c r="C243" s="78" t="s">
        <v>1374</v>
      </c>
      <c r="D243" s="78"/>
    </row>
    <row r="244" spans="1:4" ht="30">
      <c r="A244" s="78" t="s">
        <v>1319</v>
      </c>
      <c r="B244" s="78" t="s">
        <v>1375</v>
      </c>
      <c r="C244" s="78" t="s">
        <v>1376</v>
      </c>
      <c r="D244" s="78"/>
    </row>
    <row r="245" spans="1:4" ht="60">
      <c r="A245" s="78" t="s">
        <v>1319</v>
      </c>
      <c r="B245" s="78" t="s">
        <v>1377</v>
      </c>
      <c r="C245" s="78" t="s">
        <v>1378</v>
      </c>
      <c r="D245" s="78"/>
    </row>
    <row r="246" spans="1:4" ht="45">
      <c r="A246" s="78" t="s">
        <v>1319</v>
      </c>
      <c r="B246" s="78" t="s">
        <v>1379</v>
      </c>
      <c r="C246" s="78" t="s">
        <v>1380</v>
      </c>
      <c r="D246" s="78"/>
    </row>
    <row r="247" spans="1:4">
      <c r="A247" s="78" t="s">
        <v>1319</v>
      </c>
      <c r="B247" s="78" t="s">
        <v>1379</v>
      </c>
      <c r="C247" s="78" t="s">
        <v>1355</v>
      </c>
      <c r="D247" s="78"/>
    </row>
    <row r="248" spans="1:4" ht="30">
      <c r="A248" s="78" t="s">
        <v>1319</v>
      </c>
      <c r="B248" s="78" t="s">
        <v>1379</v>
      </c>
      <c r="C248" s="78" t="s">
        <v>1381</v>
      </c>
      <c r="D248" s="79">
        <v>6000</v>
      </c>
    </row>
    <row r="249" spans="1:4" ht="30">
      <c r="A249" s="78" t="s">
        <v>1319</v>
      </c>
      <c r="B249" s="78" t="s">
        <v>1382</v>
      </c>
      <c r="C249" s="78" t="s">
        <v>1383</v>
      </c>
      <c r="D249" s="78"/>
    </row>
    <row r="250" spans="1:4">
      <c r="A250" s="78" t="s">
        <v>1319</v>
      </c>
      <c r="B250" s="78" t="s">
        <v>1384</v>
      </c>
      <c r="C250" s="78" t="s">
        <v>1385</v>
      </c>
      <c r="D250" s="79">
        <v>250000</v>
      </c>
    </row>
    <row r="251" spans="1:4">
      <c r="A251" s="78" t="s">
        <v>1386</v>
      </c>
      <c r="B251" s="78" t="s">
        <v>1387</v>
      </c>
      <c r="C251" s="78" t="s">
        <v>1388</v>
      </c>
      <c r="D251" s="78"/>
    </row>
    <row r="252" spans="1:4" ht="30">
      <c r="A252" s="78" t="s">
        <v>1386</v>
      </c>
      <c r="B252" s="78" t="s">
        <v>1387</v>
      </c>
      <c r="C252" s="78" t="s">
        <v>1389</v>
      </c>
      <c r="D252" s="79">
        <v>5000</v>
      </c>
    </row>
    <row r="253" spans="1:4">
      <c r="A253" s="78" t="s">
        <v>1386</v>
      </c>
      <c r="B253" s="78" t="s">
        <v>1387</v>
      </c>
      <c r="C253" s="78" t="s">
        <v>1390</v>
      </c>
      <c r="D253" s="79">
        <v>1500</v>
      </c>
    </row>
    <row r="254" spans="1:4" ht="45">
      <c r="A254" s="78" t="s">
        <v>1391</v>
      </c>
      <c r="B254" s="78" t="s">
        <v>1392</v>
      </c>
      <c r="C254" s="78" t="s">
        <v>1393</v>
      </c>
      <c r="D254" s="78">
        <v>200</v>
      </c>
    </row>
    <row r="255" spans="1:4" ht="45">
      <c r="A255" s="78" t="s">
        <v>1391</v>
      </c>
      <c r="B255" s="78" t="s">
        <v>1394</v>
      </c>
      <c r="C255" s="78" t="s">
        <v>1395</v>
      </c>
      <c r="D255" s="79">
        <v>12000</v>
      </c>
    </row>
    <row r="256" spans="1:4" ht="60">
      <c r="A256" s="78" t="s">
        <v>1391</v>
      </c>
      <c r="B256" s="78" t="s">
        <v>1396</v>
      </c>
      <c r="C256" s="78" t="s">
        <v>1397</v>
      </c>
      <c r="D256" s="78"/>
    </row>
    <row r="257" spans="1:4" ht="60">
      <c r="A257" s="78" t="s">
        <v>1391</v>
      </c>
      <c r="B257" s="78" t="s">
        <v>1396</v>
      </c>
      <c r="C257" s="78" t="s">
        <v>1398</v>
      </c>
      <c r="D257" s="78"/>
    </row>
    <row r="258" spans="1:4" ht="60">
      <c r="A258" s="78" t="s">
        <v>1391</v>
      </c>
      <c r="B258" s="78" t="s">
        <v>1399</v>
      </c>
      <c r="C258" s="78" t="s">
        <v>1400</v>
      </c>
      <c r="D258" s="78"/>
    </row>
    <row r="259" spans="1:4" ht="60">
      <c r="A259" s="78" t="s">
        <v>1391</v>
      </c>
      <c r="B259" s="78" t="s">
        <v>1401</v>
      </c>
      <c r="C259" s="78" t="s">
        <v>1402</v>
      </c>
      <c r="D259" s="78"/>
    </row>
    <row r="260" spans="1:4" ht="30">
      <c r="A260" s="78" t="s">
        <v>1391</v>
      </c>
      <c r="B260" s="78" t="s">
        <v>1403</v>
      </c>
      <c r="C260" s="78" t="s">
        <v>1404</v>
      </c>
      <c r="D260" s="78"/>
    </row>
    <row r="261" spans="1:4" ht="30">
      <c r="A261" s="78" t="s">
        <v>1391</v>
      </c>
      <c r="B261" s="78" t="s">
        <v>1405</v>
      </c>
      <c r="C261" s="78" t="s">
        <v>1406</v>
      </c>
      <c r="D261" s="79">
        <v>12000</v>
      </c>
    </row>
    <row r="262" spans="1:4" ht="45">
      <c r="A262" s="78" t="s">
        <v>1391</v>
      </c>
      <c r="B262" s="78" t="s">
        <v>1407</v>
      </c>
      <c r="C262" s="78" t="s">
        <v>1408</v>
      </c>
      <c r="D262" s="79">
        <v>12000</v>
      </c>
    </row>
    <row r="263" spans="1:4" ht="60">
      <c r="A263" s="78" t="s">
        <v>1391</v>
      </c>
      <c r="B263" s="78" t="s">
        <v>1409</v>
      </c>
      <c r="C263" s="78" t="s">
        <v>1410</v>
      </c>
      <c r="D263" s="78"/>
    </row>
    <row r="264" spans="1:4" ht="60">
      <c r="A264" s="78" t="s">
        <v>1391</v>
      </c>
      <c r="B264" s="78" t="s">
        <v>1411</v>
      </c>
      <c r="C264" s="78" t="s">
        <v>1412</v>
      </c>
      <c r="D264" s="78"/>
    </row>
    <row r="265" spans="1:4" ht="30">
      <c r="A265" s="78" t="s">
        <v>1391</v>
      </c>
      <c r="B265" s="78" t="s">
        <v>1413</v>
      </c>
      <c r="C265" s="78" t="s">
        <v>1414</v>
      </c>
      <c r="D265" s="79">
        <v>20000</v>
      </c>
    </row>
    <row r="266" spans="1:4" ht="60">
      <c r="A266" s="78" t="s">
        <v>1391</v>
      </c>
      <c r="B266" s="78" t="s">
        <v>1413</v>
      </c>
      <c r="C266" s="78" t="s">
        <v>1415</v>
      </c>
      <c r="D266" s="78"/>
    </row>
    <row r="267" spans="1:4" ht="45">
      <c r="A267" s="78" t="s">
        <v>1391</v>
      </c>
      <c r="B267" s="78" t="s">
        <v>1413</v>
      </c>
      <c r="C267" s="78" t="s">
        <v>1416</v>
      </c>
      <c r="D267" s="78"/>
    </row>
    <row r="268" spans="1:4" ht="45">
      <c r="A268" s="78" t="s">
        <v>1391</v>
      </c>
      <c r="B268" s="78" t="s">
        <v>1417</v>
      </c>
      <c r="C268" s="78" t="s">
        <v>1418</v>
      </c>
      <c r="D268" s="79">
        <v>170000</v>
      </c>
    </row>
    <row r="269" spans="1:4" ht="45">
      <c r="A269" s="78" t="s">
        <v>1391</v>
      </c>
      <c r="B269" s="78" t="s">
        <v>1417</v>
      </c>
      <c r="C269" s="78" t="s">
        <v>1419</v>
      </c>
      <c r="D269" s="78"/>
    </row>
    <row r="270" spans="1:4" ht="45">
      <c r="A270" s="78" t="s">
        <v>1391</v>
      </c>
      <c r="B270" s="78" t="s">
        <v>1417</v>
      </c>
      <c r="C270" s="78" t="s">
        <v>1420</v>
      </c>
      <c r="D270" s="78"/>
    </row>
    <row r="271" spans="1:4" ht="30">
      <c r="A271" s="78" t="s">
        <v>1391</v>
      </c>
      <c r="B271" s="78" t="s">
        <v>1417</v>
      </c>
      <c r="C271" s="78" t="s">
        <v>1421</v>
      </c>
      <c r="D271" s="79">
        <v>300000</v>
      </c>
    </row>
    <row r="272" spans="1:4" ht="60">
      <c r="A272" s="78" t="s">
        <v>1391</v>
      </c>
      <c r="B272" s="78" t="s">
        <v>1417</v>
      </c>
      <c r="C272" s="78" t="s">
        <v>1422</v>
      </c>
      <c r="D272" s="79">
        <v>100000</v>
      </c>
    </row>
    <row r="273" spans="1:4" ht="45">
      <c r="A273" s="78" t="s">
        <v>1391</v>
      </c>
      <c r="B273" s="78" t="s">
        <v>1417</v>
      </c>
      <c r="C273" s="78" t="s">
        <v>1423</v>
      </c>
      <c r="D273" s="78"/>
    </row>
    <row r="274" spans="1:4" ht="60">
      <c r="A274" s="78" t="s">
        <v>1391</v>
      </c>
      <c r="B274" s="78" t="s">
        <v>1424</v>
      </c>
      <c r="C274" s="78" t="s">
        <v>1425</v>
      </c>
      <c r="D274" s="78"/>
    </row>
    <row r="275" spans="1:4" ht="45">
      <c r="A275" s="78" t="s">
        <v>1391</v>
      </c>
      <c r="B275" s="78" t="s">
        <v>1426</v>
      </c>
      <c r="C275" s="78" t="s">
        <v>1427</v>
      </c>
      <c r="D275" s="79">
        <v>4200</v>
      </c>
    </row>
    <row r="276" spans="1:4" ht="30">
      <c r="A276" s="78" t="s">
        <v>1391</v>
      </c>
      <c r="B276" s="78" t="s">
        <v>1428</v>
      </c>
      <c r="C276" s="78" t="s">
        <v>1429</v>
      </c>
      <c r="D276" s="79">
        <v>3000</v>
      </c>
    </row>
    <row r="277" spans="1:4" ht="60">
      <c r="A277" s="78" t="s">
        <v>1391</v>
      </c>
      <c r="B277" s="78" t="s">
        <v>1430</v>
      </c>
      <c r="C277" s="78" t="s">
        <v>1431</v>
      </c>
      <c r="D277" s="78"/>
    </row>
    <row r="278" spans="1:4" ht="60">
      <c r="A278" s="78" t="s">
        <v>1391</v>
      </c>
      <c r="B278" s="78" t="s">
        <v>1430</v>
      </c>
      <c r="C278" s="78" t="s">
        <v>1432</v>
      </c>
      <c r="D278" s="78"/>
    </row>
    <row r="279" spans="1:4" ht="60">
      <c r="A279" s="78" t="s">
        <v>1391</v>
      </c>
      <c r="B279" s="78" t="s">
        <v>1430</v>
      </c>
      <c r="C279" s="78" t="s">
        <v>1433</v>
      </c>
      <c r="D279" s="78"/>
    </row>
    <row r="280" spans="1:4" ht="30">
      <c r="A280" s="78" t="s">
        <v>1391</v>
      </c>
      <c r="B280" s="78" t="s">
        <v>1434</v>
      </c>
      <c r="C280" s="78" t="s">
        <v>1435</v>
      </c>
      <c r="D280" s="78"/>
    </row>
    <row r="281" spans="1:4" ht="60">
      <c r="A281" s="78" t="s">
        <v>1391</v>
      </c>
      <c r="B281" s="78" t="s">
        <v>1434</v>
      </c>
      <c r="C281" s="78" t="s">
        <v>1436</v>
      </c>
      <c r="D281" s="78"/>
    </row>
    <row r="282" spans="1:4" ht="45">
      <c r="A282" s="78" t="s">
        <v>1391</v>
      </c>
      <c r="B282" s="78" t="s">
        <v>1437</v>
      </c>
      <c r="C282" s="78" t="s">
        <v>1438</v>
      </c>
      <c r="D282" s="78"/>
    </row>
    <row r="283" spans="1:4" ht="60">
      <c r="A283" s="78" t="s">
        <v>1391</v>
      </c>
      <c r="B283" s="78" t="s">
        <v>1439</v>
      </c>
      <c r="C283" s="78" t="s">
        <v>1440</v>
      </c>
      <c r="D283" s="78"/>
    </row>
    <row r="284" spans="1:4" ht="60">
      <c r="A284" s="78" t="s">
        <v>1391</v>
      </c>
      <c r="B284" s="78" t="s">
        <v>1441</v>
      </c>
      <c r="C284" s="78" t="s">
        <v>1442</v>
      </c>
      <c r="D284" s="78"/>
    </row>
    <row r="285" spans="1:4" ht="75">
      <c r="A285" s="78" t="s">
        <v>1391</v>
      </c>
      <c r="B285" s="78" t="s">
        <v>1443</v>
      </c>
      <c r="C285" s="78" t="s">
        <v>1444</v>
      </c>
      <c r="D285" s="78"/>
    </row>
    <row r="286" spans="1:4" ht="45">
      <c r="A286" s="78" t="s">
        <v>1391</v>
      </c>
      <c r="B286" s="78" t="s">
        <v>1443</v>
      </c>
      <c r="C286" s="78" t="s">
        <v>1445</v>
      </c>
      <c r="D286" s="79">
        <v>300000</v>
      </c>
    </row>
    <row r="287" spans="1:4" ht="75">
      <c r="A287" s="78" t="s">
        <v>1391</v>
      </c>
      <c r="B287" s="78" t="s">
        <v>1443</v>
      </c>
      <c r="C287" s="78" t="s">
        <v>1446</v>
      </c>
      <c r="D287" s="78"/>
    </row>
    <row r="288" spans="1:4" ht="45">
      <c r="A288" s="78" t="s">
        <v>1391</v>
      </c>
      <c r="B288" s="78" t="s">
        <v>1443</v>
      </c>
      <c r="C288" s="78" t="s">
        <v>1447</v>
      </c>
      <c r="D288" s="78"/>
    </row>
    <row r="289" spans="1:4" ht="60">
      <c r="A289" s="78" t="s">
        <v>1391</v>
      </c>
      <c r="B289" s="78" t="s">
        <v>1443</v>
      </c>
      <c r="C289" s="78" t="s">
        <v>1448</v>
      </c>
      <c r="D289" s="78"/>
    </row>
    <row r="290" spans="1:4" ht="60">
      <c r="A290" s="78" t="s">
        <v>1391</v>
      </c>
      <c r="B290" s="78" t="s">
        <v>1443</v>
      </c>
      <c r="C290" s="78" t="s">
        <v>1449</v>
      </c>
      <c r="D290" s="78"/>
    </row>
    <row r="291" spans="1:4" ht="60">
      <c r="A291" s="78" t="s">
        <v>1391</v>
      </c>
      <c r="B291" s="78" t="s">
        <v>1443</v>
      </c>
      <c r="C291" s="78" t="s">
        <v>1450</v>
      </c>
      <c r="D291" s="78"/>
    </row>
    <row r="292" spans="1:4" ht="45">
      <c r="A292" s="78" t="s">
        <v>1391</v>
      </c>
      <c r="B292" s="78" t="s">
        <v>1443</v>
      </c>
      <c r="C292" s="78" t="s">
        <v>1451</v>
      </c>
      <c r="D292" s="78"/>
    </row>
    <row r="293" spans="1:4" ht="45">
      <c r="A293" s="78" t="s">
        <v>1391</v>
      </c>
      <c r="B293" s="78" t="s">
        <v>1452</v>
      </c>
      <c r="C293" s="78" t="s">
        <v>1453</v>
      </c>
      <c r="D293" s="78"/>
    </row>
    <row r="294" spans="1:4" ht="45">
      <c r="A294" s="78" t="s">
        <v>1391</v>
      </c>
      <c r="B294" s="78" t="s">
        <v>1454</v>
      </c>
      <c r="C294" s="78" t="s">
        <v>1455</v>
      </c>
      <c r="D294" s="78"/>
    </row>
    <row r="295" spans="1:4" ht="60">
      <c r="A295" s="78" t="s">
        <v>1391</v>
      </c>
      <c r="B295" s="78" t="s">
        <v>1456</v>
      </c>
      <c r="C295" s="78" t="s">
        <v>1457</v>
      </c>
      <c r="D295" s="78"/>
    </row>
    <row r="296" spans="1:4" ht="45">
      <c r="A296" s="78" t="s">
        <v>1391</v>
      </c>
      <c r="B296" s="78" t="s">
        <v>1458</v>
      </c>
      <c r="C296" s="78" t="s">
        <v>1459</v>
      </c>
      <c r="D296" s="79">
        <v>30000</v>
      </c>
    </row>
    <row r="297" spans="1:4" ht="60">
      <c r="A297" s="78" t="s">
        <v>1391</v>
      </c>
      <c r="B297" s="78" t="s">
        <v>1460</v>
      </c>
      <c r="C297" s="78" t="s">
        <v>1461</v>
      </c>
      <c r="D297" s="78"/>
    </row>
    <row r="298" spans="1:4" ht="30">
      <c r="A298" s="78" t="s">
        <v>1391</v>
      </c>
      <c r="B298" s="78" t="s">
        <v>1462</v>
      </c>
      <c r="C298" s="78" t="s">
        <v>1463</v>
      </c>
      <c r="D298" s="79">
        <v>200000</v>
      </c>
    </row>
    <row r="299" spans="1:4" ht="45">
      <c r="A299" s="78" t="s">
        <v>1391</v>
      </c>
      <c r="B299" s="78" t="s">
        <v>1464</v>
      </c>
      <c r="C299" s="78" t="s">
        <v>1465</v>
      </c>
      <c r="D299" s="78"/>
    </row>
    <row r="300" spans="1:4" ht="45">
      <c r="A300" s="78" t="s">
        <v>1391</v>
      </c>
      <c r="B300" s="78" t="s">
        <v>1464</v>
      </c>
      <c r="C300" s="78" t="s">
        <v>1466</v>
      </c>
      <c r="D300" s="78"/>
    </row>
    <row r="301" spans="1:4" ht="45">
      <c r="A301" s="78" t="s">
        <v>1391</v>
      </c>
      <c r="B301" s="78" t="s">
        <v>1464</v>
      </c>
      <c r="C301" s="78" t="s">
        <v>1467</v>
      </c>
      <c r="D301" s="78"/>
    </row>
    <row r="302" spans="1:4" ht="45">
      <c r="A302" s="78" t="s">
        <v>1391</v>
      </c>
      <c r="B302" s="78" t="s">
        <v>1464</v>
      </c>
      <c r="C302" s="78" t="s">
        <v>1468</v>
      </c>
      <c r="D302" s="79">
        <v>22000</v>
      </c>
    </row>
    <row r="303" spans="1:4" ht="60">
      <c r="A303" s="78" t="s">
        <v>1391</v>
      </c>
      <c r="B303" s="78" t="s">
        <v>1464</v>
      </c>
      <c r="C303" s="78" t="s">
        <v>1469</v>
      </c>
      <c r="D303" s="78"/>
    </row>
    <row r="304" spans="1:4" ht="60">
      <c r="A304" s="78" t="s">
        <v>1391</v>
      </c>
      <c r="B304" s="78" t="s">
        <v>1464</v>
      </c>
      <c r="C304" s="78" t="s">
        <v>1470</v>
      </c>
      <c r="D304" s="78"/>
    </row>
    <row r="305" spans="1:4" ht="30">
      <c r="A305" s="78" t="s">
        <v>1391</v>
      </c>
      <c r="B305" s="78" t="s">
        <v>1471</v>
      </c>
      <c r="C305" s="78" t="s">
        <v>1472</v>
      </c>
      <c r="D305" s="79">
        <v>60000</v>
      </c>
    </row>
    <row r="306" spans="1:4" ht="60">
      <c r="A306" s="78" t="s">
        <v>1391</v>
      </c>
      <c r="B306" s="78" t="s">
        <v>1473</v>
      </c>
      <c r="C306" s="78" t="s">
        <v>1474</v>
      </c>
      <c r="D306" s="78"/>
    </row>
    <row r="307" spans="1:4" ht="30">
      <c r="A307" s="78" t="s">
        <v>1391</v>
      </c>
      <c r="B307" s="78" t="s">
        <v>1475</v>
      </c>
      <c r="C307" s="78" t="s">
        <v>1476</v>
      </c>
      <c r="D307" s="78"/>
    </row>
    <row r="308" spans="1:4" ht="45">
      <c r="A308" s="78" t="s">
        <v>1391</v>
      </c>
      <c r="B308" s="78" t="s">
        <v>1477</v>
      </c>
      <c r="C308" s="78" t="s">
        <v>1478</v>
      </c>
      <c r="D308" s="78"/>
    </row>
    <row r="309" spans="1:4">
      <c r="A309" s="78" t="s">
        <v>1391</v>
      </c>
      <c r="B309" s="78" t="s">
        <v>1479</v>
      </c>
      <c r="C309" s="78" t="s">
        <v>1480</v>
      </c>
      <c r="D309" s="79">
        <v>120000</v>
      </c>
    </row>
    <row r="310" spans="1:4" ht="45">
      <c r="A310" s="78" t="s">
        <v>1391</v>
      </c>
      <c r="B310" s="78" t="s">
        <v>1479</v>
      </c>
      <c r="C310" s="78" t="s">
        <v>1481</v>
      </c>
      <c r="D310" s="79">
        <v>82500</v>
      </c>
    </row>
    <row r="311" spans="1:4" ht="30">
      <c r="A311" s="78" t="s">
        <v>1391</v>
      </c>
      <c r="B311" s="78" t="s">
        <v>1482</v>
      </c>
      <c r="C311" s="78" t="s">
        <v>1483</v>
      </c>
      <c r="D311" s="78"/>
    </row>
    <row r="312" spans="1:4" ht="30">
      <c r="A312" s="78" t="s">
        <v>1391</v>
      </c>
      <c r="B312" s="78" t="s">
        <v>1482</v>
      </c>
      <c r="C312" s="78" t="s">
        <v>1484</v>
      </c>
      <c r="D312" s="79">
        <v>1800</v>
      </c>
    </row>
    <row r="313" spans="1:4" ht="30">
      <c r="A313" s="78" t="s">
        <v>1391</v>
      </c>
      <c r="B313" s="78" t="s">
        <v>1482</v>
      </c>
      <c r="C313" s="78" t="s">
        <v>1485</v>
      </c>
      <c r="D313" s="79">
        <v>10000</v>
      </c>
    </row>
    <row r="314" spans="1:4" ht="30">
      <c r="A314" s="78" t="s">
        <v>1391</v>
      </c>
      <c r="B314" s="78" t="s">
        <v>1482</v>
      </c>
      <c r="C314" s="78" t="s">
        <v>1486</v>
      </c>
      <c r="D314" s="79">
        <v>30000</v>
      </c>
    </row>
    <row r="315" spans="1:4" ht="30">
      <c r="A315" s="78" t="s">
        <v>1391</v>
      </c>
      <c r="B315" s="78" t="s">
        <v>1482</v>
      </c>
      <c r="C315" s="78" t="s">
        <v>1487</v>
      </c>
      <c r="D315" s="79">
        <v>1000</v>
      </c>
    </row>
    <row r="316" spans="1:4" ht="30">
      <c r="A316" s="78" t="s">
        <v>1391</v>
      </c>
      <c r="B316" s="78" t="s">
        <v>1482</v>
      </c>
      <c r="C316" s="78" t="s">
        <v>1488</v>
      </c>
      <c r="D316" s="78">
        <v>500</v>
      </c>
    </row>
    <row r="317" spans="1:4" ht="30">
      <c r="A317" s="78" t="s">
        <v>1391</v>
      </c>
      <c r="B317" s="78" t="s">
        <v>1489</v>
      </c>
      <c r="C317" s="78" t="s">
        <v>1490</v>
      </c>
      <c r="D317" s="79">
        <v>10000</v>
      </c>
    </row>
    <row r="318" spans="1:4" ht="45">
      <c r="A318" s="78" t="s">
        <v>1391</v>
      </c>
      <c r="B318" s="78" t="s">
        <v>1491</v>
      </c>
      <c r="C318" s="78" t="s">
        <v>1492</v>
      </c>
      <c r="D318" s="78"/>
    </row>
    <row r="319" spans="1:4" ht="30">
      <c r="A319" s="78" t="s">
        <v>1391</v>
      </c>
      <c r="B319" s="78" t="s">
        <v>1493</v>
      </c>
      <c r="C319" s="78" t="s">
        <v>1494</v>
      </c>
      <c r="D319" s="78"/>
    </row>
    <row r="320" spans="1:4" ht="75">
      <c r="A320" s="78" t="s">
        <v>1391</v>
      </c>
      <c r="B320" s="78" t="s">
        <v>1495</v>
      </c>
      <c r="C320" s="78" t="s">
        <v>1496</v>
      </c>
      <c r="D320" s="79">
        <v>60000</v>
      </c>
    </row>
    <row r="321" spans="1:4" ht="60">
      <c r="A321" s="78" t="s">
        <v>1391</v>
      </c>
      <c r="B321" s="78" t="s">
        <v>1495</v>
      </c>
      <c r="C321" s="78" t="s">
        <v>1497</v>
      </c>
      <c r="D321" s="78"/>
    </row>
    <row r="322" spans="1:4" ht="60">
      <c r="A322" s="78" t="s">
        <v>1391</v>
      </c>
      <c r="B322" s="78" t="s">
        <v>1495</v>
      </c>
      <c r="C322" s="78" t="s">
        <v>1498</v>
      </c>
      <c r="D322" s="78"/>
    </row>
    <row r="323" spans="1:4" ht="60">
      <c r="A323" s="78" t="s">
        <v>1391</v>
      </c>
      <c r="B323" s="78" t="s">
        <v>1495</v>
      </c>
      <c r="C323" s="78" t="s">
        <v>1499</v>
      </c>
      <c r="D323" s="78"/>
    </row>
    <row r="324" spans="1:4" ht="45">
      <c r="A324" s="78" t="s">
        <v>1391</v>
      </c>
      <c r="B324" s="78" t="s">
        <v>1500</v>
      </c>
      <c r="C324" s="78" t="s">
        <v>1501</v>
      </c>
      <c r="D324" s="79">
        <v>450000</v>
      </c>
    </row>
    <row r="325" spans="1:4" ht="60">
      <c r="A325" s="78" t="s">
        <v>1391</v>
      </c>
      <c r="B325" s="78" t="s">
        <v>1502</v>
      </c>
      <c r="C325" s="78" t="s">
        <v>1503</v>
      </c>
      <c r="D325" s="78"/>
    </row>
    <row r="326" spans="1:4" ht="60">
      <c r="A326" s="78" t="s">
        <v>1391</v>
      </c>
      <c r="B326" s="78" t="s">
        <v>1504</v>
      </c>
      <c r="C326" s="78" t="s">
        <v>1505</v>
      </c>
      <c r="D326" s="78"/>
    </row>
    <row r="327" spans="1:4" ht="30">
      <c r="A327" s="78" t="s">
        <v>1391</v>
      </c>
      <c r="B327" s="78" t="s">
        <v>1506</v>
      </c>
      <c r="C327" s="78" t="s">
        <v>1507</v>
      </c>
      <c r="D327" s="79">
        <v>40000</v>
      </c>
    </row>
    <row r="328" spans="1:4" ht="60">
      <c r="A328" s="78" t="s">
        <v>1391</v>
      </c>
      <c r="B328" s="78" t="s">
        <v>1508</v>
      </c>
      <c r="C328" s="78" t="s">
        <v>1509</v>
      </c>
      <c r="D328" s="78"/>
    </row>
    <row r="329" spans="1:4" ht="45">
      <c r="A329" s="78" t="s">
        <v>1391</v>
      </c>
      <c r="B329" s="78" t="s">
        <v>1508</v>
      </c>
      <c r="C329" s="78" t="s">
        <v>1510</v>
      </c>
      <c r="D329" s="78"/>
    </row>
    <row r="330" spans="1:4" ht="60">
      <c r="A330" s="78" t="s">
        <v>1391</v>
      </c>
      <c r="B330" s="78" t="s">
        <v>1508</v>
      </c>
      <c r="C330" s="78" t="s">
        <v>1511</v>
      </c>
      <c r="D330" s="78"/>
    </row>
    <row r="331" spans="1:4" ht="30">
      <c r="A331" s="78" t="s">
        <v>1391</v>
      </c>
      <c r="B331" s="78" t="s">
        <v>1512</v>
      </c>
      <c r="C331" s="78" t="s">
        <v>1513</v>
      </c>
      <c r="D331" s="79">
        <v>12000</v>
      </c>
    </row>
    <row r="332" spans="1:4" ht="60">
      <c r="A332" s="78" t="s">
        <v>1391</v>
      </c>
      <c r="B332" s="78" t="s">
        <v>1512</v>
      </c>
      <c r="C332" s="78" t="s">
        <v>1514</v>
      </c>
      <c r="D332" s="78"/>
    </row>
    <row r="333" spans="1:4" ht="60">
      <c r="A333" s="78" t="s">
        <v>1391</v>
      </c>
      <c r="B333" s="78" t="s">
        <v>1515</v>
      </c>
      <c r="C333" s="78" t="s">
        <v>1516</v>
      </c>
      <c r="D333" s="79">
        <v>12000</v>
      </c>
    </row>
    <row r="334" spans="1:4" ht="60">
      <c r="A334" s="78" t="s">
        <v>1391</v>
      </c>
      <c r="B334" s="78" t="s">
        <v>1517</v>
      </c>
      <c r="C334" s="78" t="s">
        <v>1518</v>
      </c>
      <c r="D334" s="78"/>
    </row>
    <row r="335" spans="1:4" ht="60">
      <c r="A335" s="78" t="s">
        <v>1391</v>
      </c>
      <c r="B335" s="78" t="s">
        <v>1519</v>
      </c>
      <c r="C335" s="78" t="s">
        <v>1520</v>
      </c>
      <c r="D335" s="78"/>
    </row>
    <row r="336" spans="1:4" ht="60">
      <c r="A336" s="78" t="s">
        <v>1391</v>
      </c>
      <c r="B336" s="78" t="s">
        <v>1519</v>
      </c>
      <c r="C336" s="78" t="s">
        <v>1521</v>
      </c>
      <c r="D336" s="78"/>
    </row>
    <row r="337" spans="1:4" ht="45">
      <c r="A337" s="78" t="s">
        <v>1391</v>
      </c>
      <c r="B337" s="78" t="s">
        <v>1522</v>
      </c>
      <c r="C337" s="78" t="s">
        <v>1523</v>
      </c>
      <c r="D337" s="78"/>
    </row>
    <row r="338" spans="1:4" ht="60">
      <c r="A338" s="78" t="s">
        <v>1391</v>
      </c>
      <c r="B338" s="78" t="s">
        <v>1522</v>
      </c>
      <c r="C338" s="78" t="s">
        <v>1524</v>
      </c>
      <c r="D338" s="78"/>
    </row>
    <row r="339" spans="1:4" ht="45">
      <c r="A339" s="78" t="s">
        <v>1391</v>
      </c>
      <c r="B339" s="78" t="s">
        <v>1525</v>
      </c>
      <c r="C339" s="78" t="s">
        <v>1526</v>
      </c>
      <c r="D339" s="78"/>
    </row>
    <row r="340" spans="1:4" ht="60">
      <c r="A340" s="78" t="s">
        <v>1391</v>
      </c>
      <c r="B340" s="78" t="s">
        <v>1527</v>
      </c>
      <c r="C340" s="78" t="s">
        <v>1528</v>
      </c>
      <c r="D340" s="78"/>
    </row>
    <row r="341" spans="1:4" ht="45">
      <c r="A341" s="78" t="s">
        <v>1391</v>
      </c>
      <c r="B341" s="78" t="s">
        <v>1527</v>
      </c>
      <c r="C341" s="78" t="s">
        <v>1529</v>
      </c>
      <c r="D341" s="78"/>
    </row>
    <row r="342" spans="1:4" ht="45">
      <c r="A342" s="78" t="s">
        <v>1391</v>
      </c>
      <c r="B342" s="78" t="s">
        <v>1530</v>
      </c>
      <c r="C342" s="78" t="s">
        <v>1531</v>
      </c>
      <c r="D342" s="78"/>
    </row>
    <row r="343" spans="1:4" ht="45">
      <c r="A343" s="78" t="s">
        <v>1391</v>
      </c>
      <c r="B343" s="78" t="s">
        <v>1530</v>
      </c>
      <c r="C343" s="78" t="s">
        <v>1418</v>
      </c>
      <c r="D343" s="79">
        <v>250000</v>
      </c>
    </row>
    <row r="344" spans="1:4" ht="30">
      <c r="A344" s="78" t="s">
        <v>1391</v>
      </c>
      <c r="B344" s="78" t="s">
        <v>1532</v>
      </c>
      <c r="C344" s="78" t="s">
        <v>1533</v>
      </c>
      <c r="D344" s="79">
        <v>1000</v>
      </c>
    </row>
    <row r="345" spans="1:4" ht="60">
      <c r="A345" s="78" t="s">
        <v>1391</v>
      </c>
      <c r="B345" s="78" t="s">
        <v>1532</v>
      </c>
      <c r="C345" s="78" t="s">
        <v>1534</v>
      </c>
      <c r="D345" s="78"/>
    </row>
    <row r="346" spans="1:4" ht="60">
      <c r="A346" s="78" t="s">
        <v>1391</v>
      </c>
      <c r="B346" s="78" t="s">
        <v>1532</v>
      </c>
      <c r="C346" s="78" t="s">
        <v>1535</v>
      </c>
      <c r="D346" s="78"/>
    </row>
    <row r="347" spans="1:4" ht="60">
      <c r="A347" s="78" t="s">
        <v>1391</v>
      </c>
      <c r="B347" s="78" t="s">
        <v>1532</v>
      </c>
      <c r="C347" s="78" t="s">
        <v>1536</v>
      </c>
      <c r="D347" s="78"/>
    </row>
    <row r="348" spans="1:4" ht="60">
      <c r="A348" s="78" t="s">
        <v>1391</v>
      </c>
      <c r="B348" s="78" t="s">
        <v>1532</v>
      </c>
      <c r="C348" s="78" t="s">
        <v>1537</v>
      </c>
      <c r="D348" s="78"/>
    </row>
    <row r="349" spans="1:4" ht="60">
      <c r="A349" s="78" t="s">
        <v>1391</v>
      </c>
      <c r="B349" s="78" t="s">
        <v>1532</v>
      </c>
      <c r="C349" s="78" t="s">
        <v>1538</v>
      </c>
      <c r="D349" s="78"/>
    </row>
    <row r="350" spans="1:4" ht="60">
      <c r="A350" s="78" t="s">
        <v>1391</v>
      </c>
      <c r="B350" s="78" t="s">
        <v>1532</v>
      </c>
      <c r="C350" s="78" t="s">
        <v>1539</v>
      </c>
      <c r="D350" s="78"/>
    </row>
    <row r="351" spans="1:4" ht="60">
      <c r="A351" s="78" t="s">
        <v>1391</v>
      </c>
      <c r="B351" s="78" t="s">
        <v>1532</v>
      </c>
      <c r="C351" s="78" t="s">
        <v>1540</v>
      </c>
      <c r="D351" s="78"/>
    </row>
    <row r="352" spans="1:4" ht="45">
      <c r="A352" s="78" t="s">
        <v>1391</v>
      </c>
      <c r="B352" s="78" t="s">
        <v>1532</v>
      </c>
      <c r="C352" s="78" t="s">
        <v>1541</v>
      </c>
      <c r="D352" s="78"/>
    </row>
    <row r="353" spans="1:4" ht="75">
      <c r="A353" s="78" t="s">
        <v>1391</v>
      </c>
      <c r="B353" s="78" t="s">
        <v>1532</v>
      </c>
      <c r="C353" s="78" t="s">
        <v>1542</v>
      </c>
      <c r="D353" s="78"/>
    </row>
    <row r="354" spans="1:4" ht="45">
      <c r="A354" s="78" t="s">
        <v>1391</v>
      </c>
      <c r="B354" s="78" t="s">
        <v>1532</v>
      </c>
      <c r="C354" s="78" t="s">
        <v>1543</v>
      </c>
      <c r="D354" s="78"/>
    </row>
    <row r="355" spans="1:4" ht="60">
      <c r="A355" s="78" t="s">
        <v>1391</v>
      </c>
      <c r="B355" s="78" t="s">
        <v>1532</v>
      </c>
      <c r="C355" s="78" t="s">
        <v>1544</v>
      </c>
      <c r="D355" s="78"/>
    </row>
    <row r="356" spans="1:4" ht="60">
      <c r="A356" s="78" t="s">
        <v>1391</v>
      </c>
      <c r="B356" s="78" t="s">
        <v>1532</v>
      </c>
      <c r="C356" s="78" t="s">
        <v>1545</v>
      </c>
      <c r="D356" s="78"/>
    </row>
    <row r="357" spans="1:4" ht="45">
      <c r="A357" s="78" t="s">
        <v>1391</v>
      </c>
      <c r="B357" s="78" t="s">
        <v>1532</v>
      </c>
      <c r="C357" s="78" t="s">
        <v>1546</v>
      </c>
      <c r="D357" s="78"/>
    </row>
    <row r="358" spans="1:4" ht="75">
      <c r="A358" s="78" t="s">
        <v>1391</v>
      </c>
      <c r="B358" s="78" t="s">
        <v>1532</v>
      </c>
      <c r="C358" s="78" t="s">
        <v>1547</v>
      </c>
      <c r="D358" s="78"/>
    </row>
    <row r="359" spans="1:4" ht="60">
      <c r="A359" s="78" t="s">
        <v>1391</v>
      </c>
      <c r="B359" s="78" t="s">
        <v>1532</v>
      </c>
      <c r="C359" s="78" t="s">
        <v>1548</v>
      </c>
      <c r="D359" s="78"/>
    </row>
    <row r="360" spans="1:4" ht="45">
      <c r="A360" s="78" t="s">
        <v>1391</v>
      </c>
      <c r="B360" s="78" t="s">
        <v>1532</v>
      </c>
      <c r="C360" s="78" t="s">
        <v>1549</v>
      </c>
      <c r="D360" s="78"/>
    </row>
    <row r="361" spans="1:4" ht="75">
      <c r="A361" s="78" t="s">
        <v>1391</v>
      </c>
      <c r="B361" s="78" t="s">
        <v>1532</v>
      </c>
      <c r="C361" s="78" t="s">
        <v>1550</v>
      </c>
      <c r="D361" s="78"/>
    </row>
    <row r="362" spans="1:4" ht="60">
      <c r="A362" s="78" t="s">
        <v>1391</v>
      </c>
      <c r="B362" s="78" t="s">
        <v>1532</v>
      </c>
      <c r="C362" s="78" t="s">
        <v>1551</v>
      </c>
      <c r="D362" s="78"/>
    </row>
    <row r="363" spans="1:4" ht="60">
      <c r="A363" s="78" t="s">
        <v>1391</v>
      </c>
      <c r="B363" s="78" t="s">
        <v>1532</v>
      </c>
      <c r="C363" s="78" t="s">
        <v>1552</v>
      </c>
      <c r="D363" s="78"/>
    </row>
    <row r="364" spans="1:4" ht="45">
      <c r="A364" s="78" t="s">
        <v>1391</v>
      </c>
      <c r="B364" s="78" t="s">
        <v>1532</v>
      </c>
      <c r="C364" s="78" t="s">
        <v>1553</v>
      </c>
      <c r="D364" s="78"/>
    </row>
    <row r="365" spans="1:4" ht="60">
      <c r="A365" s="78" t="s">
        <v>1391</v>
      </c>
      <c r="B365" s="78" t="s">
        <v>1532</v>
      </c>
      <c r="C365" s="78" t="s">
        <v>1554</v>
      </c>
      <c r="D365" s="78"/>
    </row>
    <row r="366" spans="1:4" ht="60">
      <c r="A366" s="78" t="s">
        <v>1391</v>
      </c>
      <c r="B366" s="78" t="s">
        <v>1532</v>
      </c>
      <c r="C366" s="78" t="s">
        <v>1555</v>
      </c>
      <c r="D366" s="78"/>
    </row>
    <row r="367" spans="1:4" ht="60">
      <c r="A367" s="78" t="s">
        <v>1391</v>
      </c>
      <c r="B367" s="78" t="s">
        <v>1532</v>
      </c>
      <c r="C367" s="78" t="s">
        <v>1556</v>
      </c>
      <c r="D367" s="78"/>
    </row>
    <row r="368" spans="1:4" ht="45">
      <c r="A368" s="78" t="s">
        <v>1391</v>
      </c>
      <c r="B368" s="78" t="s">
        <v>1532</v>
      </c>
      <c r="C368" s="78" t="s">
        <v>1557</v>
      </c>
      <c r="D368" s="78"/>
    </row>
    <row r="369" spans="1:4" ht="30">
      <c r="A369" s="78" t="s">
        <v>1391</v>
      </c>
      <c r="B369" s="78" t="s">
        <v>1532</v>
      </c>
      <c r="C369" s="78" t="s">
        <v>1558</v>
      </c>
      <c r="D369" s="78"/>
    </row>
    <row r="370" spans="1:4" ht="60">
      <c r="A370" s="78" t="s">
        <v>1391</v>
      </c>
      <c r="B370" s="78" t="s">
        <v>1532</v>
      </c>
      <c r="C370" s="78" t="s">
        <v>1559</v>
      </c>
      <c r="D370" s="78"/>
    </row>
    <row r="371" spans="1:4" ht="45">
      <c r="A371" s="78" t="s">
        <v>1391</v>
      </c>
      <c r="B371" s="78" t="s">
        <v>1532</v>
      </c>
      <c r="C371" s="78" t="s">
        <v>1560</v>
      </c>
      <c r="D371" s="78"/>
    </row>
    <row r="372" spans="1:4" ht="60">
      <c r="A372" s="78" t="s">
        <v>1391</v>
      </c>
      <c r="B372" s="78" t="s">
        <v>1532</v>
      </c>
      <c r="C372" s="78" t="s">
        <v>1561</v>
      </c>
      <c r="D372" s="78"/>
    </row>
    <row r="373" spans="1:4" ht="45">
      <c r="A373" s="78" t="s">
        <v>1391</v>
      </c>
      <c r="B373" s="78" t="s">
        <v>1532</v>
      </c>
      <c r="C373" s="78" t="s">
        <v>1562</v>
      </c>
      <c r="D373" s="78"/>
    </row>
    <row r="374" spans="1:4" ht="45">
      <c r="A374" s="78" t="s">
        <v>1391</v>
      </c>
      <c r="B374" s="78" t="s">
        <v>1532</v>
      </c>
      <c r="C374" s="78" t="s">
        <v>1563</v>
      </c>
      <c r="D374" s="78"/>
    </row>
    <row r="375" spans="1:4" ht="45">
      <c r="A375" s="78" t="s">
        <v>1391</v>
      </c>
      <c r="B375" s="78" t="s">
        <v>1532</v>
      </c>
      <c r="C375" s="78" t="s">
        <v>1564</v>
      </c>
      <c r="D375" s="78"/>
    </row>
    <row r="376" spans="1:4" ht="45">
      <c r="A376" s="78" t="s">
        <v>1391</v>
      </c>
      <c r="B376" s="78" t="s">
        <v>1532</v>
      </c>
      <c r="C376" s="78" t="s">
        <v>1565</v>
      </c>
      <c r="D376" s="78"/>
    </row>
    <row r="377" spans="1:4" ht="60">
      <c r="A377" s="78" t="s">
        <v>1391</v>
      </c>
      <c r="B377" s="78" t="s">
        <v>1532</v>
      </c>
      <c r="C377" s="78" t="s">
        <v>1566</v>
      </c>
      <c r="D377" s="78"/>
    </row>
    <row r="378" spans="1:4" ht="60">
      <c r="A378" s="78" t="s">
        <v>1391</v>
      </c>
      <c r="B378" s="78" t="s">
        <v>1532</v>
      </c>
      <c r="C378" s="78" t="s">
        <v>1567</v>
      </c>
      <c r="D378" s="78"/>
    </row>
    <row r="379" spans="1:4" ht="60">
      <c r="A379" s="78" t="s">
        <v>1391</v>
      </c>
      <c r="B379" s="78" t="s">
        <v>1532</v>
      </c>
      <c r="C379" s="78" t="s">
        <v>1568</v>
      </c>
      <c r="D379" s="78"/>
    </row>
    <row r="380" spans="1:4" ht="60">
      <c r="A380" s="78" t="s">
        <v>1391</v>
      </c>
      <c r="B380" s="78" t="s">
        <v>1532</v>
      </c>
      <c r="C380" s="78" t="s">
        <v>1569</v>
      </c>
      <c r="D380" s="78"/>
    </row>
    <row r="381" spans="1:4" ht="60">
      <c r="A381" s="78" t="s">
        <v>1391</v>
      </c>
      <c r="B381" s="78" t="s">
        <v>1532</v>
      </c>
      <c r="C381" s="78" t="s">
        <v>1570</v>
      </c>
      <c r="D381" s="78"/>
    </row>
    <row r="382" spans="1:4" ht="45">
      <c r="A382" s="78" t="s">
        <v>1391</v>
      </c>
      <c r="B382" s="78" t="s">
        <v>1532</v>
      </c>
      <c r="C382" s="78" t="s">
        <v>1571</v>
      </c>
      <c r="D382" s="78"/>
    </row>
    <row r="383" spans="1:4" ht="60">
      <c r="A383" s="78" t="s">
        <v>1391</v>
      </c>
      <c r="B383" s="78" t="s">
        <v>1532</v>
      </c>
      <c r="C383" s="78" t="s">
        <v>1572</v>
      </c>
      <c r="D383" s="78"/>
    </row>
    <row r="384" spans="1:4" ht="60">
      <c r="A384" s="78" t="s">
        <v>1391</v>
      </c>
      <c r="B384" s="78" t="s">
        <v>1532</v>
      </c>
      <c r="C384" s="78" t="s">
        <v>1573</v>
      </c>
      <c r="D384" s="78"/>
    </row>
    <row r="385" spans="1:4" ht="60">
      <c r="A385" s="78" t="s">
        <v>1391</v>
      </c>
      <c r="B385" s="78" t="s">
        <v>1532</v>
      </c>
      <c r="C385" s="78" t="s">
        <v>1574</v>
      </c>
      <c r="D385" s="78"/>
    </row>
    <row r="386" spans="1:4" ht="60">
      <c r="A386" s="78" t="s">
        <v>1391</v>
      </c>
      <c r="B386" s="78" t="s">
        <v>1532</v>
      </c>
      <c r="C386" s="78" t="s">
        <v>1575</v>
      </c>
      <c r="D386" s="78"/>
    </row>
    <row r="387" spans="1:4" ht="75">
      <c r="A387" s="78" t="s">
        <v>1391</v>
      </c>
      <c r="B387" s="78" t="s">
        <v>1532</v>
      </c>
      <c r="C387" s="78" t="s">
        <v>1576</v>
      </c>
      <c r="D387" s="78"/>
    </row>
    <row r="388" spans="1:4" ht="60">
      <c r="A388" s="78" t="s">
        <v>1391</v>
      </c>
      <c r="B388" s="78" t="s">
        <v>1532</v>
      </c>
      <c r="C388" s="78" t="s">
        <v>1577</v>
      </c>
      <c r="D388" s="78"/>
    </row>
    <row r="389" spans="1:4" ht="75">
      <c r="A389" s="78" t="s">
        <v>1391</v>
      </c>
      <c r="B389" s="78" t="s">
        <v>1532</v>
      </c>
      <c r="C389" s="78" t="s">
        <v>1578</v>
      </c>
      <c r="D389" s="78"/>
    </row>
    <row r="390" spans="1:4" ht="60">
      <c r="A390" s="78" t="s">
        <v>1391</v>
      </c>
      <c r="B390" s="78" t="s">
        <v>1532</v>
      </c>
      <c r="C390" s="78" t="s">
        <v>1579</v>
      </c>
      <c r="D390" s="78"/>
    </row>
    <row r="391" spans="1:4" ht="60">
      <c r="A391" s="78" t="s">
        <v>1391</v>
      </c>
      <c r="B391" s="78" t="s">
        <v>1532</v>
      </c>
      <c r="C391" s="78" t="s">
        <v>1580</v>
      </c>
      <c r="D391" s="78"/>
    </row>
    <row r="392" spans="1:4" ht="30">
      <c r="A392" s="78" t="s">
        <v>1391</v>
      </c>
      <c r="B392" s="78" t="s">
        <v>1532</v>
      </c>
      <c r="C392" s="78" t="s">
        <v>1581</v>
      </c>
      <c r="D392" s="78"/>
    </row>
    <row r="393" spans="1:4" ht="75">
      <c r="A393" s="78" t="s">
        <v>1391</v>
      </c>
      <c r="B393" s="78" t="s">
        <v>1532</v>
      </c>
      <c r="C393" s="78" t="s">
        <v>1582</v>
      </c>
      <c r="D393" s="78"/>
    </row>
    <row r="394" spans="1:4" ht="60">
      <c r="A394" s="78" t="s">
        <v>1391</v>
      </c>
      <c r="B394" s="78" t="s">
        <v>1532</v>
      </c>
      <c r="C394" s="78" t="s">
        <v>1583</v>
      </c>
      <c r="D394" s="78"/>
    </row>
    <row r="395" spans="1:4" ht="75">
      <c r="A395" s="78" t="s">
        <v>1391</v>
      </c>
      <c r="B395" s="78" t="s">
        <v>1532</v>
      </c>
      <c r="C395" s="78" t="s">
        <v>1584</v>
      </c>
      <c r="D395" s="78"/>
    </row>
    <row r="396" spans="1:4" ht="75">
      <c r="A396" s="78" t="s">
        <v>1391</v>
      </c>
      <c r="B396" s="78" t="s">
        <v>1532</v>
      </c>
      <c r="C396" s="78" t="s">
        <v>1585</v>
      </c>
      <c r="D396" s="78"/>
    </row>
    <row r="397" spans="1:4" ht="60">
      <c r="A397" s="78" t="s">
        <v>1391</v>
      </c>
      <c r="B397" s="78" t="s">
        <v>1532</v>
      </c>
      <c r="C397" s="78" t="s">
        <v>1586</v>
      </c>
      <c r="D397" s="78"/>
    </row>
    <row r="398" spans="1:4" ht="60">
      <c r="A398" s="78" t="s">
        <v>1391</v>
      </c>
      <c r="B398" s="78" t="s">
        <v>1532</v>
      </c>
      <c r="C398" s="78" t="s">
        <v>1587</v>
      </c>
      <c r="D398" s="78"/>
    </row>
    <row r="399" spans="1:4" ht="60">
      <c r="A399" s="78" t="s">
        <v>1391</v>
      </c>
      <c r="B399" s="78" t="s">
        <v>1532</v>
      </c>
      <c r="C399" s="78" t="s">
        <v>1588</v>
      </c>
      <c r="D399" s="78"/>
    </row>
    <row r="400" spans="1:4" ht="75">
      <c r="A400" s="78" t="s">
        <v>1391</v>
      </c>
      <c r="B400" s="78" t="s">
        <v>1532</v>
      </c>
      <c r="C400" s="78" t="s">
        <v>1589</v>
      </c>
      <c r="D400" s="78"/>
    </row>
    <row r="401" spans="1:4" ht="60">
      <c r="A401" s="78" t="s">
        <v>1391</v>
      </c>
      <c r="B401" s="78" t="s">
        <v>1532</v>
      </c>
      <c r="C401" s="78" t="s">
        <v>1590</v>
      </c>
      <c r="D401" s="78"/>
    </row>
    <row r="402" spans="1:4" ht="45">
      <c r="A402" s="78" t="s">
        <v>1391</v>
      </c>
      <c r="B402" s="78" t="s">
        <v>1532</v>
      </c>
      <c r="C402" s="78" t="s">
        <v>1591</v>
      </c>
      <c r="D402" s="78"/>
    </row>
    <row r="403" spans="1:4" ht="45">
      <c r="A403" s="78" t="s">
        <v>1391</v>
      </c>
      <c r="B403" s="78" t="s">
        <v>1532</v>
      </c>
      <c r="C403" s="78" t="s">
        <v>1592</v>
      </c>
      <c r="D403" s="78"/>
    </row>
    <row r="404" spans="1:4" ht="60">
      <c r="A404" s="78" t="s">
        <v>1391</v>
      </c>
      <c r="B404" s="78" t="s">
        <v>1532</v>
      </c>
      <c r="C404" s="78" t="s">
        <v>1593</v>
      </c>
      <c r="D404" s="78"/>
    </row>
    <row r="405" spans="1:4" ht="30">
      <c r="A405" s="78" t="s">
        <v>1391</v>
      </c>
      <c r="B405" s="78" t="s">
        <v>1532</v>
      </c>
      <c r="C405" s="78" t="s">
        <v>1594</v>
      </c>
      <c r="D405" s="79">
        <v>4900</v>
      </c>
    </row>
    <row r="406" spans="1:4" ht="45">
      <c r="A406" s="78" t="s">
        <v>1391</v>
      </c>
      <c r="B406" s="78" t="s">
        <v>1532</v>
      </c>
      <c r="C406" s="78" t="s">
        <v>1595</v>
      </c>
      <c r="D406" s="78"/>
    </row>
    <row r="407" spans="1:4" ht="45">
      <c r="A407" s="78" t="s">
        <v>1391</v>
      </c>
      <c r="B407" s="78" t="s">
        <v>1596</v>
      </c>
      <c r="C407" s="78" t="s">
        <v>1597</v>
      </c>
      <c r="D407" s="79">
        <v>110000</v>
      </c>
    </row>
    <row r="408" spans="1:4" ht="45">
      <c r="A408" s="78" t="s">
        <v>1391</v>
      </c>
      <c r="B408" s="78" t="s">
        <v>1598</v>
      </c>
      <c r="C408" s="78" t="s">
        <v>1599</v>
      </c>
      <c r="D408" s="78"/>
    </row>
    <row r="409" spans="1:4" ht="75">
      <c r="A409" s="78" t="s">
        <v>1391</v>
      </c>
      <c r="B409" s="78" t="s">
        <v>1598</v>
      </c>
      <c r="C409" s="78" t="s">
        <v>1600</v>
      </c>
      <c r="D409" s="78"/>
    </row>
    <row r="410" spans="1:4" ht="45">
      <c r="A410" s="78" t="s">
        <v>1391</v>
      </c>
      <c r="B410" s="78" t="s">
        <v>1601</v>
      </c>
      <c r="C410" s="78" t="s">
        <v>1602</v>
      </c>
      <c r="D410" s="79">
        <v>15000</v>
      </c>
    </row>
    <row r="411" spans="1:4" ht="60">
      <c r="A411" s="78" t="s">
        <v>1391</v>
      </c>
      <c r="B411" s="78" t="s">
        <v>1603</v>
      </c>
      <c r="C411" s="78" t="s">
        <v>1604</v>
      </c>
      <c r="D411" s="78"/>
    </row>
    <row r="412" spans="1:4" ht="45">
      <c r="A412" s="78" t="s">
        <v>1391</v>
      </c>
      <c r="B412" s="78" t="s">
        <v>1605</v>
      </c>
      <c r="C412" s="78" t="s">
        <v>1606</v>
      </c>
      <c r="D412" s="79">
        <v>11500</v>
      </c>
    </row>
    <row r="413" spans="1:4" ht="45">
      <c r="A413" s="78" t="s">
        <v>1391</v>
      </c>
      <c r="B413" s="78" t="s">
        <v>1605</v>
      </c>
      <c r="C413" s="78" t="s">
        <v>1607</v>
      </c>
      <c r="D413" s="78"/>
    </row>
    <row r="414" spans="1:4" ht="45">
      <c r="A414" s="78" t="s">
        <v>1391</v>
      </c>
      <c r="B414" s="78" t="s">
        <v>1605</v>
      </c>
      <c r="C414" s="78" t="s">
        <v>1608</v>
      </c>
      <c r="D414" s="79">
        <v>8000</v>
      </c>
    </row>
    <row r="415" spans="1:4" ht="45">
      <c r="A415" s="78" t="s">
        <v>1391</v>
      </c>
      <c r="B415" s="78" t="s">
        <v>1609</v>
      </c>
      <c r="C415" s="78" t="s">
        <v>1418</v>
      </c>
      <c r="D415" s="79">
        <v>22000</v>
      </c>
    </row>
    <row r="416" spans="1:4" ht="45">
      <c r="A416" s="78" t="s">
        <v>1391</v>
      </c>
      <c r="B416" s="78" t="s">
        <v>1609</v>
      </c>
      <c r="C416" s="78" t="s">
        <v>1610</v>
      </c>
      <c r="D416" s="78"/>
    </row>
    <row r="417" spans="1:4" ht="45">
      <c r="A417" s="78" t="s">
        <v>1391</v>
      </c>
      <c r="B417" s="78" t="s">
        <v>1611</v>
      </c>
      <c r="C417" s="78" t="s">
        <v>1445</v>
      </c>
      <c r="D417" s="79">
        <v>300000</v>
      </c>
    </row>
    <row r="418" spans="1:4" ht="45">
      <c r="A418" s="78" t="s">
        <v>1391</v>
      </c>
      <c r="B418" s="78" t="s">
        <v>1612</v>
      </c>
      <c r="C418" s="78" t="s">
        <v>1613</v>
      </c>
      <c r="D418" s="78"/>
    </row>
    <row r="419" spans="1:4" ht="30">
      <c r="A419" s="78" t="s">
        <v>1391</v>
      </c>
      <c r="B419" s="78" t="s">
        <v>1612</v>
      </c>
      <c r="C419" s="78" t="s">
        <v>1614</v>
      </c>
      <c r="D419" s="79">
        <v>57000</v>
      </c>
    </row>
    <row r="420" spans="1:4" ht="30">
      <c r="A420" s="78" t="s">
        <v>1391</v>
      </c>
      <c r="B420" s="78" t="s">
        <v>1615</v>
      </c>
      <c r="C420" s="78" t="s">
        <v>1616</v>
      </c>
      <c r="D420" s="78"/>
    </row>
    <row r="421" spans="1:4" ht="30">
      <c r="A421" s="78" t="s">
        <v>1391</v>
      </c>
      <c r="B421" s="78" t="s">
        <v>1617</v>
      </c>
      <c r="C421" s="78" t="s">
        <v>1618</v>
      </c>
      <c r="D421" s="79">
        <v>15000</v>
      </c>
    </row>
    <row r="422" spans="1:4" ht="60">
      <c r="A422" s="78" t="s">
        <v>1391</v>
      </c>
      <c r="B422" s="78" t="s">
        <v>1619</v>
      </c>
      <c r="C422" s="78" t="s">
        <v>1536</v>
      </c>
      <c r="D422" s="79">
        <v>100000</v>
      </c>
    </row>
    <row r="423" spans="1:4" ht="90">
      <c r="A423" s="78" t="s">
        <v>1391</v>
      </c>
      <c r="B423" s="78" t="s">
        <v>1620</v>
      </c>
      <c r="C423" s="78" t="s">
        <v>1621</v>
      </c>
      <c r="D423" s="78"/>
    </row>
    <row r="424" spans="1:4" ht="60">
      <c r="A424" s="78" t="s">
        <v>1391</v>
      </c>
      <c r="B424" s="78" t="s">
        <v>1620</v>
      </c>
      <c r="C424" s="78" t="s">
        <v>1622</v>
      </c>
      <c r="D424" s="79">
        <v>100000</v>
      </c>
    </row>
    <row r="425" spans="1:4">
      <c r="A425" s="78" t="s">
        <v>1391</v>
      </c>
      <c r="B425" s="78" t="s">
        <v>1623</v>
      </c>
      <c r="C425" s="78" t="s">
        <v>1624</v>
      </c>
      <c r="D425" s="79">
        <v>30000</v>
      </c>
    </row>
    <row r="426" spans="1:4" ht="60">
      <c r="A426" s="78" t="s">
        <v>1391</v>
      </c>
      <c r="B426" s="78" t="s">
        <v>1623</v>
      </c>
      <c r="C426" s="78" t="s">
        <v>1625</v>
      </c>
      <c r="D426" s="78"/>
    </row>
    <row r="427" spans="1:4" ht="45">
      <c r="A427" s="78" t="s">
        <v>1391</v>
      </c>
      <c r="B427" s="78" t="s">
        <v>1623</v>
      </c>
      <c r="C427" s="78" t="s">
        <v>1626</v>
      </c>
      <c r="D427" s="79">
        <v>2000</v>
      </c>
    </row>
    <row r="428" spans="1:4" ht="60">
      <c r="A428" s="78" t="s">
        <v>1391</v>
      </c>
      <c r="B428" s="78" t="s">
        <v>1623</v>
      </c>
      <c r="C428" s="78" t="s">
        <v>1627</v>
      </c>
      <c r="D428" s="79">
        <v>100000</v>
      </c>
    </row>
    <row r="429" spans="1:4" ht="60">
      <c r="A429" s="78" t="s">
        <v>1391</v>
      </c>
      <c r="B429" s="78" t="s">
        <v>1623</v>
      </c>
      <c r="C429" s="78" t="s">
        <v>1628</v>
      </c>
      <c r="D429" s="79">
        <v>20000</v>
      </c>
    </row>
    <row r="430" spans="1:4" ht="60">
      <c r="A430" s="78" t="s">
        <v>1391</v>
      </c>
      <c r="B430" s="78" t="s">
        <v>1623</v>
      </c>
      <c r="C430" s="78" t="s">
        <v>1629</v>
      </c>
      <c r="D430" s="78"/>
    </row>
    <row r="431" spans="1:4" ht="45">
      <c r="A431" s="78" t="s">
        <v>1391</v>
      </c>
      <c r="B431" s="78" t="s">
        <v>1623</v>
      </c>
      <c r="C431" s="78" t="s">
        <v>1630</v>
      </c>
      <c r="D431" s="78"/>
    </row>
    <row r="432" spans="1:4" ht="60">
      <c r="A432" s="78" t="s">
        <v>1391</v>
      </c>
      <c r="B432" s="78" t="s">
        <v>1623</v>
      </c>
      <c r="C432" s="78" t="s">
        <v>1631</v>
      </c>
      <c r="D432" s="78"/>
    </row>
    <row r="433" spans="1:4" ht="60">
      <c r="A433" s="78" t="s">
        <v>1391</v>
      </c>
      <c r="B433" s="78" t="s">
        <v>1623</v>
      </c>
      <c r="C433" s="78" t="s">
        <v>1632</v>
      </c>
      <c r="D433" s="79">
        <v>2500</v>
      </c>
    </row>
    <row r="434" spans="1:4" ht="45">
      <c r="A434" s="78" t="s">
        <v>1391</v>
      </c>
      <c r="B434" s="78" t="s">
        <v>1623</v>
      </c>
      <c r="C434" s="78" t="s">
        <v>1633</v>
      </c>
      <c r="D434" s="79">
        <v>300000</v>
      </c>
    </row>
    <row r="435" spans="1:4" ht="60">
      <c r="A435" s="78" t="s">
        <v>1391</v>
      </c>
      <c r="B435" s="78" t="s">
        <v>1623</v>
      </c>
      <c r="C435" s="78" t="s">
        <v>1634</v>
      </c>
      <c r="D435" s="78"/>
    </row>
    <row r="436" spans="1:4" ht="45">
      <c r="A436" s="78" t="s">
        <v>1391</v>
      </c>
      <c r="B436" s="78" t="s">
        <v>1623</v>
      </c>
      <c r="C436" s="78" t="s">
        <v>1635</v>
      </c>
      <c r="D436" s="79">
        <v>30000</v>
      </c>
    </row>
    <row r="437" spans="1:4" ht="60">
      <c r="A437" s="78" t="s">
        <v>1391</v>
      </c>
      <c r="B437" s="78" t="s">
        <v>1623</v>
      </c>
      <c r="C437" s="78" t="s">
        <v>1636</v>
      </c>
      <c r="D437" s="78"/>
    </row>
    <row r="438" spans="1:4" ht="60">
      <c r="A438" s="78" t="s">
        <v>1391</v>
      </c>
      <c r="B438" s="78" t="s">
        <v>1623</v>
      </c>
      <c r="C438" s="78" t="s">
        <v>1637</v>
      </c>
      <c r="D438" s="78"/>
    </row>
    <row r="439" spans="1:4" ht="45">
      <c r="A439" s="78" t="s">
        <v>1391</v>
      </c>
      <c r="B439" s="78" t="s">
        <v>1623</v>
      </c>
      <c r="C439" s="78" t="s">
        <v>1638</v>
      </c>
      <c r="D439" s="79">
        <v>240000</v>
      </c>
    </row>
    <row r="440" spans="1:4" ht="60">
      <c r="A440" s="78" t="s">
        <v>1391</v>
      </c>
      <c r="B440" s="78" t="s">
        <v>1623</v>
      </c>
      <c r="C440" s="78" t="s">
        <v>1639</v>
      </c>
      <c r="D440" s="79">
        <v>60000</v>
      </c>
    </row>
    <row r="441" spans="1:4" ht="45">
      <c r="A441" s="78" t="s">
        <v>1391</v>
      </c>
      <c r="B441" s="78" t="s">
        <v>1640</v>
      </c>
      <c r="C441" s="78" t="s">
        <v>1641</v>
      </c>
      <c r="D441" s="78"/>
    </row>
    <row r="442" spans="1:4" ht="60">
      <c r="A442" s="78" t="s">
        <v>1391</v>
      </c>
      <c r="B442" s="78" t="s">
        <v>1642</v>
      </c>
      <c r="C442" s="78" t="s">
        <v>1643</v>
      </c>
      <c r="D442" s="78"/>
    </row>
    <row r="443" spans="1:4" ht="30">
      <c r="A443" s="78" t="s">
        <v>1391</v>
      </c>
      <c r="B443" s="78" t="s">
        <v>1642</v>
      </c>
      <c r="C443" s="78" t="s">
        <v>1644</v>
      </c>
      <c r="D443" s="79">
        <v>5000</v>
      </c>
    </row>
    <row r="444" spans="1:4" ht="60">
      <c r="A444" s="78" t="s">
        <v>1391</v>
      </c>
      <c r="B444" s="78" t="s">
        <v>1645</v>
      </c>
      <c r="C444" s="78" t="s">
        <v>1646</v>
      </c>
      <c r="D444" s="78"/>
    </row>
    <row r="445" spans="1:4" ht="45">
      <c r="A445" s="78" t="s">
        <v>1391</v>
      </c>
      <c r="B445" s="78" t="s">
        <v>1645</v>
      </c>
      <c r="C445" s="78" t="s">
        <v>1647</v>
      </c>
      <c r="D445" s="79">
        <v>13000</v>
      </c>
    </row>
    <row r="446" spans="1:4" ht="30">
      <c r="A446" s="78" t="s">
        <v>1391</v>
      </c>
      <c r="B446" s="78" t="s">
        <v>1645</v>
      </c>
      <c r="C446" s="78" t="s">
        <v>1648</v>
      </c>
      <c r="D446" s="79">
        <v>10000</v>
      </c>
    </row>
    <row r="447" spans="1:4" ht="75">
      <c r="A447" s="78" t="s">
        <v>1391</v>
      </c>
      <c r="B447" s="78" t="s">
        <v>1645</v>
      </c>
      <c r="C447" s="78" t="s">
        <v>1649</v>
      </c>
      <c r="D447" s="78"/>
    </row>
    <row r="448" spans="1:4" ht="45">
      <c r="A448" s="78" t="s">
        <v>1391</v>
      </c>
      <c r="B448" s="78" t="s">
        <v>1645</v>
      </c>
      <c r="C448" s="78" t="s">
        <v>1650</v>
      </c>
      <c r="D448" s="79">
        <v>12000</v>
      </c>
    </row>
    <row r="449" spans="1:4" ht="45">
      <c r="A449" s="78" t="s">
        <v>1391</v>
      </c>
      <c r="B449" s="78" t="s">
        <v>1645</v>
      </c>
      <c r="C449" s="78" t="s">
        <v>1651</v>
      </c>
      <c r="D449" s="78"/>
    </row>
    <row r="450" spans="1:4" ht="75">
      <c r="A450" s="78" t="s">
        <v>1391</v>
      </c>
      <c r="B450" s="78" t="s">
        <v>1652</v>
      </c>
      <c r="C450" s="78" t="s">
        <v>1653</v>
      </c>
      <c r="D450" s="78"/>
    </row>
    <row r="451" spans="1:4" ht="45">
      <c r="A451" s="78" t="s">
        <v>1391</v>
      </c>
      <c r="B451" s="78" t="s">
        <v>1652</v>
      </c>
      <c r="C451" s="78" t="s">
        <v>1654</v>
      </c>
      <c r="D451" s="78"/>
    </row>
    <row r="452" spans="1:4" ht="45">
      <c r="A452" s="78" t="s">
        <v>1391</v>
      </c>
      <c r="B452" s="78" t="s">
        <v>1655</v>
      </c>
      <c r="C452" s="78" t="s">
        <v>1656</v>
      </c>
      <c r="D452" s="79">
        <v>110000</v>
      </c>
    </row>
    <row r="453" spans="1:4">
      <c r="A453" s="78" t="s">
        <v>1391</v>
      </c>
      <c r="B453" s="78" t="s">
        <v>1657</v>
      </c>
      <c r="C453" s="78" t="s">
        <v>1658</v>
      </c>
      <c r="D453" s="78"/>
    </row>
    <row r="454" spans="1:4" ht="45">
      <c r="A454" s="78" t="s">
        <v>1391</v>
      </c>
      <c r="B454" s="78" t="s">
        <v>1659</v>
      </c>
      <c r="C454" s="78" t="s">
        <v>1660</v>
      </c>
      <c r="D454" s="79">
        <v>270000</v>
      </c>
    </row>
    <row r="455" spans="1:4" ht="45">
      <c r="A455" s="78" t="s">
        <v>1391</v>
      </c>
      <c r="B455" s="78" t="s">
        <v>1661</v>
      </c>
      <c r="C455" s="78" t="s">
        <v>1662</v>
      </c>
      <c r="D455" s="79">
        <v>120000</v>
      </c>
    </row>
    <row r="456" spans="1:4" ht="60">
      <c r="A456" s="78" t="s">
        <v>1391</v>
      </c>
      <c r="B456" s="78" t="s">
        <v>1661</v>
      </c>
      <c r="C456" s="78" t="s">
        <v>1663</v>
      </c>
      <c r="D456" s="78"/>
    </row>
    <row r="457" spans="1:4" ht="45">
      <c r="A457" s="78" t="s">
        <v>1391</v>
      </c>
      <c r="B457" s="78" t="s">
        <v>1664</v>
      </c>
      <c r="C457" s="78" t="s">
        <v>1665</v>
      </c>
      <c r="D457" s="79">
        <v>70000</v>
      </c>
    </row>
    <row r="458" spans="1:4" ht="45">
      <c r="A458" s="78" t="s">
        <v>1391</v>
      </c>
      <c r="B458" s="78" t="s">
        <v>1664</v>
      </c>
      <c r="C458" s="78" t="s">
        <v>1666</v>
      </c>
      <c r="D458" s="79">
        <v>6000</v>
      </c>
    </row>
    <row r="459" spans="1:4" ht="45">
      <c r="A459" s="78" t="s">
        <v>1391</v>
      </c>
      <c r="B459" s="78" t="s">
        <v>1667</v>
      </c>
      <c r="C459" s="78" t="s">
        <v>1668</v>
      </c>
      <c r="D459" s="79">
        <v>10000</v>
      </c>
    </row>
    <row r="460" spans="1:4" ht="60">
      <c r="A460" s="78" t="s">
        <v>1391</v>
      </c>
      <c r="B460" s="78" t="s">
        <v>1669</v>
      </c>
      <c r="C460" s="78" t="s">
        <v>1670</v>
      </c>
      <c r="D460" s="78"/>
    </row>
    <row r="461" spans="1:4" ht="45">
      <c r="A461" s="78" t="s">
        <v>1391</v>
      </c>
      <c r="B461" s="78" t="s">
        <v>1671</v>
      </c>
      <c r="C461" s="78" t="s">
        <v>1672</v>
      </c>
      <c r="D461" s="78"/>
    </row>
    <row r="462" spans="1:4" ht="60">
      <c r="A462" s="78" t="s">
        <v>1391</v>
      </c>
      <c r="B462" s="78" t="s">
        <v>1673</v>
      </c>
      <c r="C462" s="78" t="s">
        <v>1674</v>
      </c>
      <c r="D462" s="78"/>
    </row>
    <row r="463" spans="1:4" ht="45">
      <c r="A463" s="78" t="s">
        <v>1391</v>
      </c>
      <c r="B463" s="78" t="s">
        <v>1675</v>
      </c>
      <c r="C463" s="78" t="s">
        <v>1676</v>
      </c>
      <c r="D463" s="78"/>
    </row>
    <row r="464" spans="1:4" ht="45">
      <c r="A464" s="78" t="s">
        <v>1391</v>
      </c>
      <c r="B464" s="78" t="s">
        <v>1677</v>
      </c>
      <c r="C464" s="78" t="s">
        <v>1678</v>
      </c>
      <c r="D464" s="78"/>
    </row>
    <row r="465" spans="1:4" ht="60">
      <c r="A465" s="78" t="s">
        <v>1391</v>
      </c>
      <c r="B465" s="78" t="s">
        <v>1677</v>
      </c>
      <c r="C465" s="78" t="s">
        <v>1679</v>
      </c>
      <c r="D465" s="79">
        <v>160000</v>
      </c>
    </row>
    <row r="466" spans="1:4" ht="45">
      <c r="A466" s="78" t="s">
        <v>1391</v>
      </c>
      <c r="B466" s="78" t="s">
        <v>1680</v>
      </c>
      <c r="C466" s="78" t="s">
        <v>1681</v>
      </c>
      <c r="D466" s="78"/>
    </row>
    <row r="467" spans="1:4" ht="30">
      <c r="A467" s="78" t="s">
        <v>1391</v>
      </c>
      <c r="B467" s="78" t="s">
        <v>1682</v>
      </c>
      <c r="C467" s="78" t="s">
        <v>1683</v>
      </c>
      <c r="D467" s="79">
        <v>80000</v>
      </c>
    </row>
    <row r="468" spans="1:4" ht="45">
      <c r="A468" s="78" t="s">
        <v>1391</v>
      </c>
      <c r="B468" s="78" t="s">
        <v>1684</v>
      </c>
      <c r="C468" s="78" t="s">
        <v>1685</v>
      </c>
      <c r="D468" s="78"/>
    </row>
    <row r="469" spans="1:4" ht="60">
      <c r="A469" s="78" t="s">
        <v>1391</v>
      </c>
      <c r="B469" s="78" t="s">
        <v>1686</v>
      </c>
      <c r="C469" s="78" t="s">
        <v>1687</v>
      </c>
      <c r="D469" s="78"/>
    </row>
    <row r="470" spans="1:4" ht="45">
      <c r="A470" s="78" t="s">
        <v>1391</v>
      </c>
      <c r="B470" s="78" t="s">
        <v>1688</v>
      </c>
      <c r="C470" s="78" t="s">
        <v>1689</v>
      </c>
      <c r="D470" s="79">
        <v>13500</v>
      </c>
    </row>
    <row r="471" spans="1:4" ht="45">
      <c r="A471" s="78" t="s">
        <v>1391</v>
      </c>
      <c r="B471" s="78" t="s">
        <v>1690</v>
      </c>
      <c r="C471" s="78" t="s">
        <v>1691</v>
      </c>
      <c r="D471" s="79">
        <v>50000</v>
      </c>
    </row>
    <row r="472" spans="1:4" ht="45">
      <c r="A472" s="78" t="s">
        <v>1391</v>
      </c>
      <c r="B472" s="78" t="s">
        <v>1692</v>
      </c>
      <c r="C472" s="78" t="s">
        <v>1693</v>
      </c>
      <c r="D472" s="78"/>
    </row>
    <row r="473" spans="1:4" ht="75">
      <c r="A473" s="78" t="s">
        <v>1391</v>
      </c>
      <c r="B473" s="78" t="s">
        <v>1694</v>
      </c>
      <c r="C473" s="78" t="s">
        <v>1695</v>
      </c>
      <c r="D473" s="79">
        <v>180000</v>
      </c>
    </row>
    <row r="474" spans="1:4" ht="60">
      <c r="A474" s="78" t="s">
        <v>1391</v>
      </c>
      <c r="B474" s="78" t="s">
        <v>1696</v>
      </c>
      <c r="C474" s="78" t="s">
        <v>1697</v>
      </c>
      <c r="D474" s="78"/>
    </row>
    <row r="475" spans="1:4" ht="45">
      <c r="A475" s="78" t="s">
        <v>1391</v>
      </c>
      <c r="B475" s="78" t="s">
        <v>1696</v>
      </c>
      <c r="C475" s="78" t="s">
        <v>1698</v>
      </c>
      <c r="D475" s="78"/>
    </row>
    <row r="476" spans="1:4" ht="90">
      <c r="A476" s="78" t="s">
        <v>1391</v>
      </c>
      <c r="B476" s="78" t="s">
        <v>1699</v>
      </c>
      <c r="C476" s="78" t="s">
        <v>1700</v>
      </c>
      <c r="D476" s="79">
        <v>50000</v>
      </c>
    </row>
    <row r="477" spans="1:4" ht="30">
      <c r="A477" s="78" t="s">
        <v>1391</v>
      </c>
      <c r="B477" s="78" t="s">
        <v>1699</v>
      </c>
      <c r="C477" s="78" t="s">
        <v>1701</v>
      </c>
      <c r="D477" s="79">
        <v>50000</v>
      </c>
    </row>
    <row r="478" spans="1:4" ht="30">
      <c r="A478" s="78" t="s">
        <v>1391</v>
      </c>
      <c r="B478" s="78" t="s">
        <v>1699</v>
      </c>
      <c r="C478" s="78" t="s">
        <v>1702</v>
      </c>
      <c r="D478" s="79">
        <v>50000</v>
      </c>
    </row>
    <row r="479" spans="1:4" ht="45">
      <c r="A479" s="78" t="s">
        <v>1391</v>
      </c>
      <c r="B479" s="78" t="s">
        <v>1703</v>
      </c>
      <c r="C479" s="78" t="s">
        <v>1704</v>
      </c>
      <c r="D479" s="79">
        <v>13000</v>
      </c>
    </row>
    <row r="480" spans="1:4" ht="45">
      <c r="A480" s="78" t="s">
        <v>1391</v>
      </c>
      <c r="B480" s="78" t="s">
        <v>1705</v>
      </c>
      <c r="C480" s="78" t="s">
        <v>1706</v>
      </c>
      <c r="D480" s="79">
        <v>50000</v>
      </c>
    </row>
    <row r="481" spans="1:4" ht="45">
      <c r="A481" s="78" t="s">
        <v>1391</v>
      </c>
      <c r="B481" s="78" t="s">
        <v>1707</v>
      </c>
      <c r="C481" s="78" t="s">
        <v>1708</v>
      </c>
      <c r="D481" s="78"/>
    </row>
    <row r="482" spans="1:4" ht="75">
      <c r="A482" s="78" t="s">
        <v>1391</v>
      </c>
      <c r="B482" s="78" t="s">
        <v>1709</v>
      </c>
      <c r="C482" s="78" t="s">
        <v>1710</v>
      </c>
      <c r="D482" s="78"/>
    </row>
    <row r="483" spans="1:4" ht="45">
      <c r="A483" s="78" t="s">
        <v>1391</v>
      </c>
      <c r="B483" s="78" t="s">
        <v>1711</v>
      </c>
      <c r="C483" s="78" t="s">
        <v>1418</v>
      </c>
      <c r="D483" s="78"/>
    </row>
    <row r="484" spans="1:4" ht="45">
      <c r="A484" s="78" t="s">
        <v>1391</v>
      </c>
      <c r="B484" s="78" t="s">
        <v>1712</v>
      </c>
      <c r="C484" s="78" t="s">
        <v>1713</v>
      </c>
      <c r="D484" s="78"/>
    </row>
    <row r="485" spans="1:4" ht="60">
      <c r="A485" s="78" t="s">
        <v>1391</v>
      </c>
      <c r="B485" s="78" t="s">
        <v>1712</v>
      </c>
      <c r="C485" s="78" t="s">
        <v>1714</v>
      </c>
      <c r="D485" s="78"/>
    </row>
    <row r="486" spans="1:4" ht="45">
      <c r="A486" s="78" t="s">
        <v>1391</v>
      </c>
      <c r="B486" s="78" t="s">
        <v>1715</v>
      </c>
      <c r="C486" s="78" t="s">
        <v>1716</v>
      </c>
      <c r="D486" s="79">
        <v>32000</v>
      </c>
    </row>
    <row r="487" spans="1:4" ht="60">
      <c r="A487" s="78" t="s">
        <v>1717</v>
      </c>
      <c r="B487" s="78" t="s">
        <v>1718</v>
      </c>
      <c r="C487" s="78" t="s">
        <v>1719</v>
      </c>
      <c r="D487" s="79">
        <v>6000</v>
      </c>
    </row>
    <row r="488" spans="1:4" ht="30">
      <c r="A488" s="78" t="s">
        <v>1717</v>
      </c>
      <c r="B488" s="78" t="s">
        <v>1720</v>
      </c>
      <c r="C488" s="78" t="s">
        <v>1721</v>
      </c>
      <c r="D488" s="79">
        <v>4000</v>
      </c>
    </row>
    <row r="489" spans="1:4" ht="30">
      <c r="A489" s="78" t="s">
        <v>1717</v>
      </c>
      <c r="B489" s="78" t="s">
        <v>1720</v>
      </c>
      <c r="C489" s="78" t="s">
        <v>1722</v>
      </c>
      <c r="D489" s="79">
        <v>1500</v>
      </c>
    </row>
    <row r="490" spans="1:4" ht="30">
      <c r="A490" s="78" t="s">
        <v>1717</v>
      </c>
      <c r="B490" s="78" t="s">
        <v>1723</v>
      </c>
      <c r="C490" s="78" t="s">
        <v>1724</v>
      </c>
      <c r="D490" s="79">
        <v>5000</v>
      </c>
    </row>
    <row r="491" spans="1:4" ht="60">
      <c r="A491" s="78" t="s">
        <v>1717</v>
      </c>
      <c r="B491" s="78" t="s">
        <v>1723</v>
      </c>
      <c r="C491" s="78" t="s">
        <v>1725</v>
      </c>
      <c r="D491" s="78"/>
    </row>
    <row r="492" spans="1:4" ht="30">
      <c r="A492" s="78" t="s">
        <v>1717</v>
      </c>
      <c r="B492" s="78" t="s">
        <v>1723</v>
      </c>
      <c r="C492" s="78" t="s">
        <v>1726</v>
      </c>
      <c r="D492" s="78"/>
    </row>
    <row r="493" spans="1:4" ht="30">
      <c r="A493" s="78" t="s">
        <v>1717</v>
      </c>
      <c r="B493" s="78" t="s">
        <v>1727</v>
      </c>
      <c r="C493" s="78" t="s">
        <v>1728</v>
      </c>
      <c r="D493" s="79">
        <v>2000</v>
      </c>
    </row>
    <row r="494" spans="1:4" ht="45">
      <c r="A494" s="78" t="s">
        <v>1717</v>
      </c>
      <c r="B494" s="78" t="s">
        <v>1729</v>
      </c>
      <c r="C494" s="78" t="s">
        <v>1730</v>
      </c>
      <c r="D494" s="78"/>
    </row>
    <row r="495" spans="1:4" ht="30">
      <c r="A495" s="78" t="s">
        <v>1717</v>
      </c>
      <c r="B495" s="78" t="s">
        <v>1731</v>
      </c>
      <c r="C495" s="78" t="s">
        <v>1732</v>
      </c>
      <c r="D495" s="79">
        <v>1000</v>
      </c>
    </row>
    <row r="496" spans="1:4" ht="30">
      <c r="A496" s="78" t="s">
        <v>1717</v>
      </c>
      <c r="B496" s="78" t="s">
        <v>1733</v>
      </c>
      <c r="C496" s="78" t="s">
        <v>1734</v>
      </c>
      <c r="D496" s="78"/>
    </row>
    <row r="497" spans="1:6" ht="30">
      <c r="A497" s="78" t="s">
        <v>1735</v>
      </c>
      <c r="B497" s="78" t="s">
        <v>1736</v>
      </c>
      <c r="C497" s="78" t="s">
        <v>1737</v>
      </c>
      <c r="D497" s="79">
        <v>8000</v>
      </c>
    </row>
    <row r="498" spans="1:6" ht="30">
      <c r="A498" s="78" t="s">
        <v>12</v>
      </c>
      <c r="B498" s="87" t="s">
        <v>1738</v>
      </c>
      <c r="C498" s="78" t="s">
        <v>1739</v>
      </c>
      <c r="D498" s="79">
        <v>3000</v>
      </c>
      <c r="E498" s="88" t="s">
        <v>154</v>
      </c>
      <c r="F498" s="80">
        <v>1</v>
      </c>
    </row>
    <row r="499" spans="1:6" ht="90">
      <c r="A499" s="78" t="s">
        <v>12</v>
      </c>
      <c r="B499" s="78" t="s">
        <v>1740</v>
      </c>
      <c r="C499" s="78" t="s">
        <v>1741</v>
      </c>
      <c r="D499" s="78"/>
    </row>
    <row r="500" spans="1:6" ht="45">
      <c r="A500" s="78" t="s">
        <v>624</v>
      </c>
      <c r="B500" s="78" t="s">
        <v>1742</v>
      </c>
      <c r="C500" s="78" t="s">
        <v>1743</v>
      </c>
      <c r="D500" s="78"/>
    </row>
    <row r="501" spans="1:6" ht="30">
      <c r="A501" s="78" t="s">
        <v>1744</v>
      </c>
      <c r="B501" s="78" t="s">
        <v>924</v>
      </c>
      <c r="C501" s="78" t="s">
        <v>1759</v>
      </c>
      <c r="D501" s="79">
        <v>70000</v>
      </c>
      <c r="E501" s="78" t="s">
        <v>54</v>
      </c>
      <c r="F501" s="80">
        <f>D501/257000</f>
        <v>0.2723735408560311</v>
      </c>
    </row>
    <row r="502" spans="1:6">
      <c r="A502" s="78" t="s">
        <v>1744</v>
      </c>
      <c r="B502" s="78" t="s">
        <v>1755</v>
      </c>
      <c r="C502" s="78" t="s">
        <v>1757</v>
      </c>
      <c r="D502" s="79">
        <v>15000</v>
      </c>
      <c r="E502" s="78" t="s">
        <v>53</v>
      </c>
      <c r="F502" s="80">
        <f>D502/257000</f>
        <v>5.8365758754863814E-2</v>
      </c>
    </row>
    <row r="503" spans="1:6" ht="45">
      <c r="A503" s="78" t="s">
        <v>1744</v>
      </c>
      <c r="B503" s="78" t="s">
        <v>1768</v>
      </c>
      <c r="C503" s="78" t="s">
        <v>1769</v>
      </c>
      <c r="D503" s="79">
        <v>30000</v>
      </c>
      <c r="E503" s="78" t="s">
        <v>1770</v>
      </c>
      <c r="F503" s="80">
        <f>D503/257000</f>
        <v>0.11673151750972763</v>
      </c>
    </row>
    <row r="504" spans="1:6">
      <c r="A504" s="78" t="s">
        <v>1744</v>
      </c>
      <c r="B504" s="78" t="s">
        <v>1753</v>
      </c>
      <c r="C504" s="78" t="s">
        <v>1754</v>
      </c>
      <c r="D504" s="79">
        <v>92000</v>
      </c>
      <c r="E504" s="78" t="s">
        <v>58</v>
      </c>
      <c r="F504" s="80">
        <f>D504/257000</f>
        <v>0.35797665369649806</v>
      </c>
    </row>
    <row r="505" spans="1:6" ht="30">
      <c r="A505" s="78" t="s">
        <v>1744</v>
      </c>
      <c r="B505" s="78" t="s">
        <v>1758</v>
      </c>
      <c r="C505" s="78" t="s">
        <v>1759</v>
      </c>
      <c r="D505" s="79">
        <v>50000</v>
      </c>
      <c r="E505" s="78" t="s">
        <v>57</v>
      </c>
      <c r="F505" s="80">
        <f>D505/257000</f>
        <v>0.19455252918287938</v>
      </c>
    </row>
    <row r="506" spans="1:6" ht="30">
      <c r="A506" s="78" t="s">
        <v>1744</v>
      </c>
      <c r="B506" s="78" t="s">
        <v>1745</v>
      </c>
      <c r="C506" s="78" t="s">
        <v>1746</v>
      </c>
      <c r="D506" s="78"/>
    </row>
    <row r="507" spans="1:6" ht="30">
      <c r="A507" s="78" t="s">
        <v>1744</v>
      </c>
      <c r="B507" s="78" t="s">
        <v>1747</v>
      </c>
      <c r="C507" s="78" t="s">
        <v>1748</v>
      </c>
      <c r="D507" s="78"/>
    </row>
    <row r="508" spans="1:6" ht="45">
      <c r="A508" s="78" t="s">
        <v>1744</v>
      </c>
      <c r="B508" s="78" t="s">
        <v>1749</v>
      </c>
      <c r="C508" s="78" t="s">
        <v>1750</v>
      </c>
      <c r="D508" s="78"/>
    </row>
    <row r="509" spans="1:6">
      <c r="A509" s="78" t="s">
        <v>1744</v>
      </c>
      <c r="B509" s="78" t="s">
        <v>1751</v>
      </c>
      <c r="C509" s="78" t="s">
        <v>1752</v>
      </c>
      <c r="D509" s="78"/>
    </row>
    <row r="510" spans="1:6" ht="30">
      <c r="A510" s="78" t="s">
        <v>1744</v>
      </c>
      <c r="B510" s="78" t="s">
        <v>1755</v>
      </c>
      <c r="C510" s="78" t="s">
        <v>1756</v>
      </c>
      <c r="D510" s="78"/>
    </row>
    <row r="511" spans="1:6" ht="60">
      <c r="A511" s="78" t="s">
        <v>1744</v>
      </c>
      <c r="B511" s="78" t="s">
        <v>1760</v>
      </c>
      <c r="C511" s="78" t="s">
        <v>1761</v>
      </c>
      <c r="D511" s="78"/>
    </row>
    <row r="512" spans="1:6" ht="30">
      <c r="A512" s="78" t="s">
        <v>1744</v>
      </c>
      <c r="B512" s="78" t="s">
        <v>1762</v>
      </c>
      <c r="C512" s="78" t="s">
        <v>1763</v>
      </c>
      <c r="D512" s="78"/>
    </row>
    <row r="513" spans="1:6" ht="60">
      <c r="A513" s="78" t="s">
        <v>1744</v>
      </c>
      <c r="B513" s="78" t="s">
        <v>1764</v>
      </c>
      <c r="C513" s="78" t="s">
        <v>1241</v>
      </c>
      <c r="D513" s="78"/>
    </row>
    <row r="514" spans="1:6">
      <c r="A514" s="78" t="s">
        <v>1744</v>
      </c>
      <c r="B514" s="78" t="s">
        <v>1765</v>
      </c>
      <c r="C514" s="78" t="s">
        <v>1766</v>
      </c>
      <c r="D514" s="78"/>
    </row>
    <row r="515" spans="1:6">
      <c r="A515" s="78" t="s">
        <v>1744</v>
      </c>
      <c r="B515" s="78" t="s">
        <v>1767</v>
      </c>
      <c r="C515" s="78" t="s">
        <v>1374</v>
      </c>
      <c r="D515" s="78"/>
    </row>
    <row r="516" spans="1:6">
      <c r="A516" s="78" t="s">
        <v>1744</v>
      </c>
      <c r="B516" s="78"/>
      <c r="C516" s="78" t="s">
        <v>1771</v>
      </c>
      <c r="D516" s="78"/>
    </row>
    <row r="517" spans="1:6" ht="30">
      <c r="A517" s="78" t="s">
        <v>6</v>
      </c>
      <c r="B517" s="78" t="s">
        <v>1772</v>
      </c>
      <c r="C517" s="78" t="s">
        <v>1773</v>
      </c>
      <c r="D517" s="79">
        <v>35000</v>
      </c>
      <c r="E517" s="78" t="s">
        <v>63</v>
      </c>
      <c r="F517" s="80">
        <v>1</v>
      </c>
    </row>
    <row r="518" spans="1:6" ht="30">
      <c r="A518" s="78" t="s">
        <v>1774</v>
      </c>
      <c r="B518" s="78" t="s">
        <v>1775</v>
      </c>
      <c r="C518" s="78" t="s">
        <v>1776</v>
      </c>
      <c r="D518" s="78"/>
    </row>
    <row r="519" spans="1:6" ht="30">
      <c r="A519" s="78" t="s">
        <v>1777</v>
      </c>
      <c r="B519" s="78" t="s">
        <v>1778</v>
      </c>
      <c r="C519" s="78" t="s">
        <v>1779</v>
      </c>
      <c r="D519" s="78">
        <v>400</v>
      </c>
    </row>
    <row r="520" spans="1:6" ht="45">
      <c r="A520" s="78" t="s">
        <v>1777</v>
      </c>
      <c r="B520" s="78" t="s">
        <v>1778</v>
      </c>
      <c r="C520" s="78" t="s">
        <v>1780</v>
      </c>
      <c r="D520" s="79">
        <v>4000</v>
      </c>
    </row>
    <row r="521" spans="1:6" ht="30">
      <c r="A521" s="78" t="s">
        <v>1777</v>
      </c>
      <c r="B521" s="78" t="s">
        <v>1781</v>
      </c>
      <c r="C521" s="78" t="s">
        <v>1782</v>
      </c>
      <c r="D521" s="78"/>
    </row>
    <row r="522" spans="1:6">
      <c r="A522" s="78" t="s">
        <v>1777</v>
      </c>
      <c r="B522" s="78" t="s">
        <v>1783</v>
      </c>
      <c r="C522" s="78" t="s">
        <v>1784</v>
      </c>
      <c r="D522" s="79">
        <v>5000</v>
      </c>
    </row>
    <row r="523" spans="1:6" ht="45">
      <c r="A523" s="78" t="s">
        <v>1777</v>
      </c>
      <c r="B523" s="78" t="s">
        <v>1783</v>
      </c>
      <c r="C523" s="78" t="s">
        <v>1785</v>
      </c>
      <c r="D523" s="78"/>
    </row>
    <row r="524" spans="1:6">
      <c r="A524" s="78" t="s">
        <v>1777</v>
      </c>
      <c r="B524" s="78" t="s">
        <v>1783</v>
      </c>
      <c r="C524" s="78" t="s">
        <v>1786</v>
      </c>
      <c r="D524" s="79">
        <v>3500</v>
      </c>
    </row>
    <row r="525" spans="1:6" ht="45">
      <c r="A525" s="78" t="s">
        <v>1787</v>
      </c>
      <c r="B525" s="78" t="s">
        <v>1788</v>
      </c>
      <c r="C525" s="78" t="s">
        <v>1789</v>
      </c>
      <c r="D525" s="79">
        <v>50000</v>
      </c>
    </row>
    <row r="526" spans="1:6" ht="45">
      <c r="A526" s="78" t="s">
        <v>1787</v>
      </c>
      <c r="B526" s="78" t="s">
        <v>1790</v>
      </c>
      <c r="C526" s="78" t="s">
        <v>1791</v>
      </c>
      <c r="D526" s="79">
        <v>15000</v>
      </c>
    </row>
    <row r="527" spans="1:6" ht="45">
      <c r="A527" s="78" t="s">
        <v>1787</v>
      </c>
      <c r="B527" s="78" t="s">
        <v>1790</v>
      </c>
      <c r="C527" s="78" t="s">
        <v>1792</v>
      </c>
      <c r="D527" s="79">
        <v>12000</v>
      </c>
    </row>
    <row r="528" spans="1:6" ht="30">
      <c r="A528" s="78" t="s">
        <v>1787</v>
      </c>
      <c r="B528" s="78" t="s">
        <v>1790</v>
      </c>
      <c r="C528" s="78" t="s">
        <v>1793</v>
      </c>
      <c r="D528" s="78"/>
    </row>
    <row r="529" spans="1:6" ht="30">
      <c r="A529" s="78" t="s">
        <v>1787</v>
      </c>
      <c r="B529" s="78" t="s">
        <v>1790</v>
      </c>
      <c r="C529" s="78" t="s">
        <v>1794</v>
      </c>
      <c r="D529" s="79">
        <v>6000</v>
      </c>
    </row>
    <row r="530" spans="1:6" ht="45">
      <c r="A530" s="78" t="s">
        <v>1787</v>
      </c>
      <c r="B530" s="78" t="s">
        <v>1790</v>
      </c>
      <c r="C530" s="78" t="s">
        <v>1795</v>
      </c>
      <c r="D530" s="79">
        <v>45000</v>
      </c>
    </row>
    <row r="531" spans="1:6" ht="45">
      <c r="A531" s="78" t="s">
        <v>1787</v>
      </c>
      <c r="B531" s="78" t="s">
        <v>1796</v>
      </c>
      <c r="C531" s="78" t="s">
        <v>1797</v>
      </c>
      <c r="D531" s="78"/>
    </row>
    <row r="532" spans="1:6" ht="45">
      <c r="A532" s="78" t="s">
        <v>1787</v>
      </c>
      <c r="B532" s="78" t="s">
        <v>1798</v>
      </c>
      <c r="C532" s="78" t="s">
        <v>1799</v>
      </c>
      <c r="D532" s="78"/>
    </row>
    <row r="533" spans="1:6" ht="45">
      <c r="A533" s="78" t="s">
        <v>1787</v>
      </c>
      <c r="B533" s="78" t="s">
        <v>1800</v>
      </c>
      <c r="C533" s="78" t="s">
        <v>1799</v>
      </c>
      <c r="D533" s="78"/>
    </row>
    <row r="534" spans="1:6" ht="30">
      <c r="A534" s="78" t="s">
        <v>1787</v>
      </c>
      <c r="B534" s="78" t="s">
        <v>1801</v>
      </c>
      <c r="C534" s="78" t="s">
        <v>1802</v>
      </c>
      <c r="D534" s="78"/>
    </row>
    <row r="535" spans="1:6" ht="30">
      <c r="A535" s="78" t="s">
        <v>1787</v>
      </c>
      <c r="B535" s="78" t="s">
        <v>1803</v>
      </c>
      <c r="C535" s="78" t="s">
        <v>1804</v>
      </c>
      <c r="D535" s="79">
        <v>20000</v>
      </c>
    </row>
    <row r="536" spans="1:6" ht="45">
      <c r="A536" s="78" t="s">
        <v>1787</v>
      </c>
      <c r="B536" s="78" t="s">
        <v>1805</v>
      </c>
      <c r="C536" s="78" t="s">
        <v>1806</v>
      </c>
      <c r="D536" s="79">
        <v>8400</v>
      </c>
    </row>
    <row r="537" spans="1:6" ht="45">
      <c r="A537" s="78" t="s">
        <v>1807</v>
      </c>
      <c r="B537" s="78" t="s">
        <v>1808</v>
      </c>
      <c r="C537" s="78" t="s">
        <v>1809</v>
      </c>
      <c r="D537" s="79">
        <v>3000</v>
      </c>
    </row>
    <row r="538" spans="1:6" ht="45">
      <c r="A538" s="78" t="s">
        <v>622</v>
      </c>
      <c r="B538" s="78" t="s">
        <v>1810</v>
      </c>
      <c r="C538" s="78" t="s">
        <v>1811</v>
      </c>
      <c r="D538" s="79">
        <v>18000</v>
      </c>
      <c r="E538" s="78" t="s">
        <v>383</v>
      </c>
      <c r="F538" s="80">
        <v>1</v>
      </c>
    </row>
    <row r="539" spans="1:6" ht="30">
      <c r="A539" s="78" t="s">
        <v>24</v>
      </c>
      <c r="B539" s="78" t="s">
        <v>1812</v>
      </c>
      <c r="C539" s="78" t="s">
        <v>1813</v>
      </c>
      <c r="D539" s="78"/>
    </row>
    <row r="540" spans="1:6" ht="30">
      <c r="A540" s="78" t="s">
        <v>24</v>
      </c>
      <c r="B540" s="78" t="s">
        <v>1814</v>
      </c>
      <c r="C540" s="78" t="s">
        <v>1813</v>
      </c>
      <c r="D540" s="78"/>
    </row>
    <row r="541" spans="1:6">
      <c r="A541" s="78" t="s">
        <v>24</v>
      </c>
      <c r="B541" s="78" t="s">
        <v>1815</v>
      </c>
      <c r="C541" s="78" t="s">
        <v>1816</v>
      </c>
      <c r="D541" s="78"/>
    </row>
    <row r="542" spans="1:6" ht="45">
      <c r="A542" s="78" t="s">
        <v>24</v>
      </c>
      <c r="B542" s="78" t="s">
        <v>1817</v>
      </c>
      <c r="C542" s="78" t="s">
        <v>1818</v>
      </c>
      <c r="D542" s="78"/>
    </row>
    <row r="543" spans="1:6" ht="30">
      <c r="A543" s="78" t="s">
        <v>24</v>
      </c>
      <c r="B543" s="78" t="s">
        <v>1819</v>
      </c>
      <c r="C543" s="78" t="s">
        <v>1820</v>
      </c>
      <c r="D543" s="79">
        <v>45000</v>
      </c>
      <c r="E543" s="78" t="s">
        <v>246</v>
      </c>
    </row>
    <row r="544" spans="1:6">
      <c r="A544" s="78" t="s">
        <v>24</v>
      </c>
      <c r="B544" s="78" t="s">
        <v>1821</v>
      </c>
      <c r="C544" s="78" t="s">
        <v>1822</v>
      </c>
      <c r="D544" s="78"/>
    </row>
    <row r="545" spans="1:6" ht="45">
      <c r="A545" s="78" t="s">
        <v>11</v>
      </c>
      <c r="B545" s="78" t="s">
        <v>1845</v>
      </c>
      <c r="C545" s="78" t="s">
        <v>1846</v>
      </c>
      <c r="D545" s="79">
        <v>20000</v>
      </c>
      <c r="E545" s="78" t="s">
        <v>143</v>
      </c>
      <c r="F545" s="80">
        <f t="shared" ref="F545:F556" si="2">D545/982700</f>
        <v>2.0352091177368473E-2</v>
      </c>
    </row>
    <row r="546" spans="1:6" ht="30">
      <c r="A546" s="78" t="s">
        <v>11</v>
      </c>
      <c r="B546" s="78" t="s">
        <v>1866</v>
      </c>
      <c r="C546" s="78" t="s">
        <v>1068</v>
      </c>
      <c r="D546" s="79">
        <v>21000</v>
      </c>
      <c r="E546" s="78" t="s">
        <v>143</v>
      </c>
      <c r="F546" s="80">
        <f t="shared" si="2"/>
        <v>2.1369695736236899E-2</v>
      </c>
    </row>
    <row r="547" spans="1:6" ht="75">
      <c r="A547" s="78" t="s">
        <v>11</v>
      </c>
      <c r="B547" s="78" t="s">
        <v>1885</v>
      </c>
      <c r="C547" s="78" t="s">
        <v>1886</v>
      </c>
      <c r="D547" s="79">
        <v>25000</v>
      </c>
      <c r="E547" s="78" t="s">
        <v>141</v>
      </c>
      <c r="F547" s="80">
        <f t="shared" si="2"/>
        <v>2.5440113971710594E-2</v>
      </c>
    </row>
    <row r="548" spans="1:6" ht="45">
      <c r="A548" s="78" t="s">
        <v>11</v>
      </c>
      <c r="B548" s="78" t="s">
        <v>1893</v>
      </c>
      <c r="C548" s="78" t="s">
        <v>1894</v>
      </c>
      <c r="D548" s="79">
        <v>40000</v>
      </c>
      <c r="E548" s="78" t="s">
        <v>141</v>
      </c>
      <c r="F548" s="80">
        <f t="shared" si="2"/>
        <v>4.0704182354736947E-2</v>
      </c>
    </row>
    <row r="549" spans="1:6">
      <c r="A549" s="78" t="s">
        <v>11</v>
      </c>
      <c r="B549" s="78" t="s">
        <v>1890</v>
      </c>
      <c r="C549" s="78" t="s">
        <v>1891</v>
      </c>
      <c r="D549" s="79">
        <v>50000</v>
      </c>
      <c r="E549" s="78" t="s">
        <v>137</v>
      </c>
      <c r="F549" s="80">
        <f t="shared" si="2"/>
        <v>5.0880227943421188E-2</v>
      </c>
    </row>
    <row r="550" spans="1:6" ht="30">
      <c r="A550" s="78" t="s">
        <v>11</v>
      </c>
      <c r="B550" s="78" t="s">
        <v>1843</v>
      </c>
      <c r="C550" s="78" t="s">
        <v>1844</v>
      </c>
      <c r="D550" s="79">
        <v>70000</v>
      </c>
      <c r="E550" s="78" t="s">
        <v>151</v>
      </c>
      <c r="F550" s="80">
        <f t="shared" si="2"/>
        <v>7.1232319120789658E-2</v>
      </c>
    </row>
    <row r="551" spans="1:6" ht="45">
      <c r="A551" s="78" t="s">
        <v>11</v>
      </c>
      <c r="B551" s="78" t="s">
        <v>1881</v>
      </c>
      <c r="C551" s="78" t="s">
        <v>1882</v>
      </c>
      <c r="D551" s="79">
        <v>60000</v>
      </c>
      <c r="E551" s="78" t="s">
        <v>151</v>
      </c>
      <c r="F551" s="80">
        <f t="shared" si="2"/>
        <v>6.1056273532105423E-2</v>
      </c>
    </row>
    <row r="552" spans="1:6" ht="30">
      <c r="A552" s="78" t="s">
        <v>11</v>
      </c>
      <c r="B552" s="78" t="s">
        <v>1828</v>
      </c>
      <c r="C552" s="78" t="s">
        <v>1754</v>
      </c>
      <c r="D552" s="79">
        <v>150000</v>
      </c>
      <c r="E552" s="78" t="s">
        <v>133</v>
      </c>
      <c r="F552" s="80">
        <f t="shared" si="2"/>
        <v>0.15264068383026355</v>
      </c>
    </row>
    <row r="553" spans="1:6" ht="30">
      <c r="A553" s="78" t="s">
        <v>11</v>
      </c>
      <c r="B553" s="78" t="s">
        <v>1856</v>
      </c>
      <c r="C553" s="78" t="s">
        <v>1857</v>
      </c>
      <c r="D553" s="79">
        <v>20000</v>
      </c>
      <c r="E553" s="78" t="s">
        <v>144</v>
      </c>
      <c r="F553" s="80">
        <f t="shared" si="2"/>
        <v>2.0352091177368473E-2</v>
      </c>
    </row>
    <row r="554" spans="1:6">
      <c r="A554" s="78" t="s">
        <v>11</v>
      </c>
      <c r="B554" s="78" t="s">
        <v>1853</v>
      </c>
      <c r="C554" s="78" t="s">
        <v>1754</v>
      </c>
      <c r="D554" s="79">
        <v>20000</v>
      </c>
      <c r="E554" s="78" t="s">
        <v>150</v>
      </c>
      <c r="F554" s="80">
        <f t="shared" si="2"/>
        <v>2.0352091177368473E-2</v>
      </c>
    </row>
    <row r="555" spans="1:6" ht="30">
      <c r="A555" s="78" t="s">
        <v>11</v>
      </c>
      <c r="B555" s="78" t="s">
        <v>1869</v>
      </c>
      <c r="C555" s="78" t="s">
        <v>1870</v>
      </c>
      <c r="D555" s="78">
        <v>20000</v>
      </c>
      <c r="E555" s="78" t="s">
        <v>150</v>
      </c>
      <c r="F555" s="80">
        <f t="shared" si="2"/>
        <v>2.0352091177368473E-2</v>
      </c>
    </row>
    <row r="556" spans="1:6" ht="30">
      <c r="A556" s="78" t="s">
        <v>11</v>
      </c>
      <c r="B556" s="78" t="s">
        <v>1887</v>
      </c>
      <c r="C556" s="78" t="s">
        <v>1888</v>
      </c>
      <c r="D556" s="79">
        <v>25000</v>
      </c>
      <c r="E556" s="78" t="s">
        <v>149</v>
      </c>
      <c r="F556" s="80">
        <f t="shared" si="2"/>
        <v>2.5440113971710594E-2</v>
      </c>
    </row>
    <row r="557" spans="1:6" ht="60">
      <c r="A557" s="78" t="s">
        <v>11</v>
      </c>
      <c r="B557" s="78" t="s">
        <v>1823</v>
      </c>
      <c r="C557" s="78" t="s">
        <v>1824</v>
      </c>
      <c r="D557" s="78"/>
    </row>
    <row r="558" spans="1:6" ht="60">
      <c r="A558" s="78" t="s">
        <v>11</v>
      </c>
      <c r="B558" s="78" t="s">
        <v>1825</v>
      </c>
      <c r="C558" s="78" t="s">
        <v>1826</v>
      </c>
      <c r="D558" s="78"/>
    </row>
    <row r="559" spans="1:6" ht="30">
      <c r="A559" s="78" t="s">
        <v>11</v>
      </c>
      <c r="B559" s="78" t="s">
        <v>1827</v>
      </c>
      <c r="C559" s="78" t="s">
        <v>1374</v>
      </c>
      <c r="D559" s="78"/>
    </row>
    <row r="560" spans="1:6" ht="30">
      <c r="A560" s="78" t="s">
        <v>11</v>
      </c>
      <c r="B560" s="78" t="s">
        <v>1829</v>
      </c>
      <c r="C560" s="78" t="s">
        <v>1830</v>
      </c>
      <c r="D560" s="79">
        <v>12000</v>
      </c>
      <c r="E560" s="78"/>
      <c r="F560" s="80">
        <f>D560/982700</f>
        <v>1.2211254706421084E-2</v>
      </c>
    </row>
    <row r="561" spans="1:6" ht="30">
      <c r="A561" s="78" t="s">
        <v>11</v>
      </c>
      <c r="B561" s="78" t="s">
        <v>1831</v>
      </c>
      <c r="C561" s="78" t="s">
        <v>1832</v>
      </c>
      <c r="D561" s="78"/>
    </row>
    <row r="562" spans="1:6" ht="30">
      <c r="A562" s="78" t="s">
        <v>11</v>
      </c>
      <c r="B562" s="78" t="s">
        <v>1833</v>
      </c>
      <c r="C562" s="78" t="s">
        <v>1834</v>
      </c>
      <c r="D562" s="78"/>
    </row>
    <row r="563" spans="1:6" ht="75">
      <c r="A563" s="78" t="s">
        <v>11</v>
      </c>
      <c r="B563" s="78" t="s">
        <v>1835</v>
      </c>
      <c r="C563" s="78" t="s">
        <v>1836</v>
      </c>
      <c r="D563" s="78"/>
    </row>
    <row r="564" spans="1:6" ht="30">
      <c r="A564" s="78" t="s">
        <v>11</v>
      </c>
      <c r="B564" s="78" t="s">
        <v>1837</v>
      </c>
      <c r="C564" s="78" t="s">
        <v>1838</v>
      </c>
      <c r="D564" s="78"/>
    </row>
    <row r="565" spans="1:6" ht="45">
      <c r="A565" s="78" t="s">
        <v>11</v>
      </c>
      <c r="B565" s="78" t="s">
        <v>1839</v>
      </c>
      <c r="C565" s="78" t="s">
        <v>1840</v>
      </c>
      <c r="D565" s="78"/>
    </row>
    <row r="566" spans="1:6" ht="45">
      <c r="A566" s="78" t="s">
        <v>11</v>
      </c>
      <c r="B566" s="78" t="s">
        <v>1841</v>
      </c>
      <c r="C566" s="78" t="s">
        <v>1842</v>
      </c>
      <c r="D566" s="79">
        <v>2000</v>
      </c>
      <c r="F566" s="80">
        <f>D566/982700</f>
        <v>2.0352091177368472E-3</v>
      </c>
    </row>
    <row r="567" spans="1:6" ht="45">
      <c r="A567" s="78" t="s">
        <v>11</v>
      </c>
      <c r="B567" s="78" t="s">
        <v>1847</v>
      </c>
      <c r="C567" s="78" t="s">
        <v>1848</v>
      </c>
      <c r="D567" s="78"/>
    </row>
    <row r="568" spans="1:6" ht="60">
      <c r="A568" s="78" t="s">
        <v>11</v>
      </c>
      <c r="B568" s="78" t="s">
        <v>1849</v>
      </c>
      <c r="C568" s="78" t="s">
        <v>1850</v>
      </c>
      <c r="D568" s="78"/>
    </row>
    <row r="569" spans="1:6" ht="45">
      <c r="A569" s="78" t="s">
        <v>11</v>
      </c>
      <c r="B569" s="78" t="s">
        <v>1851</v>
      </c>
      <c r="C569" s="78" t="s">
        <v>1852</v>
      </c>
      <c r="D569" s="78"/>
    </row>
    <row r="570" spans="1:6" ht="45">
      <c r="A570" s="78" t="s">
        <v>11</v>
      </c>
      <c r="B570" s="78" t="s">
        <v>1854</v>
      </c>
      <c r="C570" s="78" t="s">
        <v>1855</v>
      </c>
      <c r="D570" s="78"/>
    </row>
    <row r="571" spans="1:6" ht="30">
      <c r="A571" s="78" t="s">
        <v>11</v>
      </c>
      <c r="B571" s="78" t="s">
        <v>1858</v>
      </c>
      <c r="C571" s="78" t="s">
        <v>1859</v>
      </c>
      <c r="D571" s="79">
        <v>15000</v>
      </c>
      <c r="F571" s="80">
        <f>D571/982700</f>
        <v>1.5264068383026356E-2</v>
      </c>
    </row>
    <row r="572" spans="1:6" ht="30">
      <c r="A572" s="78" t="s">
        <v>11</v>
      </c>
      <c r="B572" s="78" t="s">
        <v>1860</v>
      </c>
      <c r="C572" s="78" t="s">
        <v>1861</v>
      </c>
      <c r="D572" s="79">
        <v>10900</v>
      </c>
      <c r="F572" s="80">
        <f>D572/982700</f>
        <v>1.1091889691665819E-2</v>
      </c>
    </row>
    <row r="573" spans="1:6" ht="30">
      <c r="A573" s="78" t="s">
        <v>11</v>
      </c>
      <c r="B573" s="78" t="s">
        <v>1862</v>
      </c>
      <c r="C573" s="78" t="s">
        <v>1863</v>
      </c>
      <c r="D573" s="78"/>
    </row>
    <row r="574" spans="1:6" ht="45">
      <c r="A574" s="78" t="s">
        <v>11</v>
      </c>
      <c r="B574" s="78" t="s">
        <v>1864</v>
      </c>
      <c r="C574" s="78" t="s">
        <v>1865</v>
      </c>
      <c r="D574" s="78"/>
    </row>
    <row r="575" spans="1:6" ht="30">
      <c r="A575" s="78" t="s">
        <v>11</v>
      </c>
      <c r="B575" s="78" t="s">
        <v>1867</v>
      </c>
      <c r="C575" s="78" t="s">
        <v>1868</v>
      </c>
      <c r="D575" s="78"/>
    </row>
    <row r="576" spans="1:6" ht="30">
      <c r="A576" s="78" t="s">
        <v>11</v>
      </c>
      <c r="B576" s="78" t="s">
        <v>1871</v>
      </c>
      <c r="C576" s="78" t="s">
        <v>1872</v>
      </c>
      <c r="D576" s="78"/>
    </row>
    <row r="577" spans="1:6" ht="60">
      <c r="A577" s="78" t="s">
        <v>11</v>
      </c>
      <c r="B577" s="78" t="s">
        <v>1873</v>
      </c>
      <c r="C577" s="78" t="s">
        <v>1874</v>
      </c>
      <c r="D577" s="79">
        <v>7000</v>
      </c>
      <c r="F577" s="80">
        <f>D577/982700</f>
        <v>7.123231912078966E-3</v>
      </c>
    </row>
    <row r="578" spans="1:6" ht="30">
      <c r="A578" s="78" t="s">
        <v>11</v>
      </c>
      <c r="B578" s="78" t="s">
        <v>1875</v>
      </c>
      <c r="C578" s="78" t="s">
        <v>1323</v>
      </c>
      <c r="D578" s="79">
        <v>15000</v>
      </c>
      <c r="F578" s="80">
        <f>D578/982700</f>
        <v>1.5264068383026356E-2</v>
      </c>
    </row>
    <row r="579" spans="1:6" ht="30">
      <c r="A579" s="78" t="s">
        <v>11</v>
      </c>
      <c r="B579" s="78" t="s">
        <v>1876</v>
      </c>
      <c r="C579" s="78" t="s">
        <v>1877</v>
      </c>
      <c r="D579" s="78"/>
    </row>
    <row r="580" spans="1:6" ht="30">
      <c r="A580" s="78" t="s">
        <v>11</v>
      </c>
      <c r="B580" s="78" t="s">
        <v>1878</v>
      </c>
      <c r="C580" s="78" t="s">
        <v>1068</v>
      </c>
      <c r="D580" s="78"/>
    </row>
    <row r="581" spans="1:6" ht="45">
      <c r="A581" s="78" t="s">
        <v>11</v>
      </c>
      <c r="B581" s="78" t="s">
        <v>1879</v>
      </c>
      <c r="C581" s="78" t="s">
        <v>1880</v>
      </c>
      <c r="D581" s="78"/>
    </row>
    <row r="582" spans="1:6" ht="45">
      <c r="A582" s="78" t="s">
        <v>11</v>
      </c>
      <c r="B582" s="78" t="s">
        <v>1883</v>
      </c>
      <c r="C582" s="78" t="s">
        <v>1884</v>
      </c>
      <c r="D582" s="78"/>
    </row>
    <row r="583" spans="1:6" ht="30">
      <c r="A583" s="78" t="s">
        <v>11</v>
      </c>
      <c r="B583" s="78" t="s">
        <v>1887</v>
      </c>
      <c r="C583" s="78" t="s">
        <v>1889</v>
      </c>
      <c r="D583" s="78"/>
    </row>
    <row r="584" spans="1:6" ht="30">
      <c r="A584" s="78" t="s">
        <v>11</v>
      </c>
      <c r="B584" s="78" t="s">
        <v>1892</v>
      </c>
      <c r="C584" s="78" t="s">
        <v>1855</v>
      </c>
      <c r="D584" s="79">
        <v>15000</v>
      </c>
      <c r="F584" s="80">
        <f>D584/982700</f>
        <v>1.5264068383026356E-2</v>
      </c>
    </row>
    <row r="585" spans="1:6" ht="60">
      <c r="A585" s="78" t="s">
        <v>11</v>
      </c>
      <c r="B585" s="78" t="s">
        <v>1895</v>
      </c>
      <c r="C585" s="78" t="s">
        <v>1896</v>
      </c>
      <c r="D585" s="78"/>
    </row>
    <row r="586" spans="1:6" ht="45">
      <c r="A586" s="78" t="s">
        <v>11</v>
      </c>
      <c r="B586" s="78" t="s">
        <v>1897</v>
      </c>
      <c r="C586" s="78" t="s">
        <v>1898</v>
      </c>
      <c r="D586" s="79">
        <v>4800</v>
      </c>
      <c r="F586" s="80">
        <f>D586/982700</f>
        <v>4.8845018825684336E-3</v>
      </c>
    </row>
    <row r="587" spans="1:6" ht="30">
      <c r="A587" s="78" t="s">
        <v>11</v>
      </c>
      <c r="B587" s="78" t="s">
        <v>1899</v>
      </c>
      <c r="C587" s="78" t="s">
        <v>1900</v>
      </c>
      <c r="D587" s="78"/>
    </row>
    <row r="588" spans="1:6">
      <c r="A588" s="78" t="s">
        <v>11</v>
      </c>
      <c r="B588" s="78" t="s">
        <v>1901</v>
      </c>
      <c r="C588" s="78" t="s">
        <v>1754</v>
      </c>
      <c r="D588" s="78"/>
    </row>
    <row r="589" spans="1:6">
      <c r="A589" s="78" t="s">
        <v>11</v>
      </c>
      <c r="B589" s="78" t="s">
        <v>1902</v>
      </c>
      <c r="C589" s="78" t="s">
        <v>1903</v>
      </c>
      <c r="D589" s="78"/>
    </row>
    <row r="590" spans="1:6" ht="45">
      <c r="A590" s="78" t="s">
        <v>11</v>
      </c>
      <c r="B590" s="78" t="s">
        <v>1904</v>
      </c>
      <c r="C590" s="78" t="s">
        <v>1855</v>
      </c>
      <c r="D590" s="78"/>
    </row>
    <row r="591" spans="1:6">
      <c r="A591" s="78" t="s">
        <v>11</v>
      </c>
      <c r="B591" s="78" t="s">
        <v>1905</v>
      </c>
      <c r="C591" s="78" t="s">
        <v>1323</v>
      </c>
      <c r="D591" s="78"/>
    </row>
    <row r="592" spans="1:6" ht="30">
      <c r="A592" s="78" t="s">
        <v>11</v>
      </c>
      <c r="B592" s="78" t="s">
        <v>1906</v>
      </c>
      <c r="C592" s="78" t="s">
        <v>1907</v>
      </c>
      <c r="D592" s="78"/>
    </row>
    <row r="593" spans="1:4">
      <c r="A593" s="78" t="s">
        <v>1908</v>
      </c>
      <c r="B593" s="78" t="s">
        <v>1909</v>
      </c>
      <c r="C593" s="78" t="s">
        <v>1910</v>
      </c>
      <c r="D593" s="78"/>
    </row>
    <row r="594" spans="1:4" ht="30">
      <c r="A594" s="78" t="s">
        <v>7</v>
      </c>
      <c r="B594" s="78" t="s">
        <v>1911</v>
      </c>
      <c r="C594" s="78" t="s">
        <v>1912</v>
      </c>
      <c r="D594" s="78"/>
    </row>
    <row r="595" spans="1:4" ht="30">
      <c r="A595" s="78" t="s">
        <v>7</v>
      </c>
      <c r="B595" s="78" t="s">
        <v>1913</v>
      </c>
      <c r="C595" s="78" t="s">
        <v>1914</v>
      </c>
      <c r="D595" s="79">
        <v>23000</v>
      </c>
    </row>
    <row r="596" spans="1:4" ht="45">
      <c r="A596" s="78" t="s">
        <v>7</v>
      </c>
      <c r="B596" s="78" t="s">
        <v>372</v>
      </c>
      <c r="C596" s="78" t="s">
        <v>1915</v>
      </c>
      <c r="D596" s="78"/>
    </row>
    <row r="597" spans="1:4" ht="45">
      <c r="A597" s="78" t="s">
        <v>7</v>
      </c>
      <c r="B597" s="78" t="s">
        <v>1916</v>
      </c>
      <c r="C597" s="78" t="s">
        <v>1917</v>
      </c>
      <c r="D597" s="78"/>
    </row>
    <row r="598" spans="1:4" ht="45">
      <c r="A598" s="78" t="s">
        <v>7</v>
      </c>
      <c r="B598" s="78" t="s">
        <v>1918</v>
      </c>
      <c r="C598" s="78" t="s">
        <v>1919</v>
      </c>
      <c r="D598" s="79">
        <v>8000</v>
      </c>
    </row>
    <row r="599" spans="1:4" ht="45">
      <c r="A599" s="78" t="s">
        <v>7</v>
      </c>
      <c r="B599" s="78" t="s">
        <v>935</v>
      </c>
      <c r="C599" s="78" t="s">
        <v>1920</v>
      </c>
      <c r="D599" s="79">
        <v>60000</v>
      </c>
    </row>
    <row r="600" spans="1:4" ht="30">
      <c r="A600" s="78" t="s">
        <v>7</v>
      </c>
      <c r="B600" s="78" t="s">
        <v>1921</v>
      </c>
      <c r="C600" s="78" t="s">
        <v>1922</v>
      </c>
      <c r="D600" s="78"/>
    </row>
    <row r="601" spans="1:4" ht="75">
      <c r="A601" s="78" t="s">
        <v>7</v>
      </c>
      <c r="B601" s="78" t="s">
        <v>356</v>
      </c>
      <c r="C601" s="78" t="s">
        <v>1923</v>
      </c>
      <c r="D601" s="78"/>
    </row>
    <row r="602" spans="1:4" ht="45">
      <c r="A602" s="78" t="s">
        <v>7</v>
      </c>
      <c r="B602" s="78" t="s">
        <v>356</v>
      </c>
      <c r="C602" s="78" t="s">
        <v>1924</v>
      </c>
      <c r="D602" s="79">
        <v>90000</v>
      </c>
    </row>
    <row r="603" spans="1:4" ht="60">
      <c r="A603" s="78" t="s">
        <v>7</v>
      </c>
      <c r="B603" s="78" t="s">
        <v>1925</v>
      </c>
      <c r="C603" s="78" t="s">
        <v>1926</v>
      </c>
      <c r="D603" s="79">
        <v>130000</v>
      </c>
    </row>
    <row r="604" spans="1:4" ht="75">
      <c r="A604" s="78" t="s">
        <v>7</v>
      </c>
      <c r="B604" s="78" t="s">
        <v>1927</v>
      </c>
      <c r="C604" s="78" t="s">
        <v>1928</v>
      </c>
      <c r="D604" s="78"/>
    </row>
    <row r="605" spans="1:4" ht="45">
      <c r="A605" s="78" t="s">
        <v>7</v>
      </c>
      <c r="B605" s="78" t="s">
        <v>1929</v>
      </c>
      <c r="C605" s="78" t="s">
        <v>1930</v>
      </c>
      <c r="D605" s="78"/>
    </row>
    <row r="606" spans="1:4" ht="60">
      <c r="A606" s="78" t="s">
        <v>7</v>
      </c>
      <c r="B606" s="78" t="s">
        <v>1931</v>
      </c>
      <c r="C606" s="78" t="s">
        <v>1932</v>
      </c>
      <c r="D606" s="78"/>
    </row>
    <row r="607" spans="1:4" ht="30">
      <c r="A607" s="78" t="s">
        <v>7</v>
      </c>
      <c r="B607" s="78" t="s">
        <v>1933</v>
      </c>
      <c r="C607" s="78" t="s">
        <v>1185</v>
      </c>
      <c r="D607" s="78"/>
    </row>
    <row r="608" spans="1:4" ht="45">
      <c r="A608" s="78" t="s">
        <v>7</v>
      </c>
      <c r="B608" s="78" t="s">
        <v>1933</v>
      </c>
      <c r="C608" s="78" t="s">
        <v>1934</v>
      </c>
      <c r="D608" s="78"/>
    </row>
    <row r="609" spans="1:4" ht="30">
      <c r="A609" s="78" t="s">
        <v>7</v>
      </c>
      <c r="B609" s="78" t="s">
        <v>1935</v>
      </c>
      <c r="C609" s="78" t="s">
        <v>1185</v>
      </c>
      <c r="D609" s="78"/>
    </row>
    <row r="610" spans="1:4" ht="45">
      <c r="A610" s="78" t="s">
        <v>7</v>
      </c>
      <c r="B610" s="78" t="s">
        <v>1935</v>
      </c>
      <c r="C610" s="78" t="s">
        <v>1936</v>
      </c>
      <c r="D610" s="78"/>
    </row>
    <row r="611" spans="1:4" ht="45">
      <c r="A611" s="78" t="s">
        <v>7</v>
      </c>
      <c r="B611" s="78" t="s">
        <v>1937</v>
      </c>
      <c r="C611" s="78" t="s">
        <v>1938</v>
      </c>
      <c r="D611" s="78"/>
    </row>
    <row r="612" spans="1:4" ht="75">
      <c r="A612" s="78" t="s">
        <v>7</v>
      </c>
      <c r="B612" s="78" t="s">
        <v>1939</v>
      </c>
      <c r="C612" s="78" t="s">
        <v>1940</v>
      </c>
      <c r="D612" s="78"/>
    </row>
    <row r="613" spans="1:4" ht="75">
      <c r="A613" s="78" t="s">
        <v>7</v>
      </c>
      <c r="B613" s="78" t="s">
        <v>1941</v>
      </c>
      <c r="C613" s="78" t="s">
        <v>1942</v>
      </c>
      <c r="D613" s="78"/>
    </row>
    <row r="614" spans="1:4" ht="45">
      <c r="A614" s="78" t="s">
        <v>7</v>
      </c>
      <c r="B614" s="78" t="s">
        <v>378</v>
      </c>
      <c r="C614" s="78" t="s">
        <v>1943</v>
      </c>
      <c r="D614" s="78"/>
    </row>
    <row r="615" spans="1:4" ht="45">
      <c r="A615" s="78" t="s">
        <v>7</v>
      </c>
      <c r="B615" s="78" t="s">
        <v>1944</v>
      </c>
      <c r="C615" s="78" t="s">
        <v>1945</v>
      </c>
      <c r="D615" s="78"/>
    </row>
    <row r="616" spans="1:4" ht="45">
      <c r="A616" s="78" t="s">
        <v>7</v>
      </c>
      <c r="B616" s="78" t="s">
        <v>1946</v>
      </c>
      <c r="C616" s="78" t="s">
        <v>1947</v>
      </c>
      <c r="D616" s="79">
        <v>50000</v>
      </c>
    </row>
    <row r="617" spans="1:4">
      <c r="A617" s="78" t="s">
        <v>7</v>
      </c>
      <c r="B617" s="78" t="s">
        <v>1948</v>
      </c>
      <c r="C617" s="78" t="s">
        <v>1114</v>
      </c>
      <c r="D617" s="79">
        <v>61000</v>
      </c>
    </row>
    <row r="618" spans="1:4" ht="30">
      <c r="A618" s="78" t="s">
        <v>7</v>
      </c>
      <c r="B618" s="78" t="s">
        <v>1949</v>
      </c>
      <c r="C618" s="78" t="s">
        <v>1950</v>
      </c>
      <c r="D618" s="78"/>
    </row>
    <row r="619" spans="1:4" ht="30">
      <c r="A619" s="78" t="s">
        <v>7</v>
      </c>
      <c r="B619" s="78" t="s">
        <v>1951</v>
      </c>
      <c r="C619" s="78" t="s">
        <v>1922</v>
      </c>
      <c r="D619" s="78"/>
    </row>
    <row r="620" spans="1:4" ht="45">
      <c r="A620" s="78" t="s">
        <v>7</v>
      </c>
      <c r="B620" s="78" t="s">
        <v>1952</v>
      </c>
      <c r="C620" s="78" t="s">
        <v>1953</v>
      </c>
      <c r="D620" s="78"/>
    </row>
    <row r="621" spans="1:4" ht="30">
      <c r="A621" s="78" t="s">
        <v>7</v>
      </c>
      <c r="B621" s="78" t="s">
        <v>1954</v>
      </c>
      <c r="C621" s="78" t="s">
        <v>1955</v>
      </c>
      <c r="D621" s="78"/>
    </row>
    <row r="622" spans="1:4" ht="30">
      <c r="A622" s="78" t="s">
        <v>7</v>
      </c>
      <c r="B622" s="78" t="s">
        <v>1956</v>
      </c>
      <c r="C622" s="78" t="s">
        <v>1957</v>
      </c>
      <c r="D622" s="79">
        <v>50000</v>
      </c>
    </row>
    <row r="623" spans="1:4" ht="45">
      <c r="A623" s="78" t="s">
        <v>7</v>
      </c>
      <c r="B623" s="78" t="s">
        <v>1958</v>
      </c>
      <c r="C623" s="78" t="s">
        <v>1959</v>
      </c>
      <c r="D623" s="78"/>
    </row>
    <row r="624" spans="1:4">
      <c r="A624" s="78" t="s">
        <v>7</v>
      </c>
      <c r="B624" s="78" t="s">
        <v>936</v>
      </c>
      <c r="C624" s="78" t="s">
        <v>1960</v>
      </c>
      <c r="D624" s="78"/>
    </row>
    <row r="625" spans="1:4" ht="30">
      <c r="A625" s="78" t="s">
        <v>7</v>
      </c>
      <c r="B625" s="78" t="s">
        <v>1961</v>
      </c>
      <c r="C625" s="78" t="s">
        <v>1962</v>
      </c>
      <c r="D625" s="79">
        <v>6000</v>
      </c>
    </row>
    <row r="626" spans="1:4" ht="60">
      <c r="A626" s="78" t="s">
        <v>7</v>
      </c>
      <c r="B626" s="78" t="s">
        <v>1963</v>
      </c>
      <c r="C626" s="78" t="s">
        <v>1964</v>
      </c>
      <c r="D626" s="78"/>
    </row>
    <row r="627" spans="1:4" ht="30">
      <c r="A627" s="78" t="s">
        <v>7</v>
      </c>
      <c r="B627" s="78" t="s">
        <v>1965</v>
      </c>
      <c r="C627" s="78" t="s">
        <v>1962</v>
      </c>
      <c r="D627" s="79">
        <v>4000</v>
      </c>
    </row>
    <row r="628" spans="1:4" ht="60">
      <c r="A628" s="78" t="s">
        <v>7</v>
      </c>
      <c r="B628" s="78" t="s">
        <v>686</v>
      </c>
      <c r="C628" s="78" t="s">
        <v>1966</v>
      </c>
      <c r="D628" s="79">
        <v>50000</v>
      </c>
    </row>
    <row r="629" spans="1:4" ht="30">
      <c r="A629" s="78" t="s">
        <v>7</v>
      </c>
      <c r="B629" s="78" t="s">
        <v>686</v>
      </c>
      <c r="C629" s="78" t="s">
        <v>1957</v>
      </c>
      <c r="D629" s="79">
        <v>60000</v>
      </c>
    </row>
    <row r="630" spans="1:4" ht="45">
      <c r="A630" s="78" t="s">
        <v>7</v>
      </c>
      <c r="B630" s="78" t="s">
        <v>1967</v>
      </c>
      <c r="C630" s="78" t="s">
        <v>1968</v>
      </c>
      <c r="D630" s="78"/>
    </row>
    <row r="631" spans="1:4" ht="60">
      <c r="A631" s="78" t="s">
        <v>7</v>
      </c>
      <c r="B631" s="78" t="s">
        <v>1969</v>
      </c>
      <c r="C631" s="78" t="s">
        <v>1970</v>
      </c>
      <c r="D631" s="78"/>
    </row>
    <row r="632" spans="1:4" ht="60">
      <c r="A632" s="78" t="s">
        <v>7</v>
      </c>
      <c r="B632" s="78" t="s">
        <v>1971</v>
      </c>
      <c r="C632" s="78" t="s">
        <v>1972</v>
      </c>
      <c r="D632" s="78"/>
    </row>
    <row r="633" spans="1:4" ht="30">
      <c r="A633" s="78" t="s">
        <v>7</v>
      </c>
      <c r="B633" s="78" t="s">
        <v>937</v>
      </c>
      <c r="C633" s="78" t="s">
        <v>1273</v>
      </c>
      <c r="D633" s="79">
        <v>60000</v>
      </c>
    </row>
    <row r="634" spans="1:4" ht="45">
      <c r="A634" s="78" t="s">
        <v>7</v>
      </c>
      <c r="B634" s="78" t="s">
        <v>1973</v>
      </c>
      <c r="C634" s="78" t="s">
        <v>1947</v>
      </c>
      <c r="D634" s="79">
        <v>160000</v>
      </c>
    </row>
    <row r="635" spans="1:4" ht="45">
      <c r="A635" s="78" t="s">
        <v>7</v>
      </c>
      <c r="B635" s="78" t="s">
        <v>1973</v>
      </c>
      <c r="C635" s="78" t="s">
        <v>1947</v>
      </c>
      <c r="D635" s="79">
        <v>25000</v>
      </c>
    </row>
    <row r="636" spans="1:4" ht="30">
      <c r="A636" s="78" t="s">
        <v>7</v>
      </c>
      <c r="B636" s="78" t="s">
        <v>1974</v>
      </c>
      <c r="C636" s="78" t="s">
        <v>1975</v>
      </c>
      <c r="D636" s="78"/>
    </row>
    <row r="637" spans="1:4" ht="30">
      <c r="A637" s="78" t="s">
        <v>7</v>
      </c>
      <c r="B637" s="78" t="s">
        <v>1976</v>
      </c>
      <c r="C637" s="78" t="s">
        <v>1977</v>
      </c>
      <c r="D637" s="79">
        <v>5000</v>
      </c>
    </row>
    <row r="638" spans="1:4" ht="45">
      <c r="A638" s="78" t="s">
        <v>7</v>
      </c>
      <c r="B638" s="78" t="s">
        <v>1978</v>
      </c>
      <c r="C638" s="78" t="s">
        <v>1979</v>
      </c>
      <c r="D638" s="78"/>
    </row>
    <row r="639" spans="1:4" ht="45">
      <c r="A639" s="78" t="s">
        <v>7</v>
      </c>
      <c r="B639" s="78" t="s">
        <v>1980</v>
      </c>
      <c r="C639" s="78" t="s">
        <v>1981</v>
      </c>
      <c r="D639" s="78"/>
    </row>
    <row r="640" spans="1:4" ht="45">
      <c r="A640" s="78" t="s">
        <v>7</v>
      </c>
      <c r="B640" s="78" t="s">
        <v>359</v>
      </c>
      <c r="C640" s="78" t="s">
        <v>1982</v>
      </c>
      <c r="D640" s="78"/>
    </row>
    <row r="641" spans="1:4" ht="30">
      <c r="A641" s="78" t="s">
        <v>7</v>
      </c>
      <c r="B641" s="78" t="s">
        <v>359</v>
      </c>
      <c r="C641" s="78" t="s">
        <v>1068</v>
      </c>
      <c r="D641" s="79">
        <v>190000</v>
      </c>
    </row>
    <row r="642" spans="1:4" ht="60">
      <c r="A642" s="78" t="s">
        <v>7</v>
      </c>
      <c r="B642" s="78" t="s">
        <v>365</v>
      </c>
      <c r="C642" s="78" t="s">
        <v>1983</v>
      </c>
      <c r="D642" s="78"/>
    </row>
    <row r="643" spans="1:4" ht="30">
      <c r="A643" s="78" t="s">
        <v>7</v>
      </c>
      <c r="B643" s="78" t="s">
        <v>365</v>
      </c>
      <c r="C643" s="78" t="s">
        <v>1984</v>
      </c>
      <c r="D643" s="79">
        <v>95000</v>
      </c>
    </row>
    <row r="644" spans="1:4" ht="75">
      <c r="A644" s="78" t="s">
        <v>7</v>
      </c>
      <c r="B644" s="78" t="s">
        <v>365</v>
      </c>
      <c r="C644" s="78" t="s">
        <v>1985</v>
      </c>
      <c r="D644" s="79">
        <v>12000</v>
      </c>
    </row>
    <row r="645" spans="1:4" ht="30">
      <c r="A645" s="78" t="s">
        <v>7</v>
      </c>
      <c r="B645" s="78" t="s">
        <v>1986</v>
      </c>
      <c r="C645" s="78" t="s">
        <v>1957</v>
      </c>
      <c r="D645" s="79">
        <v>65000</v>
      </c>
    </row>
    <row r="646" spans="1:4" ht="60">
      <c r="A646" s="78" t="s">
        <v>7</v>
      </c>
      <c r="B646" s="78" t="s">
        <v>1987</v>
      </c>
      <c r="C646" s="78" t="s">
        <v>1988</v>
      </c>
      <c r="D646" s="79">
        <v>8000</v>
      </c>
    </row>
    <row r="647" spans="1:4" ht="30">
      <c r="A647" s="78" t="s">
        <v>7</v>
      </c>
      <c r="B647" s="78" t="s">
        <v>1989</v>
      </c>
      <c r="C647" s="78" t="s">
        <v>1990</v>
      </c>
      <c r="D647" s="78"/>
    </row>
    <row r="648" spans="1:4" ht="60">
      <c r="A648" s="78" t="s">
        <v>7</v>
      </c>
      <c r="B648" s="78" t="s">
        <v>1991</v>
      </c>
      <c r="C648" s="78" t="s">
        <v>1992</v>
      </c>
      <c r="D648" s="79">
        <v>36000</v>
      </c>
    </row>
    <row r="649" spans="1:4" ht="30">
      <c r="A649" s="78" t="s">
        <v>7</v>
      </c>
      <c r="B649" s="78" t="s">
        <v>1993</v>
      </c>
      <c r="C649" s="78" t="s">
        <v>1994</v>
      </c>
      <c r="D649" s="78"/>
    </row>
    <row r="650" spans="1:4" ht="45">
      <c r="A650" s="78" t="s">
        <v>7</v>
      </c>
      <c r="B650" s="78" t="s">
        <v>1995</v>
      </c>
      <c r="C650" s="78" t="s">
        <v>1996</v>
      </c>
      <c r="D650" s="79">
        <v>22000</v>
      </c>
    </row>
    <row r="651" spans="1:4" ht="45">
      <c r="A651" s="78" t="s">
        <v>7</v>
      </c>
      <c r="B651" s="78" t="s">
        <v>1997</v>
      </c>
      <c r="C651" s="78" t="s">
        <v>1998</v>
      </c>
      <c r="D651" s="78"/>
    </row>
    <row r="652" spans="1:4" ht="30">
      <c r="A652" s="78" t="s">
        <v>7</v>
      </c>
      <c r="B652" s="78" t="s">
        <v>1999</v>
      </c>
      <c r="C652" s="78" t="s">
        <v>2000</v>
      </c>
      <c r="D652" s="78"/>
    </row>
    <row r="653" spans="1:4">
      <c r="A653" s="78" t="s">
        <v>7</v>
      </c>
      <c r="B653" s="78" t="s">
        <v>362</v>
      </c>
      <c r="C653" s="78" t="s">
        <v>2001</v>
      </c>
      <c r="D653" s="78"/>
    </row>
    <row r="654" spans="1:4" ht="45">
      <c r="A654" s="78" t="s">
        <v>7</v>
      </c>
      <c r="B654" s="78" t="s">
        <v>2002</v>
      </c>
      <c r="C654" s="78" t="s">
        <v>2003</v>
      </c>
      <c r="D654" s="79">
        <v>60000</v>
      </c>
    </row>
    <row r="655" spans="1:4" ht="30">
      <c r="A655" s="78" t="s">
        <v>7</v>
      </c>
      <c r="B655" s="78" t="s">
        <v>2004</v>
      </c>
      <c r="C655" s="78" t="s">
        <v>2005</v>
      </c>
      <c r="D655" s="78"/>
    </row>
    <row r="656" spans="1:4" ht="45">
      <c r="A656" s="78" t="s">
        <v>7</v>
      </c>
      <c r="B656" s="78" t="s">
        <v>2006</v>
      </c>
      <c r="C656" s="78" t="s">
        <v>2007</v>
      </c>
      <c r="D656" s="78"/>
    </row>
    <row r="657" spans="1:4" ht="45">
      <c r="A657" s="78" t="s">
        <v>7</v>
      </c>
      <c r="B657" s="78" t="s">
        <v>373</v>
      </c>
      <c r="C657" s="78" t="s">
        <v>1947</v>
      </c>
      <c r="D657" s="78"/>
    </row>
    <row r="658" spans="1:4" ht="45">
      <c r="A658" s="78" t="s">
        <v>7</v>
      </c>
      <c r="B658" s="78" t="s">
        <v>2008</v>
      </c>
      <c r="C658" s="78" t="s">
        <v>2009</v>
      </c>
      <c r="D658" s="78"/>
    </row>
    <row r="659" spans="1:4" ht="30">
      <c r="A659" s="78" t="s">
        <v>7</v>
      </c>
      <c r="B659" s="78" t="s">
        <v>369</v>
      </c>
      <c r="C659" s="78" t="s">
        <v>2010</v>
      </c>
      <c r="D659" s="78"/>
    </row>
    <row r="660" spans="1:4">
      <c r="A660" s="78" t="s">
        <v>7</v>
      </c>
      <c r="B660" s="78" t="s">
        <v>939</v>
      </c>
      <c r="C660" s="78" t="s">
        <v>2011</v>
      </c>
      <c r="D660" s="79">
        <v>69000</v>
      </c>
    </row>
    <row r="661" spans="1:4" ht="45">
      <c r="A661" s="78" t="s">
        <v>7</v>
      </c>
      <c r="B661" s="78" t="s">
        <v>2012</v>
      </c>
      <c r="C661" s="78" t="s">
        <v>1968</v>
      </c>
      <c r="D661" s="78"/>
    </row>
    <row r="662" spans="1:4" ht="30">
      <c r="A662" s="78" t="s">
        <v>7</v>
      </c>
      <c r="B662" s="78" t="s">
        <v>2013</v>
      </c>
      <c r="C662" s="78" t="s">
        <v>2014</v>
      </c>
      <c r="D662" s="79">
        <v>28000</v>
      </c>
    </row>
    <row r="663" spans="1:4" ht="30">
      <c r="A663" s="78" t="s">
        <v>7</v>
      </c>
      <c r="B663" s="78" t="s">
        <v>2013</v>
      </c>
      <c r="C663" s="78" t="s">
        <v>2015</v>
      </c>
      <c r="D663" s="79">
        <v>13000</v>
      </c>
    </row>
    <row r="664" spans="1:4" ht="45">
      <c r="A664" s="78" t="s">
        <v>7</v>
      </c>
      <c r="B664" s="78" t="s">
        <v>2013</v>
      </c>
      <c r="C664" s="78" t="s">
        <v>2016</v>
      </c>
      <c r="D664" s="78"/>
    </row>
    <row r="665" spans="1:4" ht="60">
      <c r="A665" s="78" t="s">
        <v>7</v>
      </c>
      <c r="B665" s="78" t="s">
        <v>2017</v>
      </c>
      <c r="C665" s="78" t="s">
        <v>1983</v>
      </c>
      <c r="D665" s="78"/>
    </row>
    <row r="666" spans="1:4" ht="30">
      <c r="A666" s="78" t="s">
        <v>7</v>
      </c>
      <c r="B666" s="78" t="s">
        <v>2017</v>
      </c>
      <c r="C666" s="78" t="s">
        <v>1068</v>
      </c>
      <c r="D666" s="79">
        <v>30000</v>
      </c>
    </row>
    <row r="667" spans="1:4" ht="45">
      <c r="A667" s="78" t="s">
        <v>7</v>
      </c>
      <c r="B667" s="78" t="s">
        <v>2018</v>
      </c>
      <c r="C667" s="78" t="s">
        <v>2019</v>
      </c>
      <c r="D667" s="79">
        <v>10400</v>
      </c>
    </row>
    <row r="668" spans="1:4" ht="30">
      <c r="A668" s="78" t="s">
        <v>7</v>
      </c>
      <c r="B668" s="78" t="s">
        <v>2020</v>
      </c>
      <c r="C668" s="78" t="s">
        <v>2021</v>
      </c>
      <c r="D668" s="79">
        <v>50000</v>
      </c>
    </row>
    <row r="669" spans="1:4" ht="45">
      <c r="A669" s="78" t="s">
        <v>7</v>
      </c>
      <c r="B669" s="78" t="s">
        <v>2022</v>
      </c>
      <c r="C669" s="78" t="s">
        <v>2023</v>
      </c>
      <c r="D669" s="79">
        <v>14000</v>
      </c>
    </row>
    <row r="670" spans="1:4">
      <c r="A670" s="78" t="s">
        <v>7</v>
      </c>
      <c r="B670" s="78" t="s">
        <v>2024</v>
      </c>
      <c r="C670" s="78" t="s">
        <v>2025</v>
      </c>
      <c r="D670" s="78"/>
    </row>
    <row r="671" spans="1:4" ht="45">
      <c r="A671" s="78" t="s">
        <v>7</v>
      </c>
      <c r="B671" s="78" t="s">
        <v>2026</v>
      </c>
      <c r="C671" s="78" t="s">
        <v>2027</v>
      </c>
      <c r="D671" s="79">
        <v>45000</v>
      </c>
    </row>
    <row r="672" spans="1:4" ht="75">
      <c r="A672" s="78" t="s">
        <v>7</v>
      </c>
      <c r="B672" s="78" t="s">
        <v>2028</v>
      </c>
      <c r="C672" s="78" t="s">
        <v>2029</v>
      </c>
      <c r="D672" s="78"/>
    </row>
    <row r="673" spans="1:4" ht="45">
      <c r="A673" s="78" t="s">
        <v>7</v>
      </c>
      <c r="B673" s="78" t="s">
        <v>2030</v>
      </c>
      <c r="C673" s="78" t="s">
        <v>2031</v>
      </c>
      <c r="D673" s="78"/>
    </row>
    <row r="674" spans="1:4" ht="30">
      <c r="A674" s="78" t="s">
        <v>7</v>
      </c>
      <c r="B674" s="78" t="s">
        <v>2032</v>
      </c>
      <c r="C674" s="78" t="s">
        <v>2033</v>
      </c>
      <c r="D674" s="78"/>
    </row>
    <row r="675" spans="1:4" ht="75">
      <c r="A675" s="78" t="s">
        <v>7</v>
      </c>
      <c r="B675" s="78" t="s">
        <v>2034</v>
      </c>
      <c r="C675" s="78" t="s">
        <v>2035</v>
      </c>
      <c r="D675" s="79">
        <v>80000</v>
      </c>
    </row>
    <row r="676" spans="1:4" ht="30">
      <c r="A676" s="78" t="s">
        <v>7</v>
      </c>
      <c r="B676" s="78" t="s">
        <v>2036</v>
      </c>
      <c r="C676" s="78" t="s">
        <v>1273</v>
      </c>
      <c r="D676" s="79">
        <v>400000</v>
      </c>
    </row>
    <row r="677" spans="1:4" ht="30">
      <c r="A677" s="78" t="s">
        <v>7</v>
      </c>
      <c r="B677" s="78" t="s">
        <v>2037</v>
      </c>
      <c r="C677" s="78" t="s">
        <v>2038</v>
      </c>
      <c r="D677" s="78"/>
    </row>
    <row r="678" spans="1:4" ht="45">
      <c r="A678" s="78" t="s">
        <v>7</v>
      </c>
      <c r="B678" s="78" t="s">
        <v>2039</v>
      </c>
      <c r="C678" s="78" t="s">
        <v>1968</v>
      </c>
      <c r="D678" s="78"/>
    </row>
    <row r="679" spans="1:4" ht="30">
      <c r="A679" s="78" t="s">
        <v>7</v>
      </c>
      <c r="B679" s="78" t="s">
        <v>2040</v>
      </c>
      <c r="C679" s="78" t="s">
        <v>1984</v>
      </c>
      <c r="D679" s="79">
        <v>1600</v>
      </c>
    </row>
    <row r="680" spans="1:4" ht="30">
      <c r="A680" s="78" t="s">
        <v>7</v>
      </c>
      <c r="B680" s="78" t="s">
        <v>2040</v>
      </c>
      <c r="C680" s="78" t="s">
        <v>1990</v>
      </c>
      <c r="D680" s="78"/>
    </row>
    <row r="681" spans="1:4" ht="30">
      <c r="A681" s="78" t="s">
        <v>7</v>
      </c>
      <c r="B681" s="78" t="s">
        <v>2041</v>
      </c>
      <c r="C681" s="78" t="s">
        <v>2042</v>
      </c>
      <c r="D681" s="79">
        <v>75000</v>
      </c>
    </row>
    <row r="682" spans="1:4" ht="45">
      <c r="A682" s="78" t="s">
        <v>7</v>
      </c>
      <c r="B682" s="78" t="s">
        <v>2043</v>
      </c>
      <c r="C682" s="78" t="s">
        <v>2044</v>
      </c>
      <c r="D682" s="78"/>
    </row>
    <row r="683" spans="1:4" ht="30">
      <c r="A683" s="78" t="s">
        <v>7</v>
      </c>
      <c r="B683" s="78" t="s">
        <v>2043</v>
      </c>
      <c r="C683" s="78" t="s">
        <v>2045</v>
      </c>
      <c r="D683" s="78"/>
    </row>
    <row r="684" spans="1:4">
      <c r="A684" s="78" t="s">
        <v>7</v>
      </c>
      <c r="B684" s="78" t="s">
        <v>2046</v>
      </c>
      <c r="C684" s="78" t="s">
        <v>2047</v>
      </c>
      <c r="D684" s="78"/>
    </row>
    <row r="685" spans="1:4" ht="30">
      <c r="A685" s="78" t="s">
        <v>7</v>
      </c>
      <c r="B685" s="78" t="s">
        <v>2046</v>
      </c>
      <c r="C685" s="78" t="s">
        <v>1068</v>
      </c>
      <c r="D685" s="79">
        <v>230000</v>
      </c>
    </row>
    <row r="686" spans="1:4">
      <c r="A686" s="78" t="s">
        <v>7</v>
      </c>
      <c r="B686" s="78" t="s">
        <v>2046</v>
      </c>
      <c r="C686" s="78" t="s">
        <v>1273</v>
      </c>
      <c r="D686" s="79">
        <v>50000</v>
      </c>
    </row>
    <row r="687" spans="1:4" ht="60">
      <c r="A687" s="78" t="s">
        <v>7</v>
      </c>
      <c r="B687" s="78" t="s">
        <v>2048</v>
      </c>
      <c r="C687" s="78" t="s">
        <v>2049</v>
      </c>
      <c r="D687" s="78"/>
    </row>
    <row r="688" spans="1:4" ht="30">
      <c r="A688" s="78" t="s">
        <v>7</v>
      </c>
      <c r="B688" s="78" t="s">
        <v>2050</v>
      </c>
      <c r="C688" s="78" t="s">
        <v>2051</v>
      </c>
      <c r="D688" s="78"/>
    </row>
    <row r="689" spans="1:4" ht="60">
      <c r="A689" s="78" t="s">
        <v>7</v>
      </c>
      <c r="B689" s="78" t="s">
        <v>2052</v>
      </c>
      <c r="C689" s="78" t="s">
        <v>2053</v>
      </c>
      <c r="D689" s="79">
        <v>400000</v>
      </c>
    </row>
    <row r="690" spans="1:4" ht="30">
      <c r="A690" s="78" t="s">
        <v>7</v>
      </c>
      <c r="B690" s="78" t="s">
        <v>2054</v>
      </c>
      <c r="C690" s="78" t="s">
        <v>2055</v>
      </c>
      <c r="D690" s="79">
        <v>15000</v>
      </c>
    </row>
    <row r="691" spans="1:4" ht="45">
      <c r="A691" s="78" t="s">
        <v>7</v>
      </c>
      <c r="B691" s="78" t="s">
        <v>2054</v>
      </c>
      <c r="C691" s="78" t="s">
        <v>2056</v>
      </c>
      <c r="D691" s="78"/>
    </row>
    <row r="692" spans="1:4" ht="45">
      <c r="A692" s="78" t="s">
        <v>7</v>
      </c>
      <c r="B692" s="78" t="s">
        <v>2057</v>
      </c>
      <c r="C692" s="78" t="s">
        <v>2058</v>
      </c>
      <c r="D692" s="79">
        <v>2500</v>
      </c>
    </row>
    <row r="693" spans="1:4" ht="30">
      <c r="A693" s="78" t="s">
        <v>7</v>
      </c>
      <c r="B693" s="78" t="s">
        <v>2059</v>
      </c>
      <c r="C693" s="78" t="s">
        <v>2060</v>
      </c>
      <c r="D693" s="78"/>
    </row>
    <row r="694" spans="1:4" ht="90">
      <c r="A694" s="78" t="s">
        <v>7</v>
      </c>
      <c r="B694" s="78" t="s">
        <v>2061</v>
      </c>
      <c r="C694" s="78" t="s">
        <v>2062</v>
      </c>
      <c r="D694" s="78"/>
    </row>
    <row r="695" spans="1:4" ht="30">
      <c r="A695" s="78" t="s">
        <v>7</v>
      </c>
      <c r="B695" s="78" t="s">
        <v>944</v>
      </c>
      <c r="C695" s="78" t="s">
        <v>1068</v>
      </c>
      <c r="D695" s="79">
        <v>100000</v>
      </c>
    </row>
    <row r="696" spans="1:4" ht="45">
      <c r="A696" s="78" t="s">
        <v>7</v>
      </c>
      <c r="B696" s="78" t="s">
        <v>2063</v>
      </c>
      <c r="C696" s="78" t="s">
        <v>1998</v>
      </c>
      <c r="D696" s="78"/>
    </row>
    <row r="697" spans="1:4" ht="30">
      <c r="A697" s="78" t="s">
        <v>7</v>
      </c>
      <c r="B697" s="78" t="s">
        <v>2064</v>
      </c>
      <c r="C697" s="78" t="s">
        <v>2065</v>
      </c>
      <c r="D697" s="79">
        <v>50000</v>
      </c>
    </row>
    <row r="698" spans="1:4" ht="30">
      <c r="A698" s="78" t="s">
        <v>7</v>
      </c>
      <c r="B698" s="78" t="s">
        <v>2066</v>
      </c>
      <c r="C698" s="78" t="s">
        <v>2067</v>
      </c>
      <c r="D698" s="78"/>
    </row>
    <row r="699" spans="1:4" ht="60">
      <c r="A699" s="78" t="s">
        <v>7</v>
      </c>
      <c r="B699" s="78" t="s">
        <v>2068</v>
      </c>
      <c r="C699" s="78" t="s">
        <v>2069</v>
      </c>
      <c r="D699" s="78"/>
    </row>
    <row r="700" spans="1:4">
      <c r="A700" s="78" t="s">
        <v>7</v>
      </c>
      <c r="B700" s="78" t="s">
        <v>2070</v>
      </c>
      <c r="C700" s="78" t="s">
        <v>1754</v>
      </c>
      <c r="D700" s="78"/>
    </row>
    <row r="701" spans="1:4" ht="45">
      <c r="A701" s="78" t="s">
        <v>7</v>
      </c>
      <c r="B701" s="78" t="s">
        <v>2071</v>
      </c>
      <c r="C701" s="78" t="s">
        <v>2072</v>
      </c>
      <c r="D701" s="78"/>
    </row>
    <row r="702" spans="1:4" ht="45">
      <c r="A702" s="78" t="s">
        <v>7</v>
      </c>
      <c r="B702" s="78" t="s">
        <v>2071</v>
      </c>
      <c r="C702" s="78" t="s">
        <v>2023</v>
      </c>
      <c r="D702" s="78"/>
    </row>
    <row r="703" spans="1:4" ht="30">
      <c r="A703" s="78" t="s">
        <v>7</v>
      </c>
      <c r="B703" s="78" t="s">
        <v>2073</v>
      </c>
      <c r="C703" s="78" t="s">
        <v>2074</v>
      </c>
      <c r="D703" s="79">
        <v>36000</v>
      </c>
    </row>
    <row r="704" spans="1:4" ht="30">
      <c r="A704" s="78" t="s">
        <v>7</v>
      </c>
      <c r="B704" s="78" t="s">
        <v>2075</v>
      </c>
      <c r="C704" s="78" t="s">
        <v>1957</v>
      </c>
      <c r="D704" s="79">
        <v>10000</v>
      </c>
    </row>
    <row r="705" spans="1:4" ht="45">
      <c r="A705" s="78" t="s">
        <v>7</v>
      </c>
      <c r="B705" s="78" t="s">
        <v>2076</v>
      </c>
      <c r="C705" s="78" t="s">
        <v>2077</v>
      </c>
      <c r="D705" s="79">
        <v>75000</v>
      </c>
    </row>
    <row r="706" spans="1:4" ht="45">
      <c r="A706" s="78" t="s">
        <v>7</v>
      </c>
      <c r="B706" s="78" t="s">
        <v>2078</v>
      </c>
      <c r="C706" s="78" t="s">
        <v>2079</v>
      </c>
      <c r="D706" s="78"/>
    </row>
    <row r="707" spans="1:4" ht="45">
      <c r="A707" s="78" t="s">
        <v>7</v>
      </c>
      <c r="B707" s="78" t="s">
        <v>345</v>
      </c>
      <c r="C707" s="78" t="s">
        <v>1947</v>
      </c>
      <c r="D707" s="79">
        <v>50000</v>
      </c>
    </row>
    <row r="708" spans="1:4" ht="45">
      <c r="A708" s="78" t="s">
        <v>7</v>
      </c>
      <c r="B708" s="78" t="s">
        <v>2080</v>
      </c>
      <c r="C708" s="78" t="s">
        <v>1947</v>
      </c>
      <c r="D708" s="79">
        <v>130000</v>
      </c>
    </row>
    <row r="709" spans="1:4" ht="60">
      <c r="A709" s="78" t="s">
        <v>7</v>
      </c>
      <c r="B709" s="78" t="s">
        <v>2080</v>
      </c>
      <c r="C709" s="78" t="s">
        <v>1983</v>
      </c>
      <c r="D709" s="78"/>
    </row>
    <row r="710" spans="1:4" ht="30">
      <c r="A710" s="78" t="s">
        <v>7</v>
      </c>
      <c r="B710" s="78" t="s">
        <v>2081</v>
      </c>
      <c r="C710" s="78" t="s">
        <v>2082</v>
      </c>
      <c r="D710" s="79">
        <v>25000</v>
      </c>
    </row>
    <row r="711" spans="1:4" ht="45">
      <c r="A711" s="78" t="s">
        <v>7</v>
      </c>
      <c r="B711" s="78" t="s">
        <v>2083</v>
      </c>
      <c r="C711" s="78" t="s">
        <v>2084</v>
      </c>
      <c r="D711" s="79">
        <v>40000</v>
      </c>
    </row>
    <row r="712" spans="1:4" ht="60">
      <c r="A712" s="78" t="s">
        <v>7</v>
      </c>
      <c r="B712" s="78" t="s">
        <v>2083</v>
      </c>
      <c r="C712" s="78" t="s">
        <v>2085</v>
      </c>
      <c r="D712" s="78"/>
    </row>
    <row r="713" spans="1:4" ht="30">
      <c r="A713" s="78" t="s">
        <v>7</v>
      </c>
      <c r="B713" s="78" t="s">
        <v>2083</v>
      </c>
      <c r="C713" s="78" t="s">
        <v>2086</v>
      </c>
      <c r="D713" s="78"/>
    </row>
    <row r="714" spans="1:4" ht="45">
      <c r="A714" s="78" t="s">
        <v>7</v>
      </c>
      <c r="B714" s="78" t="s">
        <v>2087</v>
      </c>
      <c r="C714" s="78" t="s">
        <v>2088</v>
      </c>
      <c r="D714" s="78"/>
    </row>
    <row r="715" spans="1:4" ht="45">
      <c r="A715" s="78" t="s">
        <v>7</v>
      </c>
      <c r="B715" s="78" t="s">
        <v>2089</v>
      </c>
      <c r="C715" s="78" t="s">
        <v>2090</v>
      </c>
      <c r="D715" s="79">
        <v>30000</v>
      </c>
    </row>
    <row r="716" spans="1:4" ht="30">
      <c r="A716" s="78" t="s">
        <v>7</v>
      </c>
      <c r="B716" s="78" t="s">
        <v>2091</v>
      </c>
      <c r="C716" s="78" t="s">
        <v>1185</v>
      </c>
      <c r="D716" s="78"/>
    </row>
    <row r="717" spans="1:4" ht="45">
      <c r="A717" s="78" t="s">
        <v>7</v>
      </c>
      <c r="B717" s="78" t="s">
        <v>2092</v>
      </c>
      <c r="C717" s="78" t="s">
        <v>2093</v>
      </c>
      <c r="D717" s="78"/>
    </row>
    <row r="718" spans="1:4" ht="30">
      <c r="A718" s="78" t="s">
        <v>7</v>
      </c>
      <c r="B718" s="78" t="s">
        <v>2094</v>
      </c>
      <c r="C718" s="78" t="s">
        <v>2042</v>
      </c>
      <c r="D718" s="79">
        <v>122000</v>
      </c>
    </row>
    <row r="719" spans="1:4" ht="30">
      <c r="A719" s="78" t="s">
        <v>7</v>
      </c>
      <c r="B719" s="78" t="s">
        <v>2095</v>
      </c>
      <c r="C719" s="78" t="s">
        <v>2096</v>
      </c>
      <c r="D719" s="78"/>
    </row>
    <row r="720" spans="1:4" ht="30">
      <c r="A720" s="78" t="s">
        <v>7</v>
      </c>
      <c r="B720" s="78" t="s">
        <v>2097</v>
      </c>
      <c r="C720" s="78" t="s">
        <v>1101</v>
      </c>
      <c r="D720" s="78"/>
    </row>
    <row r="721" spans="1:6" ht="60">
      <c r="A721" s="78" t="s">
        <v>7</v>
      </c>
      <c r="B721" s="78" t="s">
        <v>2098</v>
      </c>
      <c r="C721" s="78" t="s">
        <v>2099</v>
      </c>
      <c r="D721" s="78"/>
    </row>
    <row r="722" spans="1:6" ht="45">
      <c r="A722" s="78" t="s">
        <v>7</v>
      </c>
      <c r="B722" s="78" t="s">
        <v>2100</v>
      </c>
      <c r="C722" s="78" t="s">
        <v>1998</v>
      </c>
      <c r="D722" s="78"/>
    </row>
    <row r="723" spans="1:6" ht="45">
      <c r="A723" s="78" t="s">
        <v>7</v>
      </c>
      <c r="B723" s="78" t="s">
        <v>2101</v>
      </c>
      <c r="C723" s="78" t="s">
        <v>2102</v>
      </c>
      <c r="D723" s="78"/>
    </row>
    <row r="724" spans="1:6" ht="45">
      <c r="A724" s="78" t="s">
        <v>7</v>
      </c>
      <c r="B724" s="78" t="s">
        <v>2103</v>
      </c>
      <c r="C724" s="78" t="s">
        <v>1998</v>
      </c>
      <c r="D724" s="78"/>
    </row>
    <row r="725" spans="1:6" ht="30">
      <c r="A725" s="78" t="s">
        <v>7</v>
      </c>
      <c r="B725" s="78" t="s">
        <v>2103</v>
      </c>
      <c r="C725" s="78" t="s">
        <v>2104</v>
      </c>
      <c r="D725" s="79">
        <v>24000</v>
      </c>
    </row>
    <row r="726" spans="1:6" ht="75">
      <c r="A726" s="78" t="s">
        <v>7</v>
      </c>
      <c r="B726" s="78" t="s">
        <v>2105</v>
      </c>
      <c r="C726" s="78" t="s">
        <v>2106</v>
      </c>
      <c r="D726" s="79">
        <v>65000</v>
      </c>
    </row>
    <row r="727" spans="1:6" ht="45">
      <c r="A727" s="78" t="s">
        <v>2107</v>
      </c>
      <c r="B727" s="78" t="s">
        <v>2108</v>
      </c>
      <c r="C727" s="78" t="s">
        <v>2109</v>
      </c>
      <c r="D727" s="78"/>
    </row>
    <row r="728" spans="1:6" ht="30">
      <c r="A728" s="78" t="s">
        <v>2107</v>
      </c>
      <c r="B728" s="78" t="s">
        <v>2108</v>
      </c>
      <c r="C728" s="78" t="s">
        <v>2110</v>
      </c>
      <c r="D728" s="79">
        <v>30000</v>
      </c>
    </row>
    <row r="729" spans="1:6" ht="45">
      <c r="A729" s="78" t="s">
        <v>2107</v>
      </c>
      <c r="B729" s="78" t="s">
        <v>2108</v>
      </c>
      <c r="C729" s="78" t="s">
        <v>2111</v>
      </c>
      <c r="D729" s="78"/>
    </row>
    <row r="730" spans="1:6" ht="45">
      <c r="A730" s="78" t="s">
        <v>2107</v>
      </c>
      <c r="B730" s="78" t="s">
        <v>2108</v>
      </c>
      <c r="C730" s="78" t="s">
        <v>2112</v>
      </c>
      <c r="D730" s="78"/>
    </row>
    <row r="731" spans="1:6" ht="30">
      <c r="A731" s="78" t="s">
        <v>9</v>
      </c>
      <c r="B731" s="78" t="s">
        <v>2115</v>
      </c>
      <c r="C731" s="78" t="s">
        <v>2114</v>
      </c>
      <c r="D731" s="79">
        <v>6000</v>
      </c>
      <c r="E731" s="78" t="s">
        <v>114</v>
      </c>
      <c r="F731" s="80">
        <f t="shared" ref="F731:F738" si="3">D731/629000</f>
        <v>9.538950715421303E-3</v>
      </c>
    </row>
    <row r="732" spans="1:6" ht="60">
      <c r="A732" s="78" t="s">
        <v>9</v>
      </c>
      <c r="B732" s="78" t="s">
        <v>2116</v>
      </c>
      <c r="C732" s="78" t="s">
        <v>2117</v>
      </c>
      <c r="D732" s="79">
        <v>30000</v>
      </c>
      <c r="E732" s="78" t="s">
        <v>114</v>
      </c>
      <c r="F732" s="80">
        <f t="shared" si="3"/>
        <v>4.7694753577106522E-2</v>
      </c>
    </row>
    <row r="733" spans="1:6" ht="30">
      <c r="A733" s="78" t="s">
        <v>9</v>
      </c>
      <c r="B733" s="78" t="s">
        <v>2131</v>
      </c>
      <c r="C733" s="78" t="s">
        <v>2132</v>
      </c>
      <c r="D733" s="79">
        <v>25000</v>
      </c>
      <c r="E733" s="78" t="s">
        <v>114</v>
      </c>
      <c r="F733" s="80">
        <f t="shared" si="3"/>
        <v>3.9745627980922099E-2</v>
      </c>
    </row>
    <row r="734" spans="1:6" ht="30">
      <c r="A734" s="78" t="s">
        <v>9</v>
      </c>
      <c r="B734" s="78" t="s">
        <v>2113</v>
      </c>
      <c r="C734" s="78" t="s">
        <v>2114</v>
      </c>
      <c r="D734" s="79">
        <v>6000</v>
      </c>
      <c r="E734" s="78" t="s">
        <v>115</v>
      </c>
      <c r="F734" s="80">
        <f t="shared" si="3"/>
        <v>9.538950715421303E-3</v>
      </c>
    </row>
    <row r="735" spans="1:6" ht="75">
      <c r="A735" s="78" t="s">
        <v>9</v>
      </c>
      <c r="B735" s="78" t="s">
        <v>2123</v>
      </c>
      <c r="C735" s="78" t="s">
        <v>2124</v>
      </c>
      <c r="D735" s="79">
        <v>22000</v>
      </c>
      <c r="E735" s="78" t="s">
        <v>110</v>
      </c>
      <c r="F735" s="80">
        <f t="shared" si="3"/>
        <v>3.4976152623211444E-2</v>
      </c>
    </row>
    <row r="736" spans="1:6">
      <c r="A736" s="78" t="s">
        <v>9</v>
      </c>
      <c r="B736" s="78" t="s">
        <v>2125</v>
      </c>
      <c r="C736" s="78" t="s">
        <v>2126</v>
      </c>
      <c r="D736" s="79">
        <v>260000</v>
      </c>
      <c r="E736" s="78" t="s">
        <v>107</v>
      </c>
      <c r="F736" s="80">
        <f t="shared" si="3"/>
        <v>0.41335453100158981</v>
      </c>
    </row>
    <row r="737" spans="1:6" ht="30">
      <c r="A737" s="78" t="s">
        <v>9</v>
      </c>
      <c r="B737" s="78" t="s">
        <v>2120</v>
      </c>
      <c r="C737" s="78" t="s">
        <v>2121</v>
      </c>
      <c r="D737" s="79">
        <v>20000</v>
      </c>
      <c r="E737" s="78" t="s">
        <v>108</v>
      </c>
      <c r="F737" s="80">
        <f t="shared" si="3"/>
        <v>3.1796502384737677E-2</v>
      </c>
    </row>
    <row r="738" spans="1:6">
      <c r="A738" s="78" t="s">
        <v>9</v>
      </c>
      <c r="B738" s="78" t="s">
        <v>2129</v>
      </c>
      <c r="C738" s="78" t="s">
        <v>2130</v>
      </c>
      <c r="D738" s="79">
        <v>260000</v>
      </c>
      <c r="E738" s="78" t="s">
        <v>108</v>
      </c>
      <c r="F738" s="80">
        <f t="shared" si="3"/>
        <v>0.41335453100158981</v>
      </c>
    </row>
    <row r="739" spans="1:6">
      <c r="A739" s="78" t="s">
        <v>9</v>
      </c>
      <c r="B739" s="78" t="s">
        <v>2116</v>
      </c>
      <c r="C739" s="78" t="s">
        <v>2118</v>
      </c>
      <c r="D739" s="78"/>
    </row>
    <row r="740" spans="1:6">
      <c r="A740" s="78" t="s">
        <v>9</v>
      </c>
      <c r="B740" s="78" t="s">
        <v>2116</v>
      </c>
      <c r="C740" s="78" t="s">
        <v>2119</v>
      </c>
      <c r="D740" s="78"/>
    </row>
    <row r="741" spans="1:6" ht="60">
      <c r="A741" s="78" t="s">
        <v>9</v>
      </c>
      <c r="B741" s="78" t="s">
        <v>2120</v>
      </c>
      <c r="C741" s="78" t="s">
        <v>2122</v>
      </c>
      <c r="D741" s="78"/>
    </row>
    <row r="742" spans="1:6">
      <c r="A742" s="78" t="s">
        <v>9</v>
      </c>
      <c r="B742" s="78" t="s">
        <v>2127</v>
      </c>
      <c r="C742" s="78" t="s">
        <v>2128</v>
      </c>
      <c r="D742" s="78"/>
    </row>
    <row r="743" spans="1:6" ht="30">
      <c r="A743" s="78" t="s">
        <v>9</v>
      </c>
      <c r="B743" s="78" t="s">
        <v>777</v>
      </c>
      <c r="C743" s="78" t="s">
        <v>2133</v>
      </c>
      <c r="D743" s="78"/>
    </row>
    <row r="744" spans="1:6" ht="60">
      <c r="A744" s="78" t="s">
        <v>2134</v>
      </c>
      <c r="B744" s="78" t="s">
        <v>2135</v>
      </c>
      <c r="C744" s="78" t="s">
        <v>2136</v>
      </c>
      <c r="D744" s="78"/>
    </row>
    <row r="745" spans="1:6" ht="30">
      <c r="A745" s="78" t="s">
        <v>2134</v>
      </c>
      <c r="B745" s="78" t="s">
        <v>2135</v>
      </c>
      <c r="C745" s="78" t="s">
        <v>2137</v>
      </c>
      <c r="D745" s="79">
        <v>1500</v>
      </c>
    </row>
    <row r="746" spans="1:6" ht="30">
      <c r="A746" s="78" t="s">
        <v>16</v>
      </c>
      <c r="B746" s="78" t="s">
        <v>2138</v>
      </c>
      <c r="C746" s="78" t="s">
        <v>2139</v>
      </c>
      <c r="D746" s="79">
        <v>9000</v>
      </c>
      <c r="E746" s="78" t="s">
        <v>180</v>
      </c>
    </row>
    <row r="747" spans="1:6">
      <c r="A747" s="78" t="s">
        <v>16</v>
      </c>
      <c r="B747" s="78" t="s">
        <v>2141</v>
      </c>
      <c r="C747" s="78" t="s">
        <v>2142</v>
      </c>
      <c r="D747" s="79">
        <v>5750</v>
      </c>
      <c r="E747" s="78" t="s">
        <v>180</v>
      </c>
    </row>
    <row r="748" spans="1:6">
      <c r="A748" s="78" t="s">
        <v>16</v>
      </c>
      <c r="B748" s="78" t="s">
        <v>2143</v>
      </c>
      <c r="C748" s="78" t="s">
        <v>2144</v>
      </c>
      <c r="D748" s="79">
        <v>15000</v>
      </c>
      <c r="E748" s="78" t="s">
        <v>180</v>
      </c>
    </row>
    <row r="749" spans="1:6" ht="30">
      <c r="A749" s="78" t="s">
        <v>16</v>
      </c>
      <c r="B749" s="78" t="s">
        <v>2145</v>
      </c>
      <c r="C749" s="78" t="s">
        <v>2146</v>
      </c>
      <c r="D749" s="79">
        <v>260000</v>
      </c>
      <c r="E749" s="78" t="s">
        <v>180</v>
      </c>
    </row>
    <row r="750" spans="1:6" ht="45">
      <c r="A750" s="78" t="s">
        <v>16</v>
      </c>
      <c r="B750" s="78" t="s">
        <v>2147</v>
      </c>
      <c r="C750" s="78" t="s">
        <v>2148</v>
      </c>
      <c r="D750" s="79">
        <v>50000</v>
      </c>
      <c r="E750" s="78" t="s">
        <v>180</v>
      </c>
    </row>
    <row r="751" spans="1:6">
      <c r="A751" s="78" t="s">
        <v>16</v>
      </c>
      <c r="B751" s="78" t="s">
        <v>2140</v>
      </c>
      <c r="C751" s="78" t="s">
        <v>1114</v>
      </c>
      <c r="D751" s="79">
        <v>15000</v>
      </c>
      <c r="E751" s="78" t="s">
        <v>179</v>
      </c>
    </row>
    <row r="752" spans="1:6" ht="30">
      <c r="A752" s="78" t="s">
        <v>16</v>
      </c>
      <c r="B752" s="78" t="s">
        <v>2147</v>
      </c>
      <c r="C752" s="78" t="s">
        <v>2149</v>
      </c>
      <c r="D752" s="78"/>
    </row>
    <row r="753" spans="1:4" ht="30">
      <c r="A753" s="78" t="s">
        <v>2150</v>
      </c>
      <c r="B753" s="78" t="s">
        <v>2151</v>
      </c>
      <c r="C753" s="78" t="s">
        <v>2152</v>
      </c>
      <c r="D753" s="79">
        <v>17000</v>
      </c>
    </row>
    <row r="754" spans="1:4" ht="45">
      <c r="A754" s="78" t="s">
        <v>2153</v>
      </c>
      <c r="B754" s="78" t="s">
        <v>2154</v>
      </c>
      <c r="C754" s="78" t="s">
        <v>2155</v>
      </c>
      <c r="D754" s="79">
        <v>70000</v>
      </c>
    </row>
    <row r="755" spans="1:4" ht="45">
      <c r="A755" s="78" t="s">
        <v>2153</v>
      </c>
      <c r="B755" s="78" t="s">
        <v>2156</v>
      </c>
      <c r="C755" s="78" t="s">
        <v>2157</v>
      </c>
      <c r="D755" s="78"/>
    </row>
    <row r="756" spans="1:4" ht="30">
      <c r="A756" s="78" t="s">
        <v>2153</v>
      </c>
      <c r="B756" s="78" t="s">
        <v>2156</v>
      </c>
      <c r="C756" s="78" t="s">
        <v>2158</v>
      </c>
      <c r="D756" s="79">
        <v>5000</v>
      </c>
    </row>
    <row r="757" spans="1:4" ht="30">
      <c r="A757" s="78" t="s">
        <v>2153</v>
      </c>
      <c r="B757" s="78" t="s">
        <v>2156</v>
      </c>
      <c r="C757" s="78" t="s">
        <v>2159</v>
      </c>
      <c r="D757" s="78"/>
    </row>
    <row r="758" spans="1:4" ht="30">
      <c r="A758" s="78" t="s">
        <v>2153</v>
      </c>
      <c r="B758" s="78" t="s">
        <v>2160</v>
      </c>
      <c r="C758" s="78" t="s">
        <v>2161</v>
      </c>
      <c r="D758" s="79">
        <v>1800</v>
      </c>
    </row>
    <row r="759" spans="1:4" ht="30">
      <c r="A759" s="78" t="s">
        <v>2153</v>
      </c>
      <c r="B759" s="78" t="s">
        <v>2160</v>
      </c>
      <c r="C759" s="78" t="s">
        <v>2162</v>
      </c>
      <c r="D759" s="78"/>
    </row>
    <row r="760" spans="1:4" ht="45">
      <c r="A760" s="78" t="s">
        <v>2153</v>
      </c>
      <c r="B760" s="78" t="s">
        <v>2160</v>
      </c>
      <c r="C760" s="78" t="s">
        <v>2163</v>
      </c>
      <c r="D760" s="78"/>
    </row>
    <row r="761" spans="1:4" ht="30">
      <c r="A761" s="78" t="s">
        <v>2153</v>
      </c>
      <c r="B761" s="78" t="s">
        <v>2164</v>
      </c>
      <c r="C761" s="78" t="s">
        <v>2165</v>
      </c>
      <c r="D761" s="79">
        <v>15000</v>
      </c>
    </row>
    <row r="762" spans="1:4" ht="45">
      <c r="A762" s="78" t="s">
        <v>2153</v>
      </c>
      <c r="B762" s="78" t="s">
        <v>2166</v>
      </c>
      <c r="C762" s="78" t="s">
        <v>2167</v>
      </c>
      <c r="D762" s="79">
        <v>5000</v>
      </c>
    </row>
    <row r="763" spans="1:4" ht="45">
      <c r="A763" s="78" t="s">
        <v>2153</v>
      </c>
      <c r="B763" s="78" t="s">
        <v>2168</v>
      </c>
      <c r="C763" s="78" t="s">
        <v>2169</v>
      </c>
      <c r="D763" s="78"/>
    </row>
    <row r="764" spans="1:4" ht="60">
      <c r="A764" s="78" t="s">
        <v>2153</v>
      </c>
      <c r="B764" s="78" t="s">
        <v>2170</v>
      </c>
      <c r="C764" s="78" t="s">
        <v>2171</v>
      </c>
      <c r="D764" s="79">
        <v>12000</v>
      </c>
    </row>
    <row r="765" spans="1:4" ht="45">
      <c r="A765" s="78" t="s">
        <v>2153</v>
      </c>
      <c r="B765" s="78" t="s">
        <v>2170</v>
      </c>
      <c r="C765" s="78" t="s">
        <v>2172</v>
      </c>
      <c r="D765" s="78">
        <v>800</v>
      </c>
    </row>
    <row r="766" spans="1:4" ht="45">
      <c r="A766" s="78" t="s">
        <v>2153</v>
      </c>
      <c r="B766" s="78" t="s">
        <v>2173</v>
      </c>
      <c r="C766" s="78" t="s">
        <v>2174</v>
      </c>
      <c r="D766" s="78"/>
    </row>
    <row r="767" spans="1:4" ht="30">
      <c r="A767" s="78" t="s">
        <v>2153</v>
      </c>
      <c r="B767" s="78" t="s">
        <v>2175</v>
      </c>
      <c r="C767" s="78" t="s">
        <v>2176</v>
      </c>
      <c r="D767" s="79">
        <v>1500</v>
      </c>
    </row>
    <row r="768" spans="1:4" ht="45">
      <c r="A768" s="78" t="s">
        <v>2153</v>
      </c>
      <c r="B768" s="78" t="s">
        <v>2175</v>
      </c>
      <c r="C768" s="78" t="s">
        <v>2177</v>
      </c>
      <c r="D768" s="79">
        <v>7000</v>
      </c>
    </row>
    <row r="769" spans="1:4" ht="60">
      <c r="A769" s="78" t="s">
        <v>2153</v>
      </c>
      <c r="B769" s="78" t="s">
        <v>2178</v>
      </c>
      <c r="C769" s="78" t="s">
        <v>2179</v>
      </c>
      <c r="D769" s="78"/>
    </row>
    <row r="770" spans="1:4" ht="45">
      <c r="A770" s="78" t="s">
        <v>2153</v>
      </c>
      <c r="B770" s="78" t="s">
        <v>2180</v>
      </c>
      <c r="C770" s="78" t="s">
        <v>2181</v>
      </c>
      <c r="D770" s="79">
        <v>36000</v>
      </c>
    </row>
    <row r="771" spans="1:4" ht="45">
      <c r="A771" s="78" t="s">
        <v>2153</v>
      </c>
      <c r="B771" s="78" t="s">
        <v>2180</v>
      </c>
      <c r="C771" s="78" t="s">
        <v>2182</v>
      </c>
      <c r="D771" s="78"/>
    </row>
    <row r="772" spans="1:4" ht="45">
      <c r="A772" s="78" t="s">
        <v>2153</v>
      </c>
      <c r="B772" s="78" t="s">
        <v>2180</v>
      </c>
      <c r="C772" s="78" t="s">
        <v>2167</v>
      </c>
      <c r="D772" s="79">
        <v>1000</v>
      </c>
    </row>
    <row r="773" spans="1:4" ht="45">
      <c r="A773" s="78" t="s">
        <v>2153</v>
      </c>
      <c r="B773" s="78" t="s">
        <v>2180</v>
      </c>
      <c r="C773" s="78" t="s">
        <v>2183</v>
      </c>
      <c r="D773" s="79">
        <v>5000</v>
      </c>
    </row>
    <row r="774" spans="1:4" ht="30">
      <c r="A774" s="78" t="s">
        <v>2153</v>
      </c>
      <c r="B774" s="78" t="s">
        <v>2184</v>
      </c>
      <c r="C774" s="78" t="s">
        <v>2185</v>
      </c>
      <c r="D774" s="78"/>
    </row>
    <row r="775" spans="1:4" ht="30">
      <c r="A775" s="78" t="s">
        <v>2153</v>
      </c>
      <c r="B775" s="78" t="s">
        <v>2186</v>
      </c>
      <c r="C775" s="78" t="s">
        <v>2187</v>
      </c>
      <c r="D775" s="78"/>
    </row>
    <row r="776" spans="1:4" ht="30">
      <c r="A776" s="78" t="s">
        <v>2153</v>
      </c>
      <c r="B776" s="78" t="s">
        <v>2188</v>
      </c>
      <c r="C776" s="78" t="s">
        <v>2189</v>
      </c>
      <c r="D776" s="78"/>
    </row>
    <row r="777" spans="1:4" ht="45">
      <c r="A777" s="78" t="s">
        <v>2153</v>
      </c>
      <c r="B777" s="78" t="s">
        <v>2190</v>
      </c>
      <c r="C777" s="78" t="s">
        <v>2191</v>
      </c>
      <c r="D777" s="78"/>
    </row>
    <row r="778" spans="1:4">
      <c r="A778" s="78" t="s">
        <v>2153</v>
      </c>
      <c r="B778" s="78" t="s">
        <v>2192</v>
      </c>
      <c r="C778" s="78" t="s">
        <v>2193</v>
      </c>
      <c r="D778" s="79">
        <v>40000</v>
      </c>
    </row>
    <row r="779" spans="1:4" ht="45">
      <c r="A779" s="78" t="s">
        <v>2153</v>
      </c>
      <c r="B779" s="78" t="s">
        <v>2194</v>
      </c>
      <c r="C779" s="78" t="s">
        <v>2195</v>
      </c>
      <c r="D779" s="78"/>
    </row>
    <row r="780" spans="1:4" ht="45">
      <c r="A780" s="78" t="s">
        <v>2153</v>
      </c>
      <c r="B780" s="78" t="s">
        <v>2196</v>
      </c>
      <c r="C780" s="78" t="s">
        <v>2197</v>
      </c>
      <c r="D780" s="79">
        <v>4200</v>
      </c>
    </row>
    <row r="781" spans="1:4" ht="45">
      <c r="A781" s="78" t="s">
        <v>2153</v>
      </c>
      <c r="B781" s="78" t="s">
        <v>2198</v>
      </c>
      <c r="C781" s="78" t="s">
        <v>2199</v>
      </c>
      <c r="D781" s="78"/>
    </row>
    <row r="782" spans="1:4" ht="60">
      <c r="A782" s="78" t="s">
        <v>2153</v>
      </c>
      <c r="B782" s="78" t="s">
        <v>2200</v>
      </c>
      <c r="C782" s="78" t="s">
        <v>2201</v>
      </c>
      <c r="D782" s="78"/>
    </row>
    <row r="783" spans="1:4" ht="45">
      <c r="A783" s="78" t="s">
        <v>2153</v>
      </c>
      <c r="B783" s="78" t="s">
        <v>2202</v>
      </c>
      <c r="C783" s="78" t="s">
        <v>2203</v>
      </c>
      <c r="D783" s="79">
        <v>1200</v>
      </c>
    </row>
    <row r="784" spans="1:4" ht="45">
      <c r="A784" s="78" t="s">
        <v>2153</v>
      </c>
      <c r="B784" s="78" t="s">
        <v>2202</v>
      </c>
      <c r="C784" s="78" t="s">
        <v>2204</v>
      </c>
      <c r="D784" s="79">
        <v>1900</v>
      </c>
    </row>
    <row r="785" spans="1:4" ht="45">
      <c r="A785" s="78" t="s">
        <v>2153</v>
      </c>
      <c r="B785" s="78" t="s">
        <v>2202</v>
      </c>
      <c r="C785" s="78" t="s">
        <v>2205</v>
      </c>
      <c r="D785" s="78"/>
    </row>
    <row r="786" spans="1:4" ht="30">
      <c r="A786" s="78" t="s">
        <v>2153</v>
      </c>
      <c r="B786" s="78" t="s">
        <v>2202</v>
      </c>
      <c r="C786" s="78" t="s">
        <v>2206</v>
      </c>
      <c r="D786" s="78"/>
    </row>
    <row r="787" spans="1:4" ht="45">
      <c r="A787" s="78" t="s">
        <v>2153</v>
      </c>
      <c r="B787" s="78" t="s">
        <v>2202</v>
      </c>
      <c r="C787" s="78" t="s">
        <v>2207</v>
      </c>
      <c r="D787" s="79">
        <v>1000</v>
      </c>
    </row>
    <row r="788" spans="1:4" ht="30">
      <c r="A788" s="78" t="s">
        <v>2153</v>
      </c>
      <c r="B788" s="78" t="s">
        <v>2202</v>
      </c>
      <c r="C788" s="78" t="s">
        <v>2208</v>
      </c>
      <c r="D788" s="79">
        <v>3500</v>
      </c>
    </row>
    <row r="789" spans="1:4" ht="45">
      <c r="A789" s="78" t="s">
        <v>2153</v>
      </c>
      <c r="B789" s="78" t="s">
        <v>2202</v>
      </c>
      <c r="C789" s="78" t="s">
        <v>2209</v>
      </c>
      <c r="D789" s="79">
        <v>1200</v>
      </c>
    </row>
    <row r="790" spans="1:4" ht="45">
      <c r="A790" s="78" t="s">
        <v>2153</v>
      </c>
      <c r="B790" s="78" t="s">
        <v>2202</v>
      </c>
      <c r="C790" s="78" t="s">
        <v>2210</v>
      </c>
      <c r="D790" s="78"/>
    </row>
    <row r="791" spans="1:4" ht="45">
      <c r="A791" s="78" t="s">
        <v>2153</v>
      </c>
      <c r="B791" s="78" t="s">
        <v>2202</v>
      </c>
      <c r="C791" s="78" t="s">
        <v>2211</v>
      </c>
      <c r="D791" s="79">
        <v>1500</v>
      </c>
    </row>
    <row r="792" spans="1:4" ht="30">
      <c r="A792" s="78" t="s">
        <v>2153</v>
      </c>
      <c r="B792" s="78" t="s">
        <v>2202</v>
      </c>
      <c r="C792" s="78" t="s">
        <v>2212</v>
      </c>
      <c r="D792" s="78"/>
    </row>
    <row r="793" spans="1:4" ht="45">
      <c r="A793" s="78" t="s">
        <v>2153</v>
      </c>
      <c r="B793" s="78" t="s">
        <v>2202</v>
      </c>
      <c r="C793" s="78" t="s">
        <v>2213</v>
      </c>
      <c r="D793" s="79">
        <v>1200</v>
      </c>
    </row>
    <row r="794" spans="1:4" ht="45">
      <c r="A794" s="78" t="s">
        <v>2153</v>
      </c>
      <c r="B794" s="78" t="s">
        <v>2202</v>
      </c>
      <c r="C794" s="78" t="s">
        <v>2214</v>
      </c>
      <c r="D794" s="79">
        <v>3000</v>
      </c>
    </row>
    <row r="795" spans="1:4" ht="60">
      <c r="A795" s="78" t="s">
        <v>2153</v>
      </c>
      <c r="B795" s="78" t="s">
        <v>2202</v>
      </c>
      <c r="C795" s="78" t="s">
        <v>2215</v>
      </c>
      <c r="D795" s="78">
        <v>400</v>
      </c>
    </row>
    <row r="796" spans="1:4" ht="60">
      <c r="A796" s="78" t="s">
        <v>2153</v>
      </c>
      <c r="B796" s="78" t="s">
        <v>2202</v>
      </c>
      <c r="C796" s="78" t="s">
        <v>2216</v>
      </c>
      <c r="D796" s="78"/>
    </row>
    <row r="797" spans="1:4" ht="30">
      <c r="A797" s="78" t="s">
        <v>2153</v>
      </c>
      <c r="B797" s="78" t="s">
        <v>2202</v>
      </c>
      <c r="C797" s="78" t="s">
        <v>2217</v>
      </c>
      <c r="D797" s="78"/>
    </row>
    <row r="798" spans="1:4" ht="45">
      <c r="A798" s="78" t="s">
        <v>2153</v>
      </c>
      <c r="B798" s="78" t="s">
        <v>2202</v>
      </c>
      <c r="C798" s="78" t="s">
        <v>2218</v>
      </c>
      <c r="D798" s="79">
        <v>2000</v>
      </c>
    </row>
    <row r="799" spans="1:4" ht="30">
      <c r="A799" s="78" t="s">
        <v>2153</v>
      </c>
      <c r="B799" s="78" t="s">
        <v>2219</v>
      </c>
      <c r="C799" s="78" t="s">
        <v>2220</v>
      </c>
      <c r="D799" s="79">
        <v>1500</v>
      </c>
    </row>
    <row r="800" spans="1:4" ht="45">
      <c r="A800" s="78" t="s">
        <v>2153</v>
      </c>
      <c r="B800" s="78" t="s">
        <v>2221</v>
      </c>
      <c r="C800" s="78" t="s">
        <v>2222</v>
      </c>
      <c r="D800" s="79">
        <v>3600</v>
      </c>
    </row>
    <row r="801" spans="1:4" ht="30">
      <c r="A801" s="78" t="s">
        <v>2153</v>
      </c>
      <c r="B801" s="78" t="s">
        <v>2223</v>
      </c>
      <c r="C801" s="78" t="s">
        <v>2224</v>
      </c>
      <c r="D801" s="78"/>
    </row>
    <row r="802" spans="1:4" ht="30">
      <c r="A802" s="78" t="s">
        <v>2153</v>
      </c>
      <c r="B802" s="78" t="s">
        <v>2223</v>
      </c>
      <c r="C802" s="78" t="s">
        <v>2225</v>
      </c>
      <c r="D802" s="78"/>
    </row>
    <row r="803" spans="1:4" ht="30">
      <c r="A803" s="78" t="s">
        <v>2153</v>
      </c>
      <c r="B803" s="78" t="s">
        <v>2223</v>
      </c>
      <c r="C803" s="78" t="s">
        <v>2226</v>
      </c>
      <c r="D803" s="78"/>
    </row>
    <row r="804" spans="1:4" ht="30">
      <c r="A804" s="78" t="s">
        <v>2153</v>
      </c>
      <c r="B804" s="78" t="s">
        <v>2223</v>
      </c>
      <c r="C804" s="78" t="s">
        <v>2227</v>
      </c>
      <c r="D804" s="79">
        <v>1400</v>
      </c>
    </row>
    <row r="805" spans="1:4" ht="45">
      <c r="A805" s="78" t="s">
        <v>2153</v>
      </c>
      <c r="B805" s="78" t="s">
        <v>2223</v>
      </c>
      <c r="C805" s="78" t="s">
        <v>2228</v>
      </c>
      <c r="D805" s="78">
        <v>700</v>
      </c>
    </row>
    <row r="806" spans="1:4" ht="30">
      <c r="A806" s="78" t="s">
        <v>2153</v>
      </c>
      <c r="B806" s="78" t="s">
        <v>2223</v>
      </c>
      <c r="C806" s="78" t="s">
        <v>2229</v>
      </c>
      <c r="D806" s="79">
        <v>7000</v>
      </c>
    </row>
    <row r="807" spans="1:4" ht="45">
      <c r="A807" s="78" t="s">
        <v>2153</v>
      </c>
      <c r="B807" s="78" t="s">
        <v>2223</v>
      </c>
      <c r="C807" s="78" t="s">
        <v>2230</v>
      </c>
      <c r="D807" s="78"/>
    </row>
    <row r="808" spans="1:4" ht="30">
      <c r="A808" s="78" t="s">
        <v>2153</v>
      </c>
      <c r="B808" s="78" t="s">
        <v>2223</v>
      </c>
      <c r="C808" s="78" t="s">
        <v>2231</v>
      </c>
      <c r="D808" s="78"/>
    </row>
    <row r="809" spans="1:4" ht="30">
      <c r="A809" s="78" t="s">
        <v>2153</v>
      </c>
      <c r="B809" s="78" t="s">
        <v>2223</v>
      </c>
      <c r="C809" s="78" t="s">
        <v>2232</v>
      </c>
      <c r="D809" s="79">
        <v>20000</v>
      </c>
    </row>
    <row r="810" spans="1:4" ht="30">
      <c r="A810" s="78" t="s">
        <v>2153</v>
      </c>
      <c r="B810" s="78" t="s">
        <v>2223</v>
      </c>
      <c r="C810" s="78" t="s">
        <v>2233</v>
      </c>
      <c r="D810" s="78"/>
    </row>
    <row r="811" spans="1:4" ht="45">
      <c r="A811" s="78" t="s">
        <v>2153</v>
      </c>
      <c r="B811" s="78" t="s">
        <v>2223</v>
      </c>
      <c r="C811" s="78" t="s">
        <v>2234</v>
      </c>
      <c r="D811" s="79">
        <v>2400</v>
      </c>
    </row>
    <row r="812" spans="1:4" ht="30">
      <c r="A812" s="78" t="s">
        <v>2153</v>
      </c>
      <c r="B812" s="78" t="s">
        <v>2223</v>
      </c>
      <c r="C812" s="78" t="s">
        <v>2235</v>
      </c>
      <c r="D812" s="79">
        <v>5000</v>
      </c>
    </row>
    <row r="813" spans="1:4" ht="30">
      <c r="A813" s="78" t="s">
        <v>2153</v>
      </c>
      <c r="B813" s="78" t="s">
        <v>2223</v>
      </c>
      <c r="C813" s="78" t="s">
        <v>2236</v>
      </c>
      <c r="D813" s="79">
        <v>1500</v>
      </c>
    </row>
    <row r="814" spans="1:4" ht="30">
      <c r="A814" s="78" t="s">
        <v>2153</v>
      </c>
      <c r="B814" s="78" t="s">
        <v>2223</v>
      </c>
      <c r="C814" s="78" t="s">
        <v>2237</v>
      </c>
      <c r="D814" s="78"/>
    </row>
    <row r="815" spans="1:4" ht="45">
      <c r="A815" s="78" t="s">
        <v>2153</v>
      </c>
      <c r="B815" s="78" t="s">
        <v>2223</v>
      </c>
      <c r="C815" s="78" t="s">
        <v>2238</v>
      </c>
      <c r="D815" s="78"/>
    </row>
    <row r="816" spans="1:4" ht="45">
      <c r="A816" s="78" t="s">
        <v>2153</v>
      </c>
      <c r="B816" s="78" t="s">
        <v>2239</v>
      </c>
      <c r="C816" s="78" t="s">
        <v>2240</v>
      </c>
      <c r="D816" s="78"/>
    </row>
    <row r="817" spans="1:4" ht="30">
      <c r="A817" s="78" t="s">
        <v>2153</v>
      </c>
      <c r="B817" s="78" t="s">
        <v>2239</v>
      </c>
      <c r="C817" s="78" t="s">
        <v>2189</v>
      </c>
      <c r="D817" s="78"/>
    </row>
    <row r="818" spans="1:4" ht="45">
      <c r="A818" s="78" t="s">
        <v>2153</v>
      </c>
      <c r="B818" s="78" t="s">
        <v>2241</v>
      </c>
      <c r="C818" s="78" t="s">
        <v>2242</v>
      </c>
      <c r="D818" s="78"/>
    </row>
    <row r="819" spans="1:4" ht="45">
      <c r="A819" s="78" t="s">
        <v>2153</v>
      </c>
      <c r="B819" s="78" t="s">
        <v>2243</v>
      </c>
      <c r="C819" s="78" t="s">
        <v>2244</v>
      </c>
      <c r="D819" s="78"/>
    </row>
    <row r="820" spans="1:4" ht="30">
      <c r="A820" s="78" t="s">
        <v>2153</v>
      </c>
      <c r="B820" s="78" t="s">
        <v>2245</v>
      </c>
      <c r="C820" s="78" t="s">
        <v>2246</v>
      </c>
      <c r="D820" s="78"/>
    </row>
    <row r="821" spans="1:4" ht="45">
      <c r="A821" s="78" t="s">
        <v>2153</v>
      </c>
      <c r="B821" s="78" t="s">
        <v>2247</v>
      </c>
      <c r="C821" s="78" t="s">
        <v>2248</v>
      </c>
      <c r="D821" s="78"/>
    </row>
    <row r="822" spans="1:4" ht="30">
      <c r="A822" s="78" t="s">
        <v>2153</v>
      </c>
      <c r="B822" s="78" t="s">
        <v>2249</v>
      </c>
      <c r="C822" s="78" t="s">
        <v>2250</v>
      </c>
      <c r="D822" s="78"/>
    </row>
    <row r="823" spans="1:4" ht="30">
      <c r="A823" s="78" t="s">
        <v>2153</v>
      </c>
      <c r="B823" s="78" t="s">
        <v>2249</v>
      </c>
      <c r="C823" s="78" t="s">
        <v>2251</v>
      </c>
      <c r="D823" s="78"/>
    </row>
    <row r="824" spans="1:4" ht="30">
      <c r="A824" s="78" t="s">
        <v>2153</v>
      </c>
      <c r="B824" s="78" t="s">
        <v>2249</v>
      </c>
      <c r="C824" s="78" t="s">
        <v>2252</v>
      </c>
      <c r="D824" s="78"/>
    </row>
    <row r="825" spans="1:4" ht="45">
      <c r="A825" s="78" t="s">
        <v>2153</v>
      </c>
      <c r="B825" s="78" t="s">
        <v>2249</v>
      </c>
      <c r="C825" s="78" t="s">
        <v>2253</v>
      </c>
      <c r="D825" s="78"/>
    </row>
    <row r="826" spans="1:4" ht="30">
      <c r="A826" s="78" t="s">
        <v>2153</v>
      </c>
      <c r="B826" s="78" t="s">
        <v>2249</v>
      </c>
      <c r="C826" s="78" t="s">
        <v>2254</v>
      </c>
      <c r="D826" s="78"/>
    </row>
    <row r="827" spans="1:4" ht="45">
      <c r="A827" s="78" t="s">
        <v>2153</v>
      </c>
      <c r="B827" s="78" t="s">
        <v>2249</v>
      </c>
      <c r="C827" s="78" t="s">
        <v>2255</v>
      </c>
      <c r="D827" s="79">
        <v>1000</v>
      </c>
    </row>
    <row r="828" spans="1:4" ht="30">
      <c r="A828" s="78" t="s">
        <v>2153</v>
      </c>
      <c r="B828" s="78" t="s">
        <v>2249</v>
      </c>
      <c r="C828" s="78" t="s">
        <v>2256</v>
      </c>
      <c r="D828" s="79">
        <v>10000</v>
      </c>
    </row>
    <row r="829" spans="1:4" ht="45">
      <c r="A829" s="78" t="s">
        <v>2153</v>
      </c>
      <c r="B829" s="78" t="s">
        <v>2249</v>
      </c>
      <c r="C829" s="78" t="s">
        <v>2257</v>
      </c>
      <c r="D829" s="78"/>
    </row>
    <row r="830" spans="1:4" ht="45">
      <c r="A830" s="78" t="s">
        <v>2153</v>
      </c>
      <c r="B830" s="78" t="s">
        <v>2249</v>
      </c>
      <c r="C830" s="78" t="s">
        <v>2258</v>
      </c>
      <c r="D830" s="78"/>
    </row>
    <row r="831" spans="1:4" ht="60">
      <c r="A831" s="78" t="s">
        <v>2153</v>
      </c>
      <c r="B831" s="78" t="s">
        <v>2249</v>
      </c>
      <c r="C831" s="78" t="s">
        <v>2259</v>
      </c>
      <c r="D831" s="78"/>
    </row>
    <row r="832" spans="1:4" ht="30">
      <c r="A832" s="78" t="s">
        <v>2153</v>
      </c>
      <c r="B832" s="78" t="s">
        <v>2249</v>
      </c>
      <c r="C832" s="78" t="s">
        <v>2260</v>
      </c>
      <c r="D832" s="78"/>
    </row>
    <row r="833" spans="1:4" ht="30">
      <c r="A833" s="78" t="s">
        <v>2153</v>
      </c>
      <c r="B833" s="78" t="s">
        <v>2249</v>
      </c>
      <c r="C833" s="78" t="s">
        <v>2261</v>
      </c>
      <c r="D833" s="78">
        <v>300</v>
      </c>
    </row>
    <row r="834" spans="1:4" ht="30">
      <c r="A834" s="78" t="s">
        <v>2153</v>
      </c>
      <c r="B834" s="78" t="s">
        <v>2249</v>
      </c>
      <c r="C834" s="78" t="s">
        <v>2262</v>
      </c>
      <c r="D834" s="78"/>
    </row>
    <row r="835" spans="1:4" ht="45">
      <c r="A835" s="78" t="s">
        <v>2153</v>
      </c>
      <c r="B835" s="78" t="s">
        <v>2249</v>
      </c>
      <c r="C835" s="78" t="s">
        <v>2263</v>
      </c>
      <c r="D835" s="78"/>
    </row>
    <row r="836" spans="1:4" ht="45">
      <c r="A836" s="78" t="s">
        <v>2153</v>
      </c>
      <c r="B836" s="78" t="s">
        <v>2249</v>
      </c>
      <c r="C836" s="78" t="s">
        <v>2264</v>
      </c>
      <c r="D836" s="78"/>
    </row>
    <row r="837" spans="1:4" ht="45">
      <c r="A837" s="78" t="s">
        <v>2153</v>
      </c>
      <c r="B837" s="78" t="s">
        <v>2249</v>
      </c>
      <c r="C837" s="78" t="s">
        <v>2265</v>
      </c>
      <c r="D837" s="78"/>
    </row>
    <row r="838" spans="1:4" ht="45">
      <c r="A838" s="78" t="s">
        <v>2153</v>
      </c>
      <c r="B838" s="78" t="s">
        <v>2249</v>
      </c>
      <c r="C838" s="78" t="s">
        <v>2266</v>
      </c>
      <c r="D838" s="78"/>
    </row>
    <row r="839" spans="1:4" ht="45">
      <c r="A839" s="78" t="s">
        <v>2153</v>
      </c>
      <c r="B839" s="78" t="s">
        <v>2249</v>
      </c>
      <c r="C839" s="78" t="s">
        <v>2267</v>
      </c>
      <c r="D839" s="78"/>
    </row>
    <row r="840" spans="1:4" ht="30">
      <c r="A840" s="78" t="s">
        <v>2153</v>
      </c>
      <c r="B840" s="78" t="s">
        <v>2268</v>
      </c>
      <c r="C840" s="78" t="s">
        <v>2269</v>
      </c>
      <c r="D840" s="78"/>
    </row>
    <row r="841" spans="1:4" ht="30">
      <c r="A841" s="78" t="s">
        <v>2153</v>
      </c>
      <c r="B841" s="78" t="s">
        <v>2270</v>
      </c>
      <c r="C841" s="78" t="s">
        <v>2271</v>
      </c>
      <c r="D841" s="78"/>
    </row>
    <row r="842" spans="1:4" ht="45">
      <c r="A842" s="78" t="s">
        <v>2153</v>
      </c>
      <c r="B842" s="78" t="s">
        <v>2272</v>
      </c>
      <c r="C842" s="78" t="s">
        <v>2273</v>
      </c>
      <c r="D842" s="78"/>
    </row>
    <row r="843" spans="1:4" ht="30">
      <c r="A843" s="78" t="s">
        <v>2153</v>
      </c>
      <c r="B843" s="78" t="s">
        <v>2274</v>
      </c>
      <c r="C843" s="78" t="s">
        <v>2275</v>
      </c>
      <c r="D843" s="78"/>
    </row>
    <row r="844" spans="1:4" ht="45">
      <c r="A844" s="78" t="s">
        <v>2153</v>
      </c>
      <c r="B844" s="78" t="s">
        <v>2274</v>
      </c>
      <c r="C844" s="78" t="s">
        <v>2276</v>
      </c>
      <c r="D844" s="78"/>
    </row>
    <row r="845" spans="1:4" ht="45">
      <c r="A845" s="78" t="s">
        <v>2153</v>
      </c>
      <c r="B845" s="78" t="s">
        <v>2277</v>
      </c>
      <c r="C845" s="78" t="s">
        <v>2278</v>
      </c>
      <c r="D845" s="79">
        <v>3600</v>
      </c>
    </row>
    <row r="846" spans="1:4" ht="30">
      <c r="A846" s="78" t="s">
        <v>2153</v>
      </c>
      <c r="B846" s="78" t="s">
        <v>2279</v>
      </c>
      <c r="C846" s="78" t="s">
        <v>2280</v>
      </c>
      <c r="D846" s="78"/>
    </row>
    <row r="847" spans="1:4" ht="45">
      <c r="A847" s="78" t="s">
        <v>2153</v>
      </c>
      <c r="B847" s="78" t="s">
        <v>2281</v>
      </c>
      <c r="C847" s="78" t="s">
        <v>2282</v>
      </c>
      <c r="D847" s="78"/>
    </row>
    <row r="848" spans="1:4" ht="45">
      <c r="A848" s="78" t="s">
        <v>2153</v>
      </c>
      <c r="B848" s="78" t="s">
        <v>2283</v>
      </c>
      <c r="C848" s="78" t="s">
        <v>2284</v>
      </c>
      <c r="D848" s="79">
        <v>1500</v>
      </c>
    </row>
    <row r="849" spans="1:4" ht="30">
      <c r="A849" s="78" t="s">
        <v>2153</v>
      </c>
      <c r="B849" s="78" t="s">
        <v>2283</v>
      </c>
      <c r="C849" s="78" t="s">
        <v>2285</v>
      </c>
      <c r="D849" s="78"/>
    </row>
    <row r="850" spans="1:4" ht="45">
      <c r="A850" s="78" t="s">
        <v>2153</v>
      </c>
      <c r="B850" s="78" t="s">
        <v>2286</v>
      </c>
      <c r="C850" s="78" t="s">
        <v>2287</v>
      </c>
      <c r="D850" s="78">
        <v>360</v>
      </c>
    </row>
    <row r="851" spans="1:4" ht="45">
      <c r="A851" s="78" t="s">
        <v>2153</v>
      </c>
      <c r="B851" s="78" t="s">
        <v>2288</v>
      </c>
      <c r="C851" s="78" t="s">
        <v>2289</v>
      </c>
      <c r="D851" s="78">
        <v>900</v>
      </c>
    </row>
    <row r="852" spans="1:4" ht="30">
      <c r="A852" s="78" t="s">
        <v>2153</v>
      </c>
      <c r="B852" s="78" t="s">
        <v>2288</v>
      </c>
      <c r="C852" s="78" t="s">
        <v>2290</v>
      </c>
      <c r="D852" s="79">
        <v>5000</v>
      </c>
    </row>
    <row r="853" spans="1:4" ht="30">
      <c r="A853" s="78" t="s">
        <v>2153</v>
      </c>
      <c r="B853" s="78" t="s">
        <v>2288</v>
      </c>
      <c r="C853" s="78" t="s">
        <v>2291</v>
      </c>
      <c r="D853" s="78"/>
    </row>
    <row r="854" spans="1:4" ht="30">
      <c r="A854" s="78" t="s">
        <v>2153</v>
      </c>
      <c r="B854" s="78" t="s">
        <v>2288</v>
      </c>
      <c r="C854" s="78" t="s">
        <v>2292</v>
      </c>
      <c r="D854" s="78"/>
    </row>
    <row r="855" spans="1:4" ht="45">
      <c r="A855" s="78" t="s">
        <v>2153</v>
      </c>
      <c r="B855" s="78" t="s">
        <v>2293</v>
      </c>
      <c r="C855" s="78" t="s">
        <v>2294</v>
      </c>
      <c r="D855" s="78">
        <v>600</v>
      </c>
    </row>
    <row r="856" spans="1:4" ht="30">
      <c r="A856" s="78" t="s">
        <v>2153</v>
      </c>
      <c r="B856" s="78" t="s">
        <v>2295</v>
      </c>
      <c r="C856" s="78" t="s">
        <v>2185</v>
      </c>
      <c r="D856" s="78"/>
    </row>
    <row r="857" spans="1:4" ht="30">
      <c r="A857" s="78" t="s">
        <v>2153</v>
      </c>
      <c r="B857" s="78" t="s">
        <v>2296</v>
      </c>
      <c r="C857" s="78" t="s">
        <v>2189</v>
      </c>
      <c r="D857" s="78"/>
    </row>
    <row r="858" spans="1:4" ht="60">
      <c r="A858" s="78" t="s">
        <v>2153</v>
      </c>
      <c r="B858" s="78" t="s">
        <v>2297</v>
      </c>
      <c r="C858" s="78" t="s">
        <v>2298</v>
      </c>
      <c r="D858" s="79">
        <v>42000</v>
      </c>
    </row>
    <row r="859" spans="1:4" ht="45">
      <c r="A859" s="78" t="s">
        <v>2153</v>
      </c>
      <c r="B859" s="78" t="s">
        <v>2299</v>
      </c>
      <c r="C859" s="78" t="s">
        <v>2300</v>
      </c>
      <c r="D859" s="78"/>
    </row>
    <row r="860" spans="1:4" ht="45">
      <c r="A860" s="78" t="s">
        <v>2153</v>
      </c>
      <c r="B860" s="78" t="s">
        <v>2299</v>
      </c>
      <c r="C860" s="78" t="s">
        <v>2301</v>
      </c>
      <c r="D860" s="78"/>
    </row>
    <row r="861" spans="1:4" ht="30">
      <c r="A861" s="78" t="s">
        <v>2153</v>
      </c>
      <c r="B861" s="78" t="s">
        <v>2299</v>
      </c>
      <c r="C861" s="78" t="s">
        <v>2302</v>
      </c>
      <c r="D861" s="78"/>
    </row>
    <row r="862" spans="1:4" ht="45">
      <c r="A862" s="78" t="s">
        <v>2153</v>
      </c>
      <c r="B862" s="78" t="s">
        <v>2299</v>
      </c>
      <c r="C862" s="78" t="s">
        <v>2303</v>
      </c>
      <c r="D862" s="78"/>
    </row>
    <row r="863" spans="1:4" ht="45">
      <c r="A863" s="78" t="s">
        <v>2153</v>
      </c>
      <c r="B863" s="78" t="s">
        <v>2299</v>
      </c>
      <c r="C863" s="78" t="s">
        <v>2304</v>
      </c>
      <c r="D863" s="78"/>
    </row>
    <row r="864" spans="1:4" ht="30">
      <c r="A864" s="78" t="s">
        <v>2153</v>
      </c>
      <c r="B864" s="78" t="s">
        <v>2299</v>
      </c>
      <c r="C864" s="78" t="s">
        <v>2305</v>
      </c>
      <c r="D864" s="78"/>
    </row>
    <row r="865" spans="1:4">
      <c r="A865" s="78" t="s">
        <v>2153</v>
      </c>
      <c r="B865" s="78" t="s">
        <v>2299</v>
      </c>
      <c r="C865" s="78" t="s">
        <v>2193</v>
      </c>
      <c r="D865" s="79">
        <v>35000</v>
      </c>
    </row>
    <row r="866" spans="1:4" ht="45">
      <c r="A866" s="78" t="s">
        <v>2153</v>
      </c>
      <c r="B866" s="78" t="s">
        <v>2299</v>
      </c>
      <c r="C866" s="78" t="s">
        <v>2306</v>
      </c>
      <c r="D866" s="79">
        <v>1500</v>
      </c>
    </row>
    <row r="867" spans="1:4" ht="45">
      <c r="A867" s="78" t="s">
        <v>2153</v>
      </c>
      <c r="B867" s="78" t="s">
        <v>2299</v>
      </c>
      <c r="C867" s="78" t="s">
        <v>2307</v>
      </c>
      <c r="D867" s="78"/>
    </row>
    <row r="868" spans="1:4" ht="30">
      <c r="A868" s="78" t="s">
        <v>2153</v>
      </c>
      <c r="B868" s="78" t="s">
        <v>2299</v>
      </c>
      <c r="C868" s="78" t="s">
        <v>2308</v>
      </c>
      <c r="D868" s="78"/>
    </row>
    <row r="869" spans="1:4" ht="30">
      <c r="A869" s="78" t="s">
        <v>2153</v>
      </c>
      <c r="B869" s="78" t="s">
        <v>2299</v>
      </c>
      <c r="C869" s="78" t="s">
        <v>2309</v>
      </c>
      <c r="D869" s="78"/>
    </row>
    <row r="870" spans="1:4" ht="30">
      <c r="A870" s="78" t="s">
        <v>2153</v>
      </c>
      <c r="B870" s="78" t="s">
        <v>2299</v>
      </c>
      <c r="C870" s="78" t="s">
        <v>2310</v>
      </c>
      <c r="D870" s="78"/>
    </row>
    <row r="871" spans="1:4" ht="30">
      <c r="A871" s="78" t="s">
        <v>2153</v>
      </c>
      <c r="B871" s="78" t="s">
        <v>2299</v>
      </c>
      <c r="C871" s="78" t="s">
        <v>2311</v>
      </c>
      <c r="D871" s="78"/>
    </row>
    <row r="872" spans="1:4">
      <c r="A872" s="78" t="s">
        <v>2153</v>
      </c>
      <c r="B872" s="78" t="s">
        <v>2299</v>
      </c>
      <c r="C872" s="78" t="s">
        <v>2312</v>
      </c>
      <c r="D872" s="78"/>
    </row>
    <row r="873" spans="1:4" ht="30">
      <c r="A873" s="78" t="s">
        <v>2153</v>
      </c>
      <c r="B873" s="78" t="s">
        <v>2299</v>
      </c>
      <c r="C873" s="78" t="s">
        <v>2313</v>
      </c>
      <c r="D873" s="78"/>
    </row>
    <row r="874" spans="1:4" ht="45">
      <c r="A874" s="78" t="s">
        <v>2153</v>
      </c>
      <c r="B874" s="78" t="s">
        <v>2299</v>
      </c>
      <c r="C874" s="78" t="s">
        <v>2314</v>
      </c>
      <c r="D874" s="78"/>
    </row>
    <row r="875" spans="1:4" ht="45">
      <c r="A875" s="78" t="s">
        <v>2153</v>
      </c>
      <c r="B875" s="78" t="s">
        <v>2299</v>
      </c>
      <c r="C875" s="78" t="s">
        <v>2315</v>
      </c>
      <c r="D875" s="78"/>
    </row>
    <row r="876" spans="1:4" ht="30">
      <c r="A876" s="78" t="s">
        <v>2153</v>
      </c>
      <c r="B876" s="78" t="s">
        <v>2299</v>
      </c>
      <c r="C876" s="78" t="s">
        <v>2316</v>
      </c>
      <c r="D876" s="78"/>
    </row>
    <row r="877" spans="1:4" ht="30">
      <c r="A877" s="78" t="s">
        <v>2153</v>
      </c>
      <c r="B877" s="78" t="s">
        <v>2299</v>
      </c>
      <c r="C877" s="78" t="s">
        <v>2317</v>
      </c>
      <c r="D877" s="78"/>
    </row>
    <row r="878" spans="1:4" ht="30">
      <c r="A878" s="78" t="s">
        <v>2153</v>
      </c>
      <c r="B878" s="78" t="s">
        <v>2299</v>
      </c>
      <c r="C878" s="78" t="s">
        <v>2318</v>
      </c>
      <c r="D878" s="78"/>
    </row>
    <row r="879" spans="1:4" ht="45">
      <c r="A879" s="78" t="s">
        <v>2153</v>
      </c>
      <c r="B879" s="78" t="s">
        <v>2299</v>
      </c>
      <c r="C879" s="78" t="s">
        <v>2319</v>
      </c>
      <c r="D879" s="78"/>
    </row>
    <row r="880" spans="1:4" ht="30">
      <c r="A880" s="78" t="s">
        <v>2153</v>
      </c>
      <c r="B880" s="78" t="s">
        <v>2320</v>
      </c>
      <c r="C880" s="78" t="s">
        <v>2321</v>
      </c>
      <c r="D880" s="78"/>
    </row>
    <row r="881" spans="1:4" ht="45">
      <c r="A881" s="78" t="s">
        <v>2153</v>
      </c>
      <c r="B881" s="78" t="s">
        <v>2320</v>
      </c>
      <c r="C881" s="78" t="s">
        <v>2322</v>
      </c>
      <c r="D881" s="79">
        <v>36000</v>
      </c>
    </row>
    <row r="882" spans="1:4" ht="45">
      <c r="A882" s="78" t="s">
        <v>2153</v>
      </c>
      <c r="B882" s="78" t="s">
        <v>2323</v>
      </c>
      <c r="C882" s="78" t="s">
        <v>2324</v>
      </c>
      <c r="D882" s="78"/>
    </row>
    <row r="883" spans="1:4" ht="30">
      <c r="A883" s="78" t="s">
        <v>2153</v>
      </c>
      <c r="B883" s="78" t="s">
        <v>2325</v>
      </c>
      <c r="C883" s="78" t="s">
        <v>2326</v>
      </c>
      <c r="D883" s="78"/>
    </row>
    <row r="884" spans="1:4" ht="45">
      <c r="A884" s="78" t="s">
        <v>2153</v>
      </c>
      <c r="B884" s="78" t="s">
        <v>2325</v>
      </c>
      <c r="C884" s="78" t="s">
        <v>2327</v>
      </c>
      <c r="D884" s="78"/>
    </row>
    <row r="885" spans="1:4" ht="45">
      <c r="A885" s="78" t="s">
        <v>2153</v>
      </c>
      <c r="B885" s="78" t="s">
        <v>2328</v>
      </c>
      <c r="C885" s="78" t="s">
        <v>2329</v>
      </c>
      <c r="D885" s="79">
        <v>2000</v>
      </c>
    </row>
    <row r="886" spans="1:4" ht="30">
      <c r="A886" s="78" t="s">
        <v>2153</v>
      </c>
      <c r="B886" s="78" t="s">
        <v>2330</v>
      </c>
      <c r="C886" s="78" t="s">
        <v>2331</v>
      </c>
      <c r="D886" s="78"/>
    </row>
    <row r="887" spans="1:4" ht="30">
      <c r="A887" s="78" t="s">
        <v>2153</v>
      </c>
      <c r="B887" s="78" t="s">
        <v>2330</v>
      </c>
      <c r="C887" s="78" t="s">
        <v>2332</v>
      </c>
      <c r="D887" s="78"/>
    </row>
    <row r="888" spans="1:4" ht="30">
      <c r="A888" s="78" t="s">
        <v>2153</v>
      </c>
      <c r="B888" s="78" t="s">
        <v>2330</v>
      </c>
      <c r="C888" s="78" t="s">
        <v>2333</v>
      </c>
      <c r="D888" s="78"/>
    </row>
    <row r="889" spans="1:4" ht="30">
      <c r="A889" s="78" t="s">
        <v>2153</v>
      </c>
      <c r="B889" s="78" t="s">
        <v>2330</v>
      </c>
      <c r="C889" s="78" t="s">
        <v>2334</v>
      </c>
      <c r="D889" s="79">
        <v>1400</v>
      </c>
    </row>
    <row r="890" spans="1:4" ht="30">
      <c r="A890" s="78" t="s">
        <v>2153</v>
      </c>
      <c r="B890" s="78" t="s">
        <v>2330</v>
      </c>
      <c r="C890" s="78" t="s">
        <v>2335</v>
      </c>
      <c r="D890" s="78"/>
    </row>
    <row r="891" spans="1:4" ht="30">
      <c r="A891" s="78" t="s">
        <v>2153</v>
      </c>
      <c r="B891" s="78" t="s">
        <v>2330</v>
      </c>
      <c r="C891" s="78" t="s">
        <v>2336</v>
      </c>
      <c r="D891" s="78">
        <v>600</v>
      </c>
    </row>
    <row r="892" spans="1:4" ht="30">
      <c r="A892" s="78" t="s">
        <v>2153</v>
      </c>
      <c r="B892" s="78" t="s">
        <v>2330</v>
      </c>
      <c r="C892" s="78" t="s">
        <v>2337</v>
      </c>
      <c r="D892" s="78"/>
    </row>
    <row r="893" spans="1:4" ht="30">
      <c r="A893" s="78" t="s">
        <v>2153</v>
      </c>
      <c r="B893" s="78" t="s">
        <v>2330</v>
      </c>
      <c r="C893" s="78" t="s">
        <v>2338</v>
      </c>
      <c r="D893" s="78"/>
    </row>
    <row r="894" spans="1:4" ht="45">
      <c r="A894" s="78" t="s">
        <v>2153</v>
      </c>
      <c r="B894" s="78" t="s">
        <v>2339</v>
      </c>
      <c r="C894" s="78" t="s">
        <v>2340</v>
      </c>
      <c r="D894" s="78"/>
    </row>
    <row r="895" spans="1:4" ht="45">
      <c r="A895" s="78" t="s">
        <v>2153</v>
      </c>
      <c r="B895" s="78" t="s">
        <v>2341</v>
      </c>
      <c r="C895" s="78" t="s">
        <v>2195</v>
      </c>
      <c r="D895" s="79">
        <v>10000</v>
      </c>
    </row>
    <row r="896" spans="1:4" ht="45">
      <c r="A896" s="78" t="s">
        <v>2153</v>
      </c>
      <c r="B896" s="78" t="s">
        <v>2342</v>
      </c>
      <c r="C896" s="78" t="s">
        <v>2343</v>
      </c>
      <c r="D896" s="78"/>
    </row>
    <row r="897" spans="1:4" ht="30">
      <c r="A897" s="78" t="s">
        <v>2153</v>
      </c>
      <c r="B897" s="78" t="s">
        <v>2342</v>
      </c>
      <c r="C897" s="78" t="s">
        <v>2344</v>
      </c>
      <c r="D897" s="78"/>
    </row>
    <row r="898" spans="1:4" ht="30">
      <c r="A898" s="78" t="s">
        <v>2153</v>
      </c>
      <c r="B898" s="78" t="s">
        <v>2345</v>
      </c>
      <c r="C898" s="78" t="s">
        <v>2346</v>
      </c>
      <c r="D898" s="78"/>
    </row>
    <row r="899" spans="1:4" ht="30">
      <c r="A899" s="78" t="s">
        <v>2153</v>
      </c>
      <c r="B899" s="78" t="s">
        <v>2347</v>
      </c>
      <c r="C899" s="78" t="s">
        <v>2348</v>
      </c>
      <c r="D899" s="78"/>
    </row>
    <row r="900" spans="1:4" ht="60">
      <c r="A900" s="78" t="s">
        <v>2153</v>
      </c>
      <c r="B900" s="78" t="s">
        <v>2349</v>
      </c>
      <c r="C900" s="78" t="s">
        <v>2350</v>
      </c>
      <c r="D900" s="78"/>
    </row>
    <row r="901" spans="1:4" ht="30">
      <c r="A901" s="78" t="s">
        <v>2153</v>
      </c>
      <c r="B901" s="78" t="s">
        <v>2349</v>
      </c>
      <c r="C901" s="78" t="s">
        <v>2351</v>
      </c>
      <c r="D901" s="79">
        <v>1800</v>
      </c>
    </row>
    <row r="902" spans="1:4" ht="45">
      <c r="A902" s="78" t="s">
        <v>2153</v>
      </c>
      <c r="B902" s="78" t="s">
        <v>2352</v>
      </c>
      <c r="C902" s="78" t="s">
        <v>2222</v>
      </c>
      <c r="D902" s="79">
        <v>32000</v>
      </c>
    </row>
    <row r="903" spans="1:4" ht="60">
      <c r="A903" s="78" t="s">
        <v>2153</v>
      </c>
      <c r="B903" s="78" t="s">
        <v>2353</v>
      </c>
      <c r="C903" s="78" t="s">
        <v>2354</v>
      </c>
      <c r="D903" s="79">
        <v>6000</v>
      </c>
    </row>
    <row r="904" spans="1:4" ht="30">
      <c r="A904" s="78" t="s">
        <v>2153</v>
      </c>
      <c r="B904" s="78" t="s">
        <v>2355</v>
      </c>
      <c r="C904" s="78" t="s">
        <v>2356</v>
      </c>
      <c r="D904" s="78"/>
    </row>
    <row r="905" spans="1:4" ht="30">
      <c r="A905" s="78" t="s">
        <v>2153</v>
      </c>
      <c r="B905" s="78" t="s">
        <v>2357</v>
      </c>
      <c r="C905" s="78" t="s">
        <v>2189</v>
      </c>
      <c r="D905" s="78"/>
    </row>
    <row r="906" spans="1:4" ht="30">
      <c r="A906" s="78" t="s">
        <v>2153</v>
      </c>
      <c r="B906" s="78" t="s">
        <v>2358</v>
      </c>
      <c r="C906" s="78" t="s">
        <v>2359</v>
      </c>
      <c r="D906" s="78"/>
    </row>
    <row r="907" spans="1:4" ht="30">
      <c r="A907" s="78" t="s">
        <v>2153</v>
      </c>
      <c r="B907" s="78" t="s">
        <v>2358</v>
      </c>
      <c r="C907" s="78" t="s">
        <v>2360</v>
      </c>
      <c r="D907" s="78"/>
    </row>
    <row r="908" spans="1:4" ht="45">
      <c r="A908" s="78" t="s">
        <v>2153</v>
      </c>
      <c r="B908" s="78" t="s">
        <v>2358</v>
      </c>
      <c r="C908" s="78" t="s">
        <v>2304</v>
      </c>
      <c r="D908" s="78"/>
    </row>
    <row r="909" spans="1:4" ht="30">
      <c r="A909" s="78" t="s">
        <v>2153</v>
      </c>
      <c r="B909" s="78" t="s">
        <v>2358</v>
      </c>
      <c r="C909" s="78" t="s">
        <v>2361</v>
      </c>
      <c r="D909" s="78">
        <v>300</v>
      </c>
    </row>
    <row r="910" spans="1:4" ht="45">
      <c r="A910" s="78" t="s">
        <v>2153</v>
      </c>
      <c r="B910" s="78" t="s">
        <v>2358</v>
      </c>
      <c r="C910" s="78" t="s">
        <v>2362</v>
      </c>
      <c r="D910" s="79">
        <v>2500</v>
      </c>
    </row>
    <row r="911" spans="1:4" ht="30">
      <c r="A911" s="78" t="s">
        <v>2153</v>
      </c>
      <c r="B911" s="78" t="s">
        <v>2358</v>
      </c>
      <c r="C911" s="78" t="s">
        <v>2363</v>
      </c>
      <c r="D911" s="78"/>
    </row>
    <row r="912" spans="1:4" ht="60">
      <c r="A912" s="78" t="s">
        <v>2153</v>
      </c>
      <c r="B912" s="78" t="s">
        <v>2358</v>
      </c>
      <c r="C912" s="78" t="s">
        <v>2364</v>
      </c>
      <c r="D912" s="78"/>
    </row>
    <row r="913" spans="1:4" ht="30">
      <c r="A913" s="78" t="s">
        <v>2153</v>
      </c>
      <c r="B913" s="78" t="s">
        <v>2358</v>
      </c>
      <c r="C913" s="78" t="s">
        <v>2365</v>
      </c>
      <c r="D913" s="78"/>
    </row>
    <row r="914" spans="1:4">
      <c r="A914" s="78" t="s">
        <v>2153</v>
      </c>
      <c r="B914" s="78" t="s">
        <v>2358</v>
      </c>
      <c r="C914" s="78" t="s">
        <v>2366</v>
      </c>
      <c r="D914" s="78"/>
    </row>
    <row r="915" spans="1:4" ht="45">
      <c r="A915" s="78" t="s">
        <v>2153</v>
      </c>
      <c r="B915" s="78" t="s">
        <v>2358</v>
      </c>
      <c r="C915" s="78" t="s">
        <v>2367</v>
      </c>
      <c r="D915" s="78"/>
    </row>
    <row r="916" spans="1:4" ht="30">
      <c r="A916" s="78" t="s">
        <v>2153</v>
      </c>
      <c r="B916" s="78" t="s">
        <v>2358</v>
      </c>
      <c r="C916" s="78" t="s">
        <v>2368</v>
      </c>
      <c r="D916" s="78">
        <v>600</v>
      </c>
    </row>
    <row r="917" spans="1:4" ht="30">
      <c r="A917" s="78" t="s">
        <v>2153</v>
      </c>
      <c r="B917" s="78" t="s">
        <v>2358</v>
      </c>
      <c r="C917" s="78" t="s">
        <v>2369</v>
      </c>
      <c r="D917" s="78"/>
    </row>
    <row r="918" spans="1:4" ht="30">
      <c r="A918" s="78" t="s">
        <v>2153</v>
      </c>
      <c r="B918" s="78" t="s">
        <v>2358</v>
      </c>
      <c r="C918" s="78" t="s">
        <v>2370</v>
      </c>
      <c r="D918" s="78"/>
    </row>
    <row r="919" spans="1:4" ht="30">
      <c r="A919" s="78" t="s">
        <v>2153</v>
      </c>
      <c r="B919" s="78" t="s">
        <v>2358</v>
      </c>
      <c r="C919" s="78" t="s">
        <v>2371</v>
      </c>
      <c r="D919" s="79">
        <v>1800</v>
      </c>
    </row>
    <row r="920" spans="1:4" ht="30">
      <c r="A920" s="78" t="s">
        <v>2153</v>
      </c>
      <c r="B920" s="78" t="s">
        <v>2358</v>
      </c>
      <c r="C920" s="78" t="s">
        <v>2372</v>
      </c>
      <c r="D920" s="78"/>
    </row>
    <row r="921" spans="1:4" ht="45">
      <c r="A921" s="78" t="s">
        <v>2153</v>
      </c>
      <c r="B921" s="78" t="s">
        <v>2358</v>
      </c>
      <c r="C921" s="78" t="s">
        <v>2373</v>
      </c>
      <c r="D921" s="78"/>
    </row>
    <row r="922" spans="1:4" ht="45">
      <c r="A922" s="78" t="s">
        <v>2153</v>
      </c>
      <c r="B922" s="78" t="s">
        <v>2358</v>
      </c>
      <c r="C922" s="78" t="s">
        <v>2244</v>
      </c>
      <c r="D922" s="79">
        <v>2000</v>
      </c>
    </row>
    <row r="923" spans="1:4" ht="30">
      <c r="A923" s="78" t="s">
        <v>2153</v>
      </c>
      <c r="B923" s="78" t="s">
        <v>2374</v>
      </c>
      <c r="C923" s="78" t="s">
        <v>2375</v>
      </c>
      <c r="D923" s="78"/>
    </row>
    <row r="924" spans="1:4" ht="30">
      <c r="A924" s="78" t="s">
        <v>2153</v>
      </c>
      <c r="B924" s="78" t="s">
        <v>2374</v>
      </c>
      <c r="C924" s="78" t="s">
        <v>2165</v>
      </c>
      <c r="D924" s="79">
        <v>45000</v>
      </c>
    </row>
    <row r="925" spans="1:4" ht="45">
      <c r="A925" s="78" t="s">
        <v>2153</v>
      </c>
      <c r="B925" s="78" t="s">
        <v>2376</v>
      </c>
      <c r="C925" s="78" t="s">
        <v>2377</v>
      </c>
      <c r="D925" s="78"/>
    </row>
    <row r="926" spans="1:4" ht="45">
      <c r="A926" s="78" t="s">
        <v>2153</v>
      </c>
      <c r="B926" s="78" t="s">
        <v>2378</v>
      </c>
      <c r="C926" s="78" t="s">
        <v>2379</v>
      </c>
      <c r="D926" s="78"/>
    </row>
    <row r="927" spans="1:4" ht="30">
      <c r="A927" s="78" t="s">
        <v>2153</v>
      </c>
      <c r="B927" s="78" t="s">
        <v>2380</v>
      </c>
      <c r="C927" s="78" t="s">
        <v>2381</v>
      </c>
      <c r="D927" s="79">
        <v>7200</v>
      </c>
    </row>
    <row r="928" spans="1:4" ht="45">
      <c r="A928" s="78" t="s">
        <v>2153</v>
      </c>
      <c r="B928" s="78" t="s">
        <v>2382</v>
      </c>
      <c r="C928" s="78" t="s">
        <v>2383</v>
      </c>
      <c r="D928" s="78"/>
    </row>
    <row r="929" spans="1:4" ht="45">
      <c r="A929" s="78" t="s">
        <v>2153</v>
      </c>
      <c r="B929" s="78" t="s">
        <v>2384</v>
      </c>
      <c r="C929" s="78" t="s">
        <v>2210</v>
      </c>
      <c r="D929" s="78"/>
    </row>
    <row r="930" spans="1:4" ht="30">
      <c r="A930" s="78" t="s">
        <v>2153</v>
      </c>
      <c r="B930" s="78" t="s">
        <v>2384</v>
      </c>
      <c r="C930" s="78" t="s">
        <v>2385</v>
      </c>
      <c r="D930" s="78"/>
    </row>
    <row r="931" spans="1:4" ht="45">
      <c r="A931" s="78" t="s">
        <v>2153</v>
      </c>
      <c r="B931" s="78" t="s">
        <v>2384</v>
      </c>
      <c r="C931" s="78" t="s">
        <v>2386</v>
      </c>
      <c r="D931" s="78"/>
    </row>
    <row r="932" spans="1:4" ht="45">
      <c r="A932" s="78" t="s">
        <v>2153</v>
      </c>
      <c r="B932" s="78" t="s">
        <v>2384</v>
      </c>
      <c r="C932" s="78" t="s">
        <v>2157</v>
      </c>
      <c r="D932" s="78"/>
    </row>
    <row r="933" spans="1:4" ht="30">
      <c r="A933" s="78" t="s">
        <v>2153</v>
      </c>
      <c r="B933" s="78" t="s">
        <v>2384</v>
      </c>
      <c r="C933" s="78" t="s">
        <v>2387</v>
      </c>
      <c r="D933" s="78"/>
    </row>
    <row r="934" spans="1:4" ht="30">
      <c r="A934" s="78" t="s">
        <v>2153</v>
      </c>
      <c r="B934" s="78" t="s">
        <v>2384</v>
      </c>
      <c r="C934" s="78" t="s">
        <v>2388</v>
      </c>
      <c r="D934" s="79">
        <v>12000</v>
      </c>
    </row>
    <row r="935" spans="1:4" ht="45">
      <c r="A935" s="78" t="s">
        <v>2153</v>
      </c>
      <c r="B935" s="78" t="s">
        <v>2389</v>
      </c>
      <c r="C935" s="78" t="s">
        <v>2390</v>
      </c>
      <c r="D935" s="79">
        <v>5000</v>
      </c>
    </row>
    <row r="936" spans="1:4" ht="30">
      <c r="A936" s="78" t="s">
        <v>2153</v>
      </c>
      <c r="B936" s="78" t="s">
        <v>2391</v>
      </c>
      <c r="C936" s="78" t="s">
        <v>2392</v>
      </c>
      <c r="D936" s="79">
        <v>1800</v>
      </c>
    </row>
    <row r="937" spans="1:4" ht="30">
      <c r="A937" s="78" t="s">
        <v>2153</v>
      </c>
      <c r="B937" s="78" t="s">
        <v>2391</v>
      </c>
      <c r="C937" s="78" t="s">
        <v>2393</v>
      </c>
      <c r="D937" s="78"/>
    </row>
    <row r="938" spans="1:4" ht="45">
      <c r="A938" s="78" t="s">
        <v>2153</v>
      </c>
      <c r="B938" s="78" t="s">
        <v>2391</v>
      </c>
      <c r="C938" s="78" t="s">
        <v>2394</v>
      </c>
      <c r="D938" s="78"/>
    </row>
    <row r="939" spans="1:4" ht="30">
      <c r="A939" s="78" t="s">
        <v>2153</v>
      </c>
      <c r="B939" s="78" t="s">
        <v>2391</v>
      </c>
      <c r="C939" s="78" t="s">
        <v>2395</v>
      </c>
      <c r="D939" s="78"/>
    </row>
    <row r="940" spans="1:4" ht="30">
      <c r="A940" s="78" t="s">
        <v>2153</v>
      </c>
      <c r="B940" s="78" t="s">
        <v>2391</v>
      </c>
      <c r="C940" s="78" t="s">
        <v>2165</v>
      </c>
      <c r="D940" s="78"/>
    </row>
    <row r="941" spans="1:4" ht="45">
      <c r="A941" s="78" t="s">
        <v>2153</v>
      </c>
      <c r="B941" s="78" t="s">
        <v>2391</v>
      </c>
      <c r="C941" s="78" t="s">
        <v>2396</v>
      </c>
      <c r="D941" s="78"/>
    </row>
    <row r="942" spans="1:4" ht="45">
      <c r="A942" s="78" t="s">
        <v>2153</v>
      </c>
      <c r="B942" s="78" t="s">
        <v>2391</v>
      </c>
      <c r="C942" s="78" t="s">
        <v>2397</v>
      </c>
      <c r="D942" s="79">
        <v>12000</v>
      </c>
    </row>
    <row r="943" spans="1:4" ht="30">
      <c r="A943" s="78" t="s">
        <v>2153</v>
      </c>
      <c r="B943" s="78" t="s">
        <v>2391</v>
      </c>
      <c r="C943" s="78" t="s">
        <v>2398</v>
      </c>
      <c r="D943" s="78"/>
    </row>
    <row r="944" spans="1:4" ht="30">
      <c r="A944" s="78" t="s">
        <v>2153</v>
      </c>
      <c r="B944" s="78" t="s">
        <v>2391</v>
      </c>
      <c r="C944" s="78" t="s">
        <v>2399</v>
      </c>
      <c r="D944" s="78"/>
    </row>
    <row r="945" spans="1:4" ht="45">
      <c r="A945" s="78" t="s">
        <v>2153</v>
      </c>
      <c r="B945" s="78" t="s">
        <v>2391</v>
      </c>
      <c r="C945" s="78" t="s">
        <v>2400</v>
      </c>
      <c r="D945" s="78"/>
    </row>
    <row r="946" spans="1:4" ht="45">
      <c r="A946" s="78" t="s">
        <v>2153</v>
      </c>
      <c r="B946" s="78" t="s">
        <v>2391</v>
      </c>
      <c r="C946" s="78" t="s">
        <v>2401</v>
      </c>
      <c r="D946" s="78">
        <v>850</v>
      </c>
    </row>
    <row r="947" spans="1:4" ht="45">
      <c r="A947" s="78" t="s">
        <v>2153</v>
      </c>
      <c r="B947" s="78" t="s">
        <v>2402</v>
      </c>
      <c r="C947" s="78" t="s">
        <v>2403</v>
      </c>
      <c r="D947" s="79">
        <v>4500</v>
      </c>
    </row>
    <row r="948" spans="1:4" ht="45">
      <c r="A948" s="78" t="s">
        <v>2153</v>
      </c>
      <c r="B948" s="78" t="s">
        <v>2404</v>
      </c>
      <c r="C948" s="78" t="s">
        <v>2405</v>
      </c>
      <c r="D948" s="78"/>
    </row>
    <row r="949" spans="1:4" ht="45">
      <c r="A949" s="78" t="s">
        <v>2153</v>
      </c>
      <c r="B949" s="78" t="s">
        <v>2404</v>
      </c>
      <c r="C949" s="78" t="s">
        <v>2406</v>
      </c>
      <c r="D949" s="79">
        <v>5900</v>
      </c>
    </row>
    <row r="950" spans="1:4" ht="45">
      <c r="A950" s="78" t="s">
        <v>2153</v>
      </c>
      <c r="B950" s="78" t="s">
        <v>2407</v>
      </c>
      <c r="C950" s="78" t="s">
        <v>2408</v>
      </c>
      <c r="D950" s="79">
        <v>7600</v>
      </c>
    </row>
    <row r="951" spans="1:4" ht="45">
      <c r="A951" s="78" t="s">
        <v>2153</v>
      </c>
      <c r="B951" s="78" t="s">
        <v>2409</v>
      </c>
      <c r="C951" s="78" t="s">
        <v>2410</v>
      </c>
      <c r="D951" s="78"/>
    </row>
    <row r="952" spans="1:4" ht="30">
      <c r="A952" s="78" t="s">
        <v>2153</v>
      </c>
      <c r="B952" s="78" t="s">
        <v>2411</v>
      </c>
      <c r="C952" s="78" t="s">
        <v>2165</v>
      </c>
      <c r="D952" s="78"/>
    </row>
    <row r="953" spans="1:4" ht="30">
      <c r="A953" s="78" t="s">
        <v>2153</v>
      </c>
      <c r="B953" s="78" t="s">
        <v>2411</v>
      </c>
      <c r="C953" s="78" t="s">
        <v>2412</v>
      </c>
      <c r="D953" s="79">
        <v>1500</v>
      </c>
    </row>
    <row r="954" spans="1:4" ht="45">
      <c r="A954" s="78" t="s">
        <v>2153</v>
      </c>
      <c r="B954" s="78" t="s">
        <v>2411</v>
      </c>
      <c r="C954" s="78" t="s">
        <v>2413</v>
      </c>
      <c r="D954" s="78"/>
    </row>
    <row r="955" spans="1:4" ht="45">
      <c r="A955" s="78" t="s">
        <v>2153</v>
      </c>
      <c r="B955" s="78" t="s">
        <v>2414</v>
      </c>
      <c r="C955" s="78" t="s">
        <v>2415</v>
      </c>
      <c r="D955" s="78"/>
    </row>
    <row r="956" spans="1:4" ht="45">
      <c r="A956" s="78" t="s">
        <v>2153</v>
      </c>
      <c r="B956" s="78" t="s">
        <v>2416</v>
      </c>
      <c r="C956" s="78" t="s">
        <v>2417</v>
      </c>
      <c r="D956" s="78">
        <v>800</v>
      </c>
    </row>
    <row r="957" spans="1:4" ht="45">
      <c r="A957" s="78" t="s">
        <v>2153</v>
      </c>
      <c r="B957" s="78" t="s">
        <v>2418</v>
      </c>
      <c r="C957" s="78" t="s">
        <v>2419</v>
      </c>
      <c r="D957" s="78">
        <v>700</v>
      </c>
    </row>
    <row r="958" spans="1:4">
      <c r="A958" s="78" t="s">
        <v>2153</v>
      </c>
      <c r="B958" s="78" t="s">
        <v>2420</v>
      </c>
      <c r="C958" s="78" t="s">
        <v>2421</v>
      </c>
      <c r="D958" s="79">
        <v>6000</v>
      </c>
    </row>
    <row r="959" spans="1:4" ht="45">
      <c r="A959" s="78" t="s">
        <v>2153</v>
      </c>
      <c r="B959" s="78" t="s">
        <v>2422</v>
      </c>
      <c r="C959" s="78" t="s">
        <v>2423</v>
      </c>
      <c r="D959" s="78"/>
    </row>
    <row r="960" spans="1:4" ht="30">
      <c r="A960" s="78" t="s">
        <v>2153</v>
      </c>
      <c r="B960" s="78" t="s">
        <v>2424</v>
      </c>
      <c r="C960" s="78" t="s">
        <v>2425</v>
      </c>
      <c r="D960" s="78"/>
    </row>
    <row r="961" spans="1:4" ht="45">
      <c r="A961" s="78" t="s">
        <v>2153</v>
      </c>
      <c r="B961" s="78" t="s">
        <v>2424</v>
      </c>
      <c r="C961" s="78" t="s">
        <v>2426</v>
      </c>
      <c r="D961" s="78"/>
    </row>
    <row r="962" spans="1:4" ht="30">
      <c r="A962" s="78" t="s">
        <v>2153</v>
      </c>
      <c r="B962" s="78" t="s">
        <v>2427</v>
      </c>
      <c r="C962" s="78" t="s">
        <v>2412</v>
      </c>
      <c r="D962" s="79">
        <v>1500</v>
      </c>
    </row>
    <row r="963" spans="1:4" ht="45">
      <c r="A963" s="78" t="s">
        <v>2153</v>
      </c>
      <c r="B963" s="78" t="s">
        <v>2428</v>
      </c>
      <c r="C963" s="78" t="s">
        <v>2429</v>
      </c>
      <c r="D963" s="78"/>
    </row>
    <row r="964" spans="1:4" ht="45">
      <c r="A964" s="78" t="s">
        <v>2153</v>
      </c>
      <c r="B964" s="78" t="s">
        <v>2428</v>
      </c>
      <c r="C964" s="78" t="s">
        <v>2430</v>
      </c>
      <c r="D964" s="78"/>
    </row>
    <row r="965" spans="1:4" ht="45">
      <c r="A965" s="78" t="s">
        <v>2153</v>
      </c>
      <c r="B965" s="78" t="s">
        <v>2428</v>
      </c>
      <c r="C965" s="78" t="s">
        <v>2431</v>
      </c>
      <c r="D965" s="78"/>
    </row>
    <row r="966" spans="1:4" ht="45">
      <c r="A966" s="78" t="s">
        <v>2153</v>
      </c>
      <c r="B966" s="78" t="s">
        <v>2432</v>
      </c>
      <c r="C966" s="78" t="s">
        <v>2433</v>
      </c>
      <c r="D966" s="78"/>
    </row>
    <row r="967" spans="1:4" ht="30">
      <c r="A967" s="78" t="s">
        <v>2153</v>
      </c>
      <c r="B967" s="78" t="s">
        <v>2434</v>
      </c>
      <c r="C967" s="78" t="s">
        <v>2435</v>
      </c>
      <c r="D967" s="79">
        <v>1800</v>
      </c>
    </row>
    <row r="968" spans="1:4" ht="45">
      <c r="A968" s="78" t="s">
        <v>2153</v>
      </c>
      <c r="B968" s="78" t="s">
        <v>2436</v>
      </c>
      <c r="C968" s="78" t="s">
        <v>2437</v>
      </c>
      <c r="D968" s="79">
        <v>1800</v>
      </c>
    </row>
    <row r="969" spans="1:4" ht="45">
      <c r="A969" s="78" t="s">
        <v>2153</v>
      </c>
      <c r="B969" s="78" t="s">
        <v>2438</v>
      </c>
      <c r="C969" s="78" t="s">
        <v>2195</v>
      </c>
      <c r="D969" s="78"/>
    </row>
    <row r="970" spans="1:4" ht="30">
      <c r="A970" s="78" t="s">
        <v>2153</v>
      </c>
      <c r="B970" s="78" t="s">
        <v>2439</v>
      </c>
      <c r="C970" s="78" t="s">
        <v>2440</v>
      </c>
      <c r="D970" s="79">
        <v>20000</v>
      </c>
    </row>
    <row r="971" spans="1:4" ht="30">
      <c r="A971" s="78" t="s">
        <v>2153</v>
      </c>
      <c r="B971" s="78" t="s">
        <v>2441</v>
      </c>
      <c r="C971" s="78" t="s">
        <v>2442</v>
      </c>
      <c r="D971" s="78"/>
    </row>
    <row r="972" spans="1:4" ht="30">
      <c r="A972" s="78" t="s">
        <v>2153</v>
      </c>
      <c r="B972" s="78" t="s">
        <v>2443</v>
      </c>
      <c r="C972" s="78" t="s">
        <v>2444</v>
      </c>
      <c r="D972" s="79">
        <v>2500</v>
      </c>
    </row>
    <row r="973" spans="1:4" ht="45">
      <c r="A973" s="78" t="s">
        <v>2153</v>
      </c>
      <c r="B973" s="78" t="s">
        <v>2443</v>
      </c>
      <c r="C973" s="78" t="s">
        <v>2445</v>
      </c>
      <c r="D973" s="78"/>
    </row>
    <row r="974" spans="1:4" ht="45">
      <c r="A974" s="78" t="s">
        <v>2153</v>
      </c>
      <c r="B974" s="78" t="s">
        <v>2446</v>
      </c>
      <c r="C974" s="78" t="s">
        <v>2447</v>
      </c>
      <c r="D974" s="78"/>
    </row>
    <row r="975" spans="1:4" ht="60">
      <c r="A975" s="78" t="s">
        <v>2153</v>
      </c>
      <c r="B975" s="78" t="s">
        <v>2448</v>
      </c>
      <c r="C975" s="78" t="s">
        <v>2449</v>
      </c>
      <c r="D975" s="78"/>
    </row>
    <row r="976" spans="1:4" ht="30">
      <c r="A976" s="78" t="s">
        <v>2153</v>
      </c>
      <c r="B976" s="78" t="s">
        <v>2450</v>
      </c>
      <c r="C976" s="78" t="s">
        <v>2348</v>
      </c>
      <c r="D976" s="78"/>
    </row>
    <row r="977" spans="1:4" ht="30">
      <c r="A977" s="78" t="s">
        <v>2153</v>
      </c>
      <c r="B977" s="78" t="s">
        <v>2450</v>
      </c>
      <c r="C977" s="78" t="s">
        <v>2165</v>
      </c>
      <c r="D977" s="78"/>
    </row>
    <row r="978" spans="1:4" ht="30">
      <c r="A978" s="78" t="s">
        <v>2153</v>
      </c>
      <c r="B978" s="78" t="s">
        <v>2451</v>
      </c>
      <c r="C978" s="78" t="s">
        <v>2442</v>
      </c>
      <c r="D978" s="78"/>
    </row>
    <row r="979" spans="1:4" ht="45">
      <c r="A979" s="78" t="s">
        <v>2153</v>
      </c>
      <c r="B979" s="78" t="s">
        <v>2452</v>
      </c>
      <c r="C979" s="78" t="s">
        <v>2289</v>
      </c>
      <c r="D979" s="78"/>
    </row>
    <row r="980" spans="1:4" ht="45">
      <c r="A980" s="78" t="s">
        <v>2153</v>
      </c>
      <c r="B980" s="78" t="s">
        <v>2453</v>
      </c>
      <c r="C980" s="78" t="s">
        <v>2454</v>
      </c>
      <c r="D980" s="78"/>
    </row>
    <row r="981" spans="1:4" ht="30">
      <c r="A981" s="78" t="s">
        <v>2153</v>
      </c>
      <c r="B981" s="78" t="s">
        <v>2455</v>
      </c>
      <c r="C981" s="78" t="s">
        <v>2456</v>
      </c>
      <c r="D981" s="78"/>
    </row>
    <row r="982" spans="1:4" ht="30">
      <c r="A982" s="78" t="s">
        <v>2153</v>
      </c>
      <c r="B982" s="78" t="s">
        <v>2457</v>
      </c>
      <c r="C982" s="78" t="s">
        <v>2165</v>
      </c>
      <c r="D982" s="79">
        <v>16000</v>
      </c>
    </row>
    <row r="983" spans="1:4" ht="45">
      <c r="A983" s="78" t="s">
        <v>2153</v>
      </c>
      <c r="B983" s="78" t="s">
        <v>2458</v>
      </c>
      <c r="C983" s="78" t="s">
        <v>2459</v>
      </c>
      <c r="D983" s="78"/>
    </row>
    <row r="984" spans="1:4" ht="45">
      <c r="A984" s="78" t="s">
        <v>2153</v>
      </c>
      <c r="B984" s="78" t="s">
        <v>2460</v>
      </c>
      <c r="C984" s="78" t="s">
        <v>2461</v>
      </c>
      <c r="D984" s="78"/>
    </row>
    <row r="985" spans="1:4" ht="45">
      <c r="A985" s="78" t="s">
        <v>2153</v>
      </c>
      <c r="B985" s="78" t="s">
        <v>2462</v>
      </c>
      <c r="C985" s="78" t="s">
        <v>2463</v>
      </c>
      <c r="D985" s="79">
        <v>1000</v>
      </c>
    </row>
    <row r="986" spans="1:4" ht="45">
      <c r="A986" s="78" t="s">
        <v>2153</v>
      </c>
      <c r="B986" s="78" t="s">
        <v>2462</v>
      </c>
      <c r="C986" s="78" t="s">
        <v>2464</v>
      </c>
      <c r="D986" s="78"/>
    </row>
    <row r="987" spans="1:4" ht="30">
      <c r="A987" s="78" t="s">
        <v>2153</v>
      </c>
      <c r="B987" s="78" t="s">
        <v>2465</v>
      </c>
      <c r="C987" s="78" t="s">
        <v>2466</v>
      </c>
      <c r="D987" s="78"/>
    </row>
    <row r="988" spans="1:4" ht="45">
      <c r="A988" s="78" t="s">
        <v>2153</v>
      </c>
      <c r="B988" s="78" t="s">
        <v>2467</v>
      </c>
      <c r="C988" s="78" t="s">
        <v>2468</v>
      </c>
      <c r="D988" s="79">
        <v>1200</v>
      </c>
    </row>
    <row r="989" spans="1:4" ht="45">
      <c r="A989" s="78" t="s">
        <v>2153</v>
      </c>
      <c r="B989" s="78" t="s">
        <v>2469</v>
      </c>
      <c r="C989" s="78" t="s">
        <v>2470</v>
      </c>
      <c r="D989" s="78"/>
    </row>
    <row r="990" spans="1:4" ht="45">
      <c r="A990" s="78" t="s">
        <v>2153</v>
      </c>
      <c r="B990" s="78" t="s">
        <v>2471</v>
      </c>
      <c r="C990" s="78" t="s">
        <v>2472</v>
      </c>
      <c r="D990" s="79">
        <v>2400</v>
      </c>
    </row>
    <row r="991" spans="1:4" ht="45">
      <c r="A991" s="78" t="s">
        <v>2153</v>
      </c>
      <c r="B991" s="78" t="s">
        <v>2473</v>
      </c>
      <c r="C991" s="78" t="s">
        <v>2222</v>
      </c>
      <c r="D991" s="79">
        <v>1000</v>
      </c>
    </row>
    <row r="992" spans="1:4" ht="30">
      <c r="A992" s="78" t="s">
        <v>2474</v>
      </c>
      <c r="B992" s="78" t="s">
        <v>2475</v>
      </c>
      <c r="C992" s="78" t="s">
        <v>2476</v>
      </c>
      <c r="D992" s="78"/>
    </row>
    <row r="993" spans="1:4" ht="45">
      <c r="A993" s="78" t="s">
        <v>2474</v>
      </c>
      <c r="B993" s="78" t="s">
        <v>2475</v>
      </c>
      <c r="C993" s="78" t="s">
        <v>2477</v>
      </c>
      <c r="D993" s="78"/>
    </row>
    <row r="994" spans="1:4" ht="30">
      <c r="A994" s="78" t="s">
        <v>2474</v>
      </c>
      <c r="B994" s="78" t="s">
        <v>2475</v>
      </c>
      <c r="C994" s="78" t="s">
        <v>2478</v>
      </c>
      <c r="D994" s="78"/>
    </row>
    <row r="995" spans="1:4" ht="30">
      <c r="A995" s="78" t="s">
        <v>2474</v>
      </c>
      <c r="B995" s="78" t="s">
        <v>2475</v>
      </c>
      <c r="C995" s="78" t="s">
        <v>2479</v>
      </c>
      <c r="D995" s="79">
        <v>2000</v>
      </c>
    </row>
    <row r="996" spans="1:4" ht="30">
      <c r="A996" s="78" t="s">
        <v>2474</v>
      </c>
      <c r="B996" s="78" t="s">
        <v>2475</v>
      </c>
      <c r="C996" s="78" t="s">
        <v>2480</v>
      </c>
      <c r="D996" s="79">
        <v>8000</v>
      </c>
    </row>
    <row r="997" spans="1:4" ht="30">
      <c r="A997" s="78" t="s">
        <v>2474</v>
      </c>
      <c r="B997" s="78" t="s">
        <v>2475</v>
      </c>
      <c r="C997" s="78" t="s">
        <v>2481</v>
      </c>
      <c r="D997" s="79">
        <v>1000</v>
      </c>
    </row>
    <row r="998" spans="1:4" ht="45">
      <c r="A998" s="78" t="s">
        <v>2474</v>
      </c>
      <c r="B998" s="78" t="s">
        <v>2475</v>
      </c>
      <c r="C998" s="78" t="s">
        <v>2482</v>
      </c>
      <c r="D998" s="78"/>
    </row>
    <row r="999" spans="1:4" ht="75">
      <c r="A999" s="78" t="s">
        <v>2474</v>
      </c>
      <c r="B999" s="78" t="s">
        <v>2475</v>
      </c>
      <c r="C999" s="78" t="s">
        <v>2483</v>
      </c>
      <c r="D999" s="78">
        <v>800</v>
      </c>
    </row>
    <row r="1000" spans="1:4" ht="30">
      <c r="A1000" s="78" t="s">
        <v>2474</v>
      </c>
      <c r="B1000" s="78" t="s">
        <v>2475</v>
      </c>
      <c r="C1000" s="78" t="s">
        <v>2484</v>
      </c>
      <c r="D1000" s="78">
        <v>750</v>
      </c>
    </row>
    <row r="1001" spans="1:4" ht="45">
      <c r="A1001" s="78" t="s">
        <v>2474</v>
      </c>
      <c r="B1001" s="78" t="s">
        <v>2475</v>
      </c>
      <c r="C1001" s="78" t="s">
        <v>2485</v>
      </c>
      <c r="D1001" s="79">
        <v>12000</v>
      </c>
    </row>
    <row r="1002" spans="1:4" ht="45">
      <c r="A1002" s="78" t="s">
        <v>2474</v>
      </c>
      <c r="B1002" s="78" t="s">
        <v>2475</v>
      </c>
      <c r="C1002" s="78" t="s">
        <v>2486</v>
      </c>
      <c r="D1002" s="79">
        <v>22000</v>
      </c>
    </row>
    <row r="1003" spans="1:4" ht="45">
      <c r="A1003" s="78" t="s">
        <v>2474</v>
      </c>
      <c r="B1003" s="78" t="s">
        <v>2487</v>
      </c>
      <c r="C1003" s="78" t="s">
        <v>2488</v>
      </c>
      <c r="D1003" s="78"/>
    </row>
    <row r="1004" spans="1:4" ht="45">
      <c r="A1004" s="78" t="s">
        <v>2474</v>
      </c>
      <c r="B1004" s="78" t="s">
        <v>2489</v>
      </c>
      <c r="C1004" s="78" t="s">
        <v>2490</v>
      </c>
      <c r="D1004" s="78"/>
    </row>
    <row r="1005" spans="1:4" ht="30">
      <c r="A1005" s="78" t="s">
        <v>2474</v>
      </c>
      <c r="B1005" s="78" t="s">
        <v>2491</v>
      </c>
      <c r="C1005" s="78" t="s">
        <v>2492</v>
      </c>
      <c r="D1005" s="78"/>
    </row>
    <row r="1006" spans="1:4" ht="30">
      <c r="A1006" s="78" t="s">
        <v>2474</v>
      </c>
      <c r="B1006" s="78" t="s">
        <v>2493</v>
      </c>
      <c r="C1006" s="78" t="s">
        <v>2476</v>
      </c>
      <c r="D1006" s="78"/>
    </row>
    <row r="1007" spans="1:4" ht="30">
      <c r="A1007" s="78" t="s">
        <v>2474</v>
      </c>
      <c r="B1007" s="78" t="s">
        <v>2494</v>
      </c>
      <c r="C1007" s="78" t="s">
        <v>2495</v>
      </c>
      <c r="D1007" s="78"/>
    </row>
    <row r="1008" spans="1:4" ht="30">
      <c r="A1008" s="78" t="s">
        <v>2474</v>
      </c>
      <c r="B1008" s="78" t="s">
        <v>2494</v>
      </c>
      <c r="C1008" s="78" t="s">
        <v>2496</v>
      </c>
      <c r="D1008" s="78"/>
    </row>
    <row r="1009" spans="1:4" ht="30">
      <c r="A1009" s="78" t="s">
        <v>2474</v>
      </c>
      <c r="B1009" s="78" t="s">
        <v>2494</v>
      </c>
      <c r="C1009" s="78" t="s">
        <v>2479</v>
      </c>
      <c r="D1009" s="78"/>
    </row>
    <row r="1010" spans="1:4" ht="75">
      <c r="A1010" s="78" t="s">
        <v>2474</v>
      </c>
      <c r="B1010" s="78" t="s">
        <v>2494</v>
      </c>
      <c r="C1010" s="78" t="s">
        <v>2497</v>
      </c>
      <c r="D1010" s="78"/>
    </row>
    <row r="1011" spans="1:4" ht="45">
      <c r="A1011" s="78" t="s">
        <v>2474</v>
      </c>
      <c r="B1011" s="78" t="s">
        <v>2494</v>
      </c>
      <c r="C1011" s="78" t="s">
        <v>2498</v>
      </c>
      <c r="D1011" s="78"/>
    </row>
    <row r="1012" spans="1:4" ht="45">
      <c r="A1012" s="78" t="s">
        <v>2474</v>
      </c>
      <c r="B1012" s="78" t="s">
        <v>2494</v>
      </c>
      <c r="C1012" s="78" t="s">
        <v>2499</v>
      </c>
      <c r="D1012" s="79">
        <v>12000</v>
      </c>
    </row>
    <row r="1013" spans="1:4" ht="60">
      <c r="A1013" s="78" t="s">
        <v>2474</v>
      </c>
      <c r="B1013" s="78" t="s">
        <v>2500</v>
      </c>
      <c r="C1013" s="78" t="s">
        <v>2501</v>
      </c>
      <c r="D1013" s="78"/>
    </row>
    <row r="1014" spans="1:4" ht="45">
      <c r="A1014" s="78" t="s">
        <v>2474</v>
      </c>
      <c r="B1014" s="78" t="s">
        <v>2502</v>
      </c>
      <c r="C1014" s="78" t="s">
        <v>2503</v>
      </c>
      <c r="D1014" s="79">
        <v>1200</v>
      </c>
    </row>
    <row r="1015" spans="1:4" ht="45">
      <c r="A1015" s="78" t="s">
        <v>2474</v>
      </c>
      <c r="B1015" s="78" t="s">
        <v>2504</v>
      </c>
      <c r="C1015" s="78" t="s">
        <v>2505</v>
      </c>
      <c r="D1015" s="79">
        <v>50000</v>
      </c>
    </row>
    <row r="1016" spans="1:4" ht="30">
      <c r="A1016" s="78" t="s">
        <v>2474</v>
      </c>
      <c r="B1016" s="78" t="s">
        <v>2506</v>
      </c>
      <c r="C1016" s="78" t="s">
        <v>2507</v>
      </c>
      <c r="D1016" s="78"/>
    </row>
    <row r="1017" spans="1:4" ht="30">
      <c r="A1017" s="78" t="s">
        <v>2474</v>
      </c>
      <c r="B1017" s="78" t="s">
        <v>2508</v>
      </c>
      <c r="C1017" s="78" t="s">
        <v>2509</v>
      </c>
      <c r="D1017" s="79">
        <v>2750</v>
      </c>
    </row>
    <row r="1018" spans="1:4" ht="30">
      <c r="A1018" s="78" t="s">
        <v>2474</v>
      </c>
      <c r="B1018" s="78" t="s">
        <v>2508</v>
      </c>
      <c r="C1018" s="78" t="s">
        <v>2510</v>
      </c>
      <c r="D1018" s="79">
        <v>5000</v>
      </c>
    </row>
    <row r="1019" spans="1:4" ht="45">
      <c r="A1019" s="78" t="s">
        <v>2474</v>
      </c>
      <c r="B1019" s="78" t="s">
        <v>2508</v>
      </c>
      <c r="C1019" s="78" t="s">
        <v>2511</v>
      </c>
      <c r="D1019" s="78"/>
    </row>
    <row r="1020" spans="1:4" ht="30">
      <c r="A1020" s="78" t="s">
        <v>2474</v>
      </c>
      <c r="B1020" s="78" t="s">
        <v>2508</v>
      </c>
      <c r="C1020" s="78" t="s">
        <v>2512</v>
      </c>
      <c r="D1020" s="79">
        <v>1000</v>
      </c>
    </row>
    <row r="1021" spans="1:4" ht="45">
      <c r="A1021" s="78" t="s">
        <v>2474</v>
      </c>
      <c r="B1021" s="78" t="s">
        <v>2508</v>
      </c>
      <c r="C1021" s="78" t="s">
        <v>2513</v>
      </c>
      <c r="D1021" s="79">
        <v>2500</v>
      </c>
    </row>
    <row r="1022" spans="1:4" ht="45">
      <c r="A1022" s="78" t="s">
        <v>2474</v>
      </c>
      <c r="B1022" s="78" t="s">
        <v>2514</v>
      </c>
      <c r="C1022" s="78" t="s">
        <v>2515</v>
      </c>
      <c r="D1022" s="79">
        <v>60000</v>
      </c>
    </row>
    <row r="1023" spans="1:4" ht="60">
      <c r="A1023" s="78" t="s">
        <v>2474</v>
      </c>
      <c r="B1023" s="78" t="s">
        <v>2516</v>
      </c>
      <c r="C1023" s="78" t="s">
        <v>2517</v>
      </c>
      <c r="D1023" s="79">
        <v>36000</v>
      </c>
    </row>
    <row r="1024" spans="1:4" ht="30">
      <c r="A1024" s="78" t="s">
        <v>2474</v>
      </c>
      <c r="B1024" s="78" t="s">
        <v>2516</v>
      </c>
      <c r="C1024" s="78" t="s">
        <v>2518</v>
      </c>
      <c r="D1024" s="78">
        <v>700</v>
      </c>
    </row>
    <row r="1025" spans="1:4" ht="45">
      <c r="A1025" s="78" t="s">
        <v>2474</v>
      </c>
      <c r="B1025" s="78" t="s">
        <v>2516</v>
      </c>
      <c r="C1025" s="78" t="s">
        <v>2519</v>
      </c>
      <c r="D1025" s="79">
        <v>7000</v>
      </c>
    </row>
    <row r="1026" spans="1:4" ht="60">
      <c r="A1026" s="78" t="s">
        <v>2474</v>
      </c>
      <c r="B1026" s="78" t="s">
        <v>2516</v>
      </c>
      <c r="C1026" s="78" t="s">
        <v>2520</v>
      </c>
      <c r="D1026" s="79">
        <v>24000</v>
      </c>
    </row>
    <row r="1027" spans="1:4" ht="30">
      <c r="A1027" s="78" t="s">
        <v>2474</v>
      </c>
      <c r="B1027" s="78" t="s">
        <v>2516</v>
      </c>
      <c r="C1027" s="78" t="s">
        <v>2521</v>
      </c>
      <c r="D1027" s="78"/>
    </row>
    <row r="1028" spans="1:4" ht="60">
      <c r="A1028" s="78" t="s">
        <v>2474</v>
      </c>
      <c r="B1028" s="78" t="s">
        <v>2522</v>
      </c>
      <c r="C1028" s="78" t="s">
        <v>2523</v>
      </c>
      <c r="D1028" s="79">
        <v>6000</v>
      </c>
    </row>
    <row r="1029" spans="1:4" ht="60">
      <c r="A1029" s="78" t="s">
        <v>2474</v>
      </c>
      <c r="B1029" s="78" t="s">
        <v>2522</v>
      </c>
      <c r="C1029" s="78" t="s">
        <v>2524</v>
      </c>
      <c r="D1029" s="78"/>
    </row>
    <row r="1030" spans="1:4" ht="45">
      <c r="A1030" s="78" t="s">
        <v>2474</v>
      </c>
      <c r="B1030" s="78" t="s">
        <v>2522</v>
      </c>
      <c r="C1030" s="78" t="s">
        <v>2525</v>
      </c>
      <c r="D1030" s="78"/>
    </row>
    <row r="1031" spans="1:4" ht="45">
      <c r="A1031" s="78" t="s">
        <v>2474</v>
      </c>
      <c r="B1031" s="78" t="s">
        <v>2522</v>
      </c>
      <c r="C1031" s="78" t="s">
        <v>2526</v>
      </c>
      <c r="D1031" s="78"/>
    </row>
    <row r="1032" spans="1:4" ht="30">
      <c r="A1032" s="78" t="s">
        <v>2474</v>
      </c>
      <c r="B1032" s="78" t="s">
        <v>2522</v>
      </c>
      <c r="C1032" s="78" t="s">
        <v>2527</v>
      </c>
      <c r="D1032" s="79">
        <v>8500</v>
      </c>
    </row>
    <row r="1033" spans="1:4" ht="45">
      <c r="A1033" s="78" t="s">
        <v>2474</v>
      </c>
      <c r="B1033" s="78" t="s">
        <v>2522</v>
      </c>
      <c r="C1033" s="78" t="s">
        <v>2528</v>
      </c>
      <c r="D1033" s="79">
        <v>11000</v>
      </c>
    </row>
    <row r="1034" spans="1:4" ht="60">
      <c r="A1034" s="78" t="s">
        <v>2474</v>
      </c>
      <c r="B1034" s="78" t="s">
        <v>2529</v>
      </c>
      <c r="C1034" s="78" t="s">
        <v>2530</v>
      </c>
      <c r="D1034" s="78"/>
    </row>
    <row r="1035" spans="1:4" ht="45">
      <c r="A1035" s="78" t="s">
        <v>2474</v>
      </c>
      <c r="B1035" s="78" t="s">
        <v>2531</v>
      </c>
      <c r="C1035" s="78" t="s">
        <v>2532</v>
      </c>
      <c r="D1035" s="79">
        <v>5000</v>
      </c>
    </row>
    <row r="1036" spans="1:4" ht="45">
      <c r="A1036" s="78" t="s">
        <v>2533</v>
      </c>
      <c r="B1036" s="78" t="s">
        <v>2534</v>
      </c>
      <c r="C1036" s="78" t="s">
        <v>2535</v>
      </c>
      <c r="D1036" s="78"/>
    </row>
    <row r="1037" spans="1:4" ht="60">
      <c r="A1037" s="78" t="s">
        <v>2533</v>
      </c>
      <c r="B1037" s="78" t="s">
        <v>2536</v>
      </c>
      <c r="C1037" s="78" t="s">
        <v>2537</v>
      </c>
      <c r="D1037" s="78"/>
    </row>
    <row r="1038" spans="1:4" ht="30">
      <c r="A1038" s="78" t="s">
        <v>2533</v>
      </c>
      <c r="B1038" s="78" t="s">
        <v>2538</v>
      </c>
      <c r="C1038" s="78" t="s">
        <v>2539</v>
      </c>
      <c r="D1038" s="79">
        <v>20000</v>
      </c>
    </row>
    <row r="1039" spans="1:4" ht="30">
      <c r="A1039" s="78" t="s">
        <v>2533</v>
      </c>
      <c r="B1039" s="78" t="s">
        <v>2540</v>
      </c>
      <c r="C1039" s="78" t="s">
        <v>2541</v>
      </c>
      <c r="D1039" s="78"/>
    </row>
    <row r="1040" spans="1:4">
      <c r="A1040" s="78" t="s">
        <v>2533</v>
      </c>
      <c r="B1040" s="78" t="s">
        <v>2540</v>
      </c>
      <c r="C1040" s="78" t="s">
        <v>2542</v>
      </c>
      <c r="D1040" s="78"/>
    </row>
    <row r="1041" spans="1:6" ht="45">
      <c r="A1041" s="78" t="s">
        <v>2533</v>
      </c>
      <c r="B1041" s="78" t="s">
        <v>2540</v>
      </c>
      <c r="C1041" s="78" t="s">
        <v>2543</v>
      </c>
      <c r="D1041" s="78"/>
    </row>
    <row r="1042" spans="1:6" ht="30">
      <c r="A1042" s="78" t="s">
        <v>2544</v>
      </c>
      <c r="B1042" s="78" t="s">
        <v>2545</v>
      </c>
      <c r="C1042" s="78" t="s">
        <v>2546</v>
      </c>
      <c r="D1042" s="78"/>
    </row>
    <row r="1043" spans="1:6">
      <c r="A1043" s="78" t="s">
        <v>2544</v>
      </c>
      <c r="B1043" s="78" t="s">
        <v>2547</v>
      </c>
      <c r="C1043" s="78" t="s">
        <v>2548</v>
      </c>
      <c r="D1043" s="79">
        <v>8500</v>
      </c>
      <c r="E1043" s="78" t="s">
        <v>104</v>
      </c>
      <c r="F1043" s="80">
        <v>1</v>
      </c>
    </row>
    <row r="1044" spans="1:6">
      <c r="A1044" s="78" t="s">
        <v>2549</v>
      </c>
      <c r="B1044" s="78" t="s">
        <v>2550</v>
      </c>
      <c r="C1044" s="78" t="s">
        <v>2551</v>
      </c>
      <c r="D1044" s="78"/>
    </row>
    <row r="1045" spans="1:6">
      <c r="A1045" s="78" t="s">
        <v>2549</v>
      </c>
      <c r="B1045" s="78" t="s">
        <v>2552</v>
      </c>
      <c r="C1045" s="78" t="s">
        <v>2553</v>
      </c>
      <c r="D1045" s="79">
        <v>7000</v>
      </c>
    </row>
    <row r="1046" spans="1:6">
      <c r="A1046" s="78" t="s">
        <v>2549</v>
      </c>
      <c r="B1046" s="78" t="s">
        <v>2554</v>
      </c>
      <c r="C1046" s="78" t="s">
        <v>2555</v>
      </c>
      <c r="D1046" s="78"/>
    </row>
    <row r="1047" spans="1:6" ht="30">
      <c r="A1047" s="78" t="s">
        <v>2549</v>
      </c>
      <c r="B1047" s="78" t="s">
        <v>2556</v>
      </c>
      <c r="C1047" s="78" t="s">
        <v>2557</v>
      </c>
      <c r="D1047" s="79">
        <v>5000</v>
      </c>
    </row>
    <row r="1048" spans="1:6" ht="30">
      <c r="A1048" s="78" t="s">
        <v>2549</v>
      </c>
      <c r="B1048" s="78" t="s">
        <v>2558</v>
      </c>
      <c r="C1048" s="78" t="s">
        <v>2555</v>
      </c>
      <c r="D1048" s="79">
        <v>5000</v>
      </c>
    </row>
    <row r="1049" spans="1:6" ht="30">
      <c r="A1049" s="78" t="s">
        <v>2549</v>
      </c>
      <c r="B1049" s="78" t="s">
        <v>2559</v>
      </c>
      <c r="C1049" s="78" t="s">
        <v>2560</v>
      </c>
      <c r="D1049" s="78"/>
    </row>
    <row r="1050" spans="1:6" ht="30">
      <c r="A1050" s="78" t="s">
        <v>2549</v>
      </c>
      <c r="B1050" s="78" t="s">
        <v>2561</v>
      </c>
      <c r="C1050" s="78" t="s">
        <v>2562</v>
      </c>
      <c r="D1050" s="78"/>
    </row>
    <row r="1051" spans="1:6" ht="45">
      <c r="A1051" s="78" t="s">
        <v>2549</v>
      </c>
      <c r="B1051" s="78" t="s">
        <v>2561</v>
      </c>
      <c r="C1051" s="78" t="s">
        <v>2563</v>
      </c>
      <c r="D1051" s="78">
        <v>800</v>
      </c>
    </row>
    <row r="1052" spans="1:6">
      <c r="A1052" s="78" t="s">
        <v>13</v>
      </c>
      <c r="B1052" s="78" t="s">
        <v>2596</v>
      </c>
      <c r="C1052" s="78" t="s">
        <v>2597</v>
      </c>
      <c r="D1052" s="79">
        <v>80000</v>
      </c>
      <c r="E1052" s="78" t="s">
        <v>163</v>
      </c>
      <c r="F1052" s="80">
        <f t="shared" ref="F1052:F1081" si="4">D1052/1836000</f>
        <v>4.357298474945534E-2</v>
      </c>
    </row>
    <row r="1053" spans="1:6" ht="30">
      <c r="A1053" s="78" t="s">
        <v>13</v>
      </c>
      <c r="B1053" s="78" t="s">
        <v>2564</v>
      </c>
      <c r="C1053" s="78" t="s">
        <v>2565</v>
      </c>
      <c r="D1053" s="79">
        <v>50000</v>
      </c>
      <c r="E1053" s="78" t="s">
        <v>166</v>
      </c>
      <c r="F1053" s="80">
        <f t="shared" si="4"/>
        <v>2.7233115468409588E-2</v>
      </c>
    </row>
    <row r="1054" spans="1:6" ht="30">
      <c r="A1054" s="78" t="s">
        <v>13</v>
      </c>
      <c r="B1054" s="78" t="s">
        <v>2575</v>
      </c>
      <c r="C1054" s="78" t="s">
        <v>2576</v>
      </c>
      <c r="D1054" s="79">
        <v>70000</v>
      </c>
      <c r="E1054" s="78" t="s">
        <v>166</v>
      </c>
      <c r="F1054" s="80">
        <f t="shared" si="4"/>
        <v>3.8126361655773419E-2</v>
      </c>
    </row>
    <row r="1055" spans="1:6">
      <c r="A1055" s="78" t="s">
        <v>13</v>
      </c>
      <c r="B1055" s="78" t="s">
        <v>2579</v>
      </c>
      <c r="C1055" s="78" t="s">
        <v>2580</v>
      </c>
      <c r="D1055" s="79">
        <v>5000</v>
      </c>
      <c r="E1055" s="78" t="s">
        <v>166</v>
      </c>
      <c r="F1055" s="80">
        <f t="shared" si="4"/>
        <v>2.7233115468409588E-3</v>
      </c>
    </row>
    <row r="1056" spans="1:6">
      <c r="A1056" s="78" t="s">
        <v>13</v>
      </c>
      <c r="B1056" s="78" t="s">
        <v>2579</v>
      </c>
      <c r="C1056" s="78" t="s">
        <v>2581</v>
      </c>
      <c r="D1056" s="79">
        <v>55000</v>
      </c>
      <c r="E1056" s="78" t="s">
        <v>166</v>
      </c>
      <c r="F1056" s="80">
        <f t="shared" si="4"/>
        <v>2.9956427015250545E-2</v>
      </c>
    </row>
    <row r="1057" spans="1:6">
      <c r="A1057" s="78" t="s">
        <v>13</v>
      </c>
      <c r="B1057" s="78" t="s">
        <v>2579</v>
      </c>
      <c r="C1057" s="78" t="s">
        <v>2584</v>
      </c>
      <c r="D1057" s="79">
        <v>300000</v>
      </c>
      <c r="E1057" s="78" t="s">
        <v>166</v>
      </c>
      <c r="F1057" s="80">
        <f t="shared" si="4"/>
        <v>0.16339869281045752</v>
      </c>
    </row>
    <row r="1058" spans="1:6" ht="30">
      <c r="A1058" s="78" t="s">
        <v>13</v>
      </c>
      <c r="B1058" s="78" t="s">
        <v>2579</v>
      </c>
      <c r="C1058" s="78" t="s">
        <v>2585</v>
      </c>
      <c r="D1058" s="79">
        <v>6500</v>
      </c>
      <c r="E1058" s="78" t="s">
        <v>166</v>
      </c>
      <c r="F1058" s="80">
        <f t="shared" si="4"/>
        <v>3.540305010893246E-3</v>
      </c>
    </row>
    <row r="1059" spans="1:6" ht="30">
      <c r="A1059" s="78" t="s">
        <v>13</v>
      </c>
      <c r="B1059" s="78" t="s">
        <v>2602</v>
      </c>
      <c r="C1059" s="78" t="s">
        <v>2603</v>
      </c>
      <c r="D1059" s="79">
        <v>250000</v>
      </c>
      <c r="E1059" s="78" t="s">
        <v>166</v>
      </c>
      <c r="F1059" s="80">
        <f t="shared" si="4"/>
        <v>0.13616557734204793</v>
      </c>
    </row>
    <row r="1060" spans="1:6" ht="30">
      <c r="A1060" s="78" t="s">
        <v>13</v>
      </c>
      <c r="B1060" s="78" t="s">
        <v>2620</v>
      </c>
      <c r="C1060" s="78" t="s">
        <v>2621</v>
      </c>
      <c r="D1060" s="78">
        <v>10000</v>
      </c>
      <c r="E1060" s="78" t="s">
        <v>166</v>
      </c>
      <c r="F1060" s="80">
        <f t="shared" si="4"/>
        <v>5.4466230936819175E-3</v>
      </c>
    </row>
    <row r="1061" spans="1:6" ht="30">
      <c r="A1061" s="78" t="s">
        <v>13</v>
      </c>
      <c r="B1061" s="78" t="s">
        <v>2634</v>
      </c>
      <c r="C1061" s="78" t="s">
        <v>2635</v>
      </c>
      <c r="D1061" s="79">
        <v>39000</v>
      </c>
      <c r="E1061" s="78" t="s">
        <v>166</v>
      </c>
      <c r="F1061" s="80">
        <f t="shared" si="4"/>
        <v>2.1241830065359478E-2</v>
      </c>
    </row>
    <row r="1062" spans="1:6">
      <c r="A1062" s="78" t="s">
        <v>13</v>
      </c>
      <c r="B1062" s="78" t="s">
        <v>2638</v>
      </c>
      <c r="C1062" s="78" t="s">
        <v>2639</v>
      </c>
      <c r="D1062" s="79">
        <v>33000</v>
      </c>
      <c r="E1062" s="78" t="s">
        <v>166</v>
      </c>
      <c r="F1062" s="80">
        <f t="shared" si="4"/>
        <v>1.7973856209150325E-2</v>
      </c>
    </row>
    <row r="1063" spans="1:6">
      <c r="A1063" s="78" t="s">
        <v>13</v>
      </c>
      <c r="B1063" s="78" t="s">
        <v>2644</v>
      </c>
      <c r="C1063" s="78" t="s">
        <v>2565</v>
      </c>
      <c r="D1063" s="79">
        <v>46000</v>
      </c>
      <c r="E1063" s="78" t="s">
        <v>166</v>
      </c>
      <c r="F1063" s="80">
        <f t="shared" si="4"/>
        <v>2.5054466230936819E-2</v>
      </c>
    </row>
    <row r="1064" spans="1:6" ht="45">
      <c r="A1064" s="78" t="s">
        <v>13</v>
      </c>
      <c r="B1064" s="78" t="s">
        <v>2648</v>
      </c>
      <c r="C1064" s="78" t="s">
        <v>2583</v>
      </c>
      <c r="D1064" s="79">
        <v>50000</v>
      </c>
      <c r="E1064" s="78" t="s">
        <v>166</v>
      </c>
      <c r="F1064" s="80">
        <f t="shared" si="4"/>
        <v>2.7233115468409588E-2</v>
      </c>
    </row>
    <row r="1065" spans="1:6" ht="30">
      <c r="A1065" s="78" t="s">
        <v>13</v>
      </c>
      <c r="B1065" s="78" t="s">
        <v>2653</v>
      </c>
      <c r="C1065" s="78" t="s">
        <v>2654</v>
      </c>
      <c r="D1065" s="79">
        <v>25000</v>
      </c>
      <c r="E1065" s="78" t="s">
        <v>166</v>
      </c>
      <c r="F1065" s="80">
        <f t="shared" si="4"/>
        <v>1.3616557734204794E-2</v>
      </c>
    </row>
    <row r="1066" spans="1:6" ht="45">
      <c r="A1066" s="78" t="s">
        <v>13</v>
      </c>
      <c r="B1066" s="78" t="s">
        <v>2655</v>
      </c>
      <c r="C1066" s="78" t="s">
        <v>2656</v>
      </c>
      <c r="D1066" s="79">
        <v>90000</v>
      </c>
      <c r="E1066" s="78" t="s">
        <v>166</v>
      </c>
      <c r="F1066" s="80">
        <f t="shared" si="4"/>
        <v>4.9019607843137254E-2</v>
      </c>
    </row>
    <row r="1067" spans="1:6" ht="45">
      <c r="A1067" s="78" t="s">
        <v>13</v>
      </c>
      <c r="B1067" s="78" t="s">
        <v>2659</v>
      </c>
      <c r="C1067" s="78" t="s">
        <v>2661</v>
      </c>
      <c r="D1067" s="79">
        <v>29000</v>
      </c>
      <c r="E1067" s="78" t="s">
        <v>166</v>
      </c>
      <c r="F1067" s="80">
        <f t="shared" si="4"/>
        <v>1.579520697167756E-2</v>
      </c>
    </row>
    <row r="1068" spans="1:6" ht="45">
      <c r="A1068" s="78" t="s">
        <v>13</v>
      </c>
      <c r="B1068" s="78" t="s">
        <v>2679</v>
      </c>
      <c r="C1068" s="78" t="s">
        <v>2680</v>
      </c>
      <c r="D1068" s="79">
        <v>90000</v>
      </c>
      <c r="E1068" s="78" t="s">
        <v>166</v>
      </c>
      <c r="F1068" s="80">
        <f t="shared" si="4"/>
        <v>4.9019607843137254E-2</v>
      </c>
    </row>
    <row r="1069" spans="1:6" ht="45">
      <c r="A1069" s="78" t="s">
        <v>13</v>
      </c>
      <c r="B1069" s="78" t="s">
        <v>2566</v>
      </c>
      <c r="C1069" s="78" t="s">
        <v>2567</v>
      </c>
      <c r="D1069" s="79">
        <v>25000</v>
      </c>
      <c r="E1069" s="78" t="s">
        <v>175</v>
      </c>
      <c r="F1069" s="80">
        <f t="shared" si="4"/>
        <v>1.3616557734204794E-2</v>
      </c>
    </row>
    <row r="1070" spans="1:6">
      <c r="A1070" s="78" t="s">
        <v>13</v>
      </c>
      <c r="B1070" s="78" t="s">
        <v>2671</v>
      </c>
      <c r="C1070" s="78" t="s">
        <v>2672</v>
      </c>
      <c r="D1070" s="79">
        <v>65000</v>
      </c>
      <c r="E1070" s="78" t="s">
        <v>164</v>
      </c>
      <c r="F1070" s="80">
        <f t="shared" si="4"/>
        <v>3.5403050108932459E-2</v>
      </c>
    </row>
    <row r="1071" spans="1:6">
      <c r="A1071" s="78" t="s">
        <v>13</v>
      </c>
      <c r="B1071" s="78" t="s">
        <v>834</v>
      </c>
      <c r="C1071" s="78" t="s">
        <v>2699</v>
      </c>
      <c r="D1071" s="79">
        <v>24000</v>
      </c>
      <c r="E1071" s="78" t="s">
        <v>174</v>
      </c>
      <c r="F1071" s="80">
        <f t="shared" si="4"/>
        <v>1.3071895424836602E-2</v>
      </c>
    </row>
    <row r="1072" spans="1:6" ht="30">
      <c r="A1072" s="78" t="s">
        <v>13</v>
      </c>
      <c r="B1072" s="78" t="s">
        <v>2628</v>
      </c>
      <c r="C1072" s="78" t="s">
        <v>2629</v>
      </c>
      <c r="D1072" s="79">
        <v>32000</v>
      </c>
      <c r="E1072" s="78" t="s">
        <v>155</v>
      </c>
      <c r="F1072" s="80">
        <f t="shared" si="4"/>
        <v>1.7429193899782137E-2</v>
      </c>
    </row>
    <row r="1073" spans="1:6" ht="30">
      <c r="A1073" s="78" t="s">
        <v>13</v>
      </c>
      <c r="B1073" s="78" t="s">
        <v>2630</v>
      </c>
      <c r="C1073" s="78" t="s">
        <v>2631</v>
      </c>
      <c r="D1073" s="79">
        <v>20000</v>
      </c>
      <c r="E1073" s="78" t="s">
        <v>155</v>
      </c>
      <c r="F1073" s="80">
        <f t="shared" si="4"/>
        <v>1.0893246187363835E-2</v>
      </c>
    </row>
    <row r="1074" spans="1:6" ht="30">
      <c r="A1074" s="78" t="s">
        <v>13</v>
      </c>
      <c r="B1074" s="78" t="s">
        <v>2675</v>
      </c>
      <c r="C1074" s="78" t="s">
        <v>2676</v>
      </c>
      <c r="D1074" s="79">
        <v>15000</v>
      </c>
      <c r="E1074" s="78" t="s">
        <v>155</v>
      </c>
      <c r="F1074" s="80">
        <f t="shared" si="4"/>
        <v>8.1699346405228763E-3</v>
      </c>
    </row>
    <row r="1075" spans="1:6" ht="30">
      <c r="A1075" s="78" t="s">
        <v>13</v>
      </c>
      <c r="B1075" s="78" t="s">
        <v>2637</v>
      </c>
      <c r="C1075" s="78" t="s">
        <v>2629</v>
      </c>
      <c r="D1075" s="79">
        <v>60000</v>
      </c>
      <c r="E1075" s="78" t="s">
        <v>169</v>
      </c>
      <c r="F1075" s="80">
        <f t="shared" si="4"/>
        <v>3.2679738562091505E-2</v>
      </c>
    </row>
    <row r="1076" spans="1:6" ht="30">
      <c r="A1076" s="78" t="s">
        <v>13</v>
      </c>
      <c r="B1076" s="78" t="s">
        <v>2568</v>
      </c>
      <c r="C1076" s="78" t="s">
        <v>2569</v>
      </c>
      <c r="D1076" s="79">
        <v>30000</v>
      </c>
      <c r="E1076" s="78" t="s">
        <v>165</v>
      </c>
      <c r="F1076" s="80">
        <f t="shared" si="4"/>
        <v>1.6339869281045753E-2</v>
      </c>
    </row>
    <row r="1077" spans="1:6">
      <c r="A1077" s="78" t="s">
        <v>13</v>
      </c>
      <c r="B1077" s="78" t="s">
        <v>2607</v>
      </c>
      <c r="C1077" s="78" t="s">
        <v>2608</v>
      </c>
      <c r="D1077" s="79">
        <v>30000</v>
      </c>
      <c r="E1077" s="78" t="s">
        <v>168</v>
      </c>
      <c r="F1077" s="80">
        <f t="shared" si="4"/>
        <v>1.6339869281045753E-2</v>
      </c>
    </row>
    <row r="1078" spans="1:6" ht="45">
      <c r="A1078" s="78" t="s">
        <v>13</v>
      </c>
      <c r="B1078" s="78" t="s">
        <v>2609</v>
      </c>
      <c r="C1078" s="78" t="s">
        <v>2610</v>
      </c>
      <c r="D1078" s="79">
        <v>92000</v>
      </c>
      <c r="E1078" s="78" t="s">
        <v>168</v>
      </c>
      <c r="F1078" s="80">
        <f t="shared" si="4"/>
        <v>5.0108932461873638E-2</v>
      </c>
    </row>
    <row r="1079" spans="1:6" ht="30">
      <c r="A1079" s="78" t="s">
        <v>13</v>
      </c>
      <c r="B1079" s="78" t="s">
        <v>2609</v>
      </c>
      <c r="C1079" s="78" t="s">
        <v>2611</v>
      </c>
      <c r="D1079" s="79">
        <v>60000</v>
      </c>
      <c r="E1079" s="78" t="s">
        <v>168</v>
      </c>
      <c r="F1079" s="80">
        <f t="shared" si="4"/>
        <v>3.2679738562091505E-2</v>
      </c>
    </row>
    <row r="1080" spans="1:6">
      <c r="A1080" s="78" t="s">
        <v>13</v>
      </c>
      <c r="B1080" s="78" t="s">
        <v>2626</v>
      </c>
      <c r="C1080" s="78" t="s">
        <v>2627</v>
      </c>
      <c r="D1080" s="79">
        <v>40000</v>
      </c>
      <c r="E1080" s="78" t="s">
        <v>168</v>
      </c>
      <c r="F1080" s="80">
        <f t="shared" si="4"/>
        <v>2.178649237472767E-2</v>
      </c>
    </row>
    <row r="1081" spans="1:6" ht="30">
      <c r="A1081" s="78" t="s">
        <v>13</v>
      </c>
      <c r="B1081" s="78" t="s">
        <v>2683</v>
      </c>
      <c r="C1081" s="78" t="s">
        <v>2684</v>
      </c>
      <c r="D1081" s="79">
        <v>65000</v>
      </c>
      <c r="E1081" s="78" t="s">
        <v>168</v>
      </c>
      <c r="F1081" s="80">
        <f t="shared" si="4"/>
        <v>3.5403050108932459E-2</v>
      </c>
    </row>
    <row r="1082" spans="1:6" ht="30">
      <c r="A1082" s="78" t="s">
        <v>13</v>
      </c>
      <c r="B1082" s="78" t="s">
        <v>2570</v>
      </c>
      <c r="C1082" s="78" t="s">
        <v>2571</v>
      </c>
      <c r="D1082" s="78"/>
    </row>
    <row r="1083" spans="1:6" ht="30">
      <c r="A1083" s="78" t="s">
        <v>13</v>
      </c>
      <c r="B1083" s="78" t="s">
        <v>2572</v>
      </c>
      <c r="C1083" s="78" t="s">
        <v>2573</v>
      </c>
      <c r="D1083" s="78"/>
    </row>
    <row r="1084" spans="1:6">
      <c r="A1084" s="78" t="s">
        <v>13</v>
      </c>
      <c r="B1084" s="78" t="s">
        <v>816</v>
      </c>
      <c r="C1084" s="78" t="s">
        <v>2574</v>
      </c>
      <c r="D1084" s="78"/>
    </row>
    <row r="1085" spans="1:6" ht="30">
      <c r="A1085" s="78" t="s">
        <v>13</v>
      </c>
      <c r="B1085" s="78" t="s">
        <v>2577</v>
      </c>
      <c r="C1085" s="78" t="s">
        <v>2578</v>
      </c>
      <c r="D1085" s="78"/>
    </row>
    <row r="1086" spans="1:6" ht="30">
      <c r="A1086" s="78" t="s">
        <v>13</v>
      </c>
      <c r="B1086" s="78" t="s">
        <v>2579</v>
      </c>
      <c r="C1086" s="78" t="s">
        <v>2582</v>
      </c>
      <c r="D1086" s="78"/>
    </row>
    <row r="1087" spans="1:6" ht="45">
      <c r="A1087" s="78" t="s">
        <v>13</v>
      </c>
      <c r="B1087" s="78" t="s">
        <v>2579</v>
      </c>
      <c r="C1087" s="78" t="s">
        <v>2583</v>
      </c>
      <c r="D1087" s="78"/>
    </row>
    <row r="1088" spans="1:6" ht="30">
      <c r="A1088" s="78" t="s">
        <v>13</v>
      </c>
      <c r="B1088" s="78" t="s">
        <v>2586</v>
      </c>
      <c r="C1088" s="78" t="s">
        <v>2587</v>
      </c>
      <c r="D1088" s="78"/>
    </row>
    <row r="1089" spans="1:6">
      <c r="A1089" s="78" t="s">
        <v>13</v>
      </c>
      <c r="B1089" s="78" t="s">
        <v>2588</v>
      </c>
      <c r="C1089" s="78" t="s">
        <v>2589</v>
      </c>
      <c r="D1089" s="78"/>
    </row>
    <row r="1090" spans="1:6" ht="30">
      <c r="A1090" s="78" t="s">
        <v>13</v>
      </c>
      <c r="B1090" s="78" t="s">
        <v>2590</v>
      </c>
      <c r="C1090" s="78" t="s">
        <v>2591</v>
      </c>
      <c r="D1090" s="78"/>
    </row>
    <row r="1091" spans="1:6">
      <c r="A1091" s="78" t="s">
        <v>13</v>
      </c>
      <c r="B1091" s="78" t="s">
        <v>2592</v>
      </c>
      <c r="C1091" s="78" t="s">
        <v>2593</v>
      </c>
      <c r="D1091" s="78"/>
    </row>
    <row r="1092" spans="1:6" ht="30">
      <c r="A1092" s="78" t="s">
        <v>13</v>
      </c>
      <c r="B1092" s="78" t="s">
        <v>2594</v>
      </c>
      <c r="C1092" s="78" t="s">
        <v>2595</v>
      </c>
      <c r="D1092" s="78"/>
    </row>
    <row r="1093" spans="1:6" ht="45">
      <c r="A1093" s="78" t="s">
        <v>13</v>
      </c>
      <c r="B1093" s="78" t="s">
        <v>2598</v>
      </c>
      <c r="C1093" s="78" t="s">
        <v>2599</v>
      </c>
      <c r="D1093" s="78"/>
    </row>
    <row r="1094" spans="1:6">
      <c r="A1094" s="78" t="s">
        <v>13</v>
      </c>
      <c r="B1094" s="78" t="s">
        <v>2600</v>
      </c>
      <c r="C1094" s="78" t="s">
        <v>2601</v>
      </c>
      <c r="D1094" s="78"/>
    </row>
    <row r="1095" spans="1:6" ht="45">
      <c r="A1095" s="78" t="s">
        <v>13</v>
      </c>
      <c r="B1095" s="78" t="s">
        <v>2604</v>
      </c>
      <c r="C1095" s="78" t="s">
        <v>2583</v>
      </c>
      <c r="D1095" s="78"/>
      <c r="F1095" s="80">
        <f>D1095/1836000</f>
        <v>0</v>
      </c>
    </row>
    <row r="1096" spans="1:6">
      <c r="A1096" s="78" t="s">
        <v>13</v>
      </c>
      <c r="B1096" s="78" t="s">
        <v>2605</v>
      </c>
      <c r="C1096" s="78" t="s">
        <v>2606</v>
      </c>
      <c r="D1096" s="78"/>
    </row>
    <row r="1097" spans="1:6" ht="30">
      <c r="A1097" s="78" t="s">
        <v>13</v>
      </c>
      <c r="B1097" s="78" t="s">
        <v>2612</v>
      </c>
      <c r="C1097" s="78" t="s">
        <v>2613</v>
      </c>
      <c r="D1097" s="78"/>
    </row>
    <row r="1098" spans="1:6" ht="30">
      <c r="A1098" s="78" t="s">
        <v>13</v>
      </c>
      <c r="B1098" s="78" t="s">
        <v>2614</v>
      </c>
      <c r="C1098" s="78" t="s">
        <v>2615</v>
      </c>
      <c r="D1098" s="78"/>
    </row>
    <row r="1099" spans="1:6" ht="45">
      <c r="A1099" s="78" t="s">
        <v>13</v>
      </c>
      <c r="B1099" s="78" t="s">
        <v>2616</v>
      </c>
      <c r="C1099" s="78" t="s">
        <v>2617</v>
      </c>
      <c r="D1099" s="78"/>
    </row>
    <row r="1100" spans="1:6" ht="30">
      <c r="A1100" s="78" t="s">
        <v>13</v>
      </c>
      <c r="B1100" s="78" t="s">
        <v>2618</v>
      </c>
      <c r="C1100" s="78" t="s">
        <v>2619</v>
      </c>
      <c r="D1100" s="78"/>
    </row>
    <row r="1101" spans="1:6">
      <c r="A1101" s="78" t="s">
        <v>13</v>
      </c>
      <c r="B1101" s="78" t="s">
        <v>2622</v>
      </c>
      <c r="C1101" s="78" t="s">
        <v>2623</v>
      </c>
      <c r="D1101" s="78"/>
    </row>
    <row r="1102" spans="1:6" ht="30">
      <c r="A1102" s="78" t="s">
        <v>13</v>
      </c>
      <c r="B1102" s="78" t="s">
        <v>2624</v>
      </c>
      <c r="C1102" s="78" t="s">
        <v>2625</v>
      </c>
      <c r="D1102" s="78"/>
    </row>
    <row r="1103" spans="1:6">
      <c r="A1103" s="78" t="s">
        <v>13</v>
      </c>
      <c r="B1103" s="78" t="s">
        <v>2632</v>
      </c>
      <c r="C1103" s="78" t="s">
        <v>2633</v>
      </c>
      <c r="D1103" s="78"/>
    </row>
    <row r="1104" spans="1:6" ht="30">
      <c r="A1104" s="78" t="s">
        <v>13</v>
      </c>
      <c r="B1104" s="78" t="s">
        <v>2634</v>
      </c>
      <c r="C1104" s="78" t="s">
        <v>2636</v>
      </c>
      <c r="D1104" s="78"/>
    </row>
    <row r="1105" spans="1:6" ht="30">
      <c r="A1105" s="78" t="s">
        <v>13</v>
      </c>
      <c r="B1105" s="78" t="s">
        <v>2640</v>
      </c>
      <c r="C1105" s="78" t="s">
        <v>2641</v>
      </c>
      <c r="D1105" s="78"/>
    </row>
    <row r="1106" spans="1:6">
      <c r="A1106" s="78" t="s">
        <v>13</v>
      </c>
      <c r="B1106" s="78" t="s">
        <v>2642</v>
      </c>
      <c r="C1106" s="78" t="s">
        <v>2643</v>
      </c>
      <c r="D1106" s="78"/>
    </row>
    <row r="1107" spans="1:6" ht="45">
      <c r="A1107" s="78" t="s">
        <v>13</v>
      </c>
      <c r="B1107" s="78" t="s">
        <v>2644</v>
      </c>
      <c r="C1107" s="78" t="s">
        <v>2645</v>
      </c>
      <c r="D1107" s="78"/>
    </row>
    <row r="1108" spans="1:6" ht="30">
      <c r="A1108" s="78" t="s">
        <v>13</v>
      </c>
      <c r="B1108" s="78" t="s">
        <v>2646</v>
      </c>
      <c r="C1108" s="78" t="s">
        <v>2647</v>
      </c>
      <c r="D1108" s="78"/>
    </row>
    <row r="1109" spans="1:6">
      <c r="A1109" s="78" t="s">
        <v>13</v>
      </c>
      <c r="B1109" s="78" t="s">
        <v>2649</v>
      </c>
      <c r="C1109" s="78" t="s">
        <v>2650</v>
      </c>
      <c r="D1109" s="79">
        <v>12000</v>
      </c>
      <c r="F1109" s="80">
        <f>D1109/1836000</f>
        <v>6.5359477124183009E-3</v>
      </c>
    </row>
    <row r="1110" spans="1:6" ht="45">
      <c r="A1110" s="78" t="s">
        <v>13</v>
      </c>
      <c r="B1110" s="78" t="s">
        <v>2651</v>
      </c>
      <c r="C1110" s="78" t="s">
        <v>2652</v>
      </c>
      <c r="D1110" s="78"/>
    </row>
    <row r="1111" spans="1:6" ht="30">
      <c r="A1111" s="78" t="s">
        <v>13</v>
      </c>
      <c r="B1111" s="78" t="s">
        <v>2657</v>
      </c>
      <c r="C1111" s="78" t="s">
        <v>2658</v>
      </c>
      <c r="D1111" s="78"/>
    </row>
    <row r="1112" spans="1:6" ht="45">
      <c r="A1112" s="78" t="s">
        <v>13</v>
      </c>
      <c r="B1112" s="78" t="s">
        <v>2659</v>
      </c>
      <c r="C1112" s="78" t="s">
        <v>2660</v>
      </c>
      <c r="D1112" s="78"/>
    </row>
    <row r="1113" spans="1:6" ht="45">
      <c r="A1113" s="78" t="s">
        <v>13</v>
      </c>
      <c r="B1113" s="78" t="s">
        <v>2662</v>
      </c>
      <c r="C1113" s="78" t="s">
        <v>2663</v>
      </c>
      <c r="D1113" s="78"/>
    </row>
    <row r="1114" spans="1:6">
      <c r="A1114" s="78" t="s">
        <v>13</v>
      </c>
      <c r="B1114" s="78" t="s">
        <v>2664</v>
      </c>
      <c r="C1114" s="78" t="s">
        <v>2665</v>
      </c>
      <c r="D1114" s="78"/>
    </row>
    <row r="1115" spans="1:6" ht="45">
      <c r="A1115" s="78" t="s">
        <v>13</v>
      </c>
      <c r="B1115" s="78" t="s">
        <v>2664</v>
      </c>
      <c r="C1115" s="78" t="s">
        <v>2666</v>
      </c>
      <c r="D1115" s="78"/>
    </row>
    <row r="1116" spans="1:6" ht="45">
      <c r="A1116" s="78" t="s">
        <v>13</v>
      </c>
      <c r="B1116" s="78" t="s">
        <v>2667</v>
      </c>
      <c r="C1116" s="78" t="s">
        <v>2668</v>
      </c>
      <c r="D1116" s="78"/>
    </row>
    <row r="1117" spans="1:6" ht="30">
      <c r="A1117" s="78" t="s">
        <v>13</v>
      </c>
      <c r="B1117" s="78" t="s">
        <v>2669</v>
      </c>
      <c r="C1117" s="78" t="s">
        <v>2670</v>
      </c>
      <c r="D1117" s="78"/>
    </row>
    <row r="1118" spans="1:6">
      <c r="A1118" s="78" t="s">
        <v>13</v>
      </c>
      <c r="B1118" s="78" t="s">
        <v>2673</v>
      </c>
      <c r="C1118" s="78" t="s">
        <v>2674</v>
      </c>
      <c r="D1118" s="78"/>
    </row>
    <row r="1119" spans="1:6" ht="30">
      <c r="A1119" s="78" t="s">
        <v>13</v>
      </c>
      <c r="B1119" s="78" t="s">
        <v>2677</v>
      </c>
      <c r="C1119" s="78" t="s">
        <v>2678</v>
      </c>
      <c r="D1119" s="78"/>
    </row>
    <row r="1120" spans="1:6" ht="30">
      <c r="A1120" s="78" t="s">
        <v>13</v>
      </c>
      <c r="B1120" s="78" t="s">
        <v>2681</v>
      </c>
      <c r="C1120" s="78" t="s">
        <v>2682</v>
      </c>
      <c r="D1120" s="78"/>
    </row>
    <row r="1121" spans="1:6" ht="30">
      <c r="A1121" s="78" t="s">
        <v>13</v>
      </c>
      <c r="B1121" s="78" t="s">
        <v>2685</v>
      </c>
      <c r="C1121" s="78" t="s">
        <v>2582</v>
      </c>
      <c r="D1121" s="78"/>
    </row>
    <row r="1122" spans="1:6" ht="30">
      <c r="A1122" s="78" t="s">
        <v>13</v>
      </c>
      <c r="B1122" s="78" t="s">
        <v>2686</v>
      </c>
      <c r="C1122" s="78" t="s">
        <v>2687</v>
      </c>
      <c r="D1122" s="79">
        <v>15000</v>
      </c>
      <c r="F1122" s="80">
        <f>D1122/1836000</f>
        <v>8.1699346405228763E-3</v>
      </c>
    </row>
    <row r="1123" spans="1:6" ht="30">
      <c r="A1123" s="78" t="s">
        <v>13</v>
      </c>
      <c r="B1123" s="78" t="s">
        <v>2688</v>
      </c>
      <c r="C1123" s="78" t="s">
        <v>2689</v>
      </c>
      <c r="D1123" s="79">
        <v>7000</v>
      </c>
      <c r="F1123" s="80">
        <f>D1123/1836000</f>
        <v>3.8126361655773421E-3</v>
      </c>
    </row>
    <row r="1124" spans="1:6" ht="60">
      <c r="A1124" s="78" t="s">
        <v>13</v>
      </c>
      <c r="B1124" s="78" t="s">
        <v>2690</v>
      </c>
      <c r="C1124" s="78" t="s">
        <v>2691</v>
      </c>
      <c r="D1124" s="79">
        <v>5500</v>
      </c>
      <c r="F1124" s="80">
        <f>D1124/1836000</f>
        <v>2.9956427015250544E-3</v>
      </c>
    </row>
    <row r="1125" spans="1:6" ht="45">
      <c r="A1125" s="78" t="s">
        <v>13</v>
      </c>
      <c r="B1125" s="78" t="s">
        <v>2692</v>
      </c>
      <c r="C1125" s="78" t="s">
        <v>2693</v>
      </c>
      <c r="D1125" s="78"/>
    </row>
    <row r="1126" spans="1:6" ht="30">
      <c r="A1126" s="78" t="s">
        <v>13</v>
      </c>
      <c r="B1126" s="78" t="s">
        <v>2694</v>
      </c>
      <c r="C1126" s="78" t="s">
        <v>2629</v>
      </c>
      <c r="D1126" s="78"/>
    </row>
    <row r="1127" spans="1:6" ht="30">
      <c r="A1127" s="78" t="s">
        <v>13</v>
      </c>
      <c r="B1127" s="78" t="s">
        <v>2695</v>
      </c>
      <c r="C1127" s="78" t="s">
        <v>2696</v>
      </c>
      <c r="D1127" s="78"/>
    </row>
    <row r="1128" spans="1:6" ht="45">
      <c r="A1128" s="78" t="s">
        <v>13</v>
      </c>
      <c r="B1128" s="78" t="s">
        <v>2697</v>
      </c>
      <c r="C1128" s="78" t="s">
        <v>2698</v>
      </c>
      <c r="D1128" s="78"/>
    </row>
    <row r="1129" spans="1:6" ht="45">
      <c r="A1129" s="78" t="s">
        <v>13</v>
      </c>
      <c r="B1129" s="78" t="s">
        <v>2700</v>
      </c>
      <c r="C1129" s="78" t="s">
        <v>2701</v>
      </c>
      <c r="D1129" s="78"/>
    </row>
    <row r="1130" spans="1:6" ht="45">
      <c r="A1130" s="78" t="s">
        <v>13</v>
      </c>
      <c r="B1130" s="78" t="s">
        <v>2702</v>
      </c>
      <c r="C1130" s="78" t="s">
        <v>2617</v>
      </c>
      <c r="D1130" s="79">
        <v>10000</v>
      </c>
      <c r="F1130" s="80">
        <f>D1130/1836000</f>
        <v>5.4466230936819175E-3</v>
      </c>
    </row>
    <row r="1131" spans="1:6">
      <c r="A1131" s="78" t="s">
        <v>13</v>
      </c>
      <c r="B1131" s="78" t="s">
        <v>2703</v>
      </c>
      <c r="C1131" s="78" t="s">
        <v>2704</v>
      </c>
      <c r="D1131" s="78"/>
    </row>
    <row r="1132" spans="1:6">
      <c r="A1132" s="78" t="s">
        <v>2705</v>
      </c>
      <c r="B1132" s="78" t="s">
        <v>2706</v>
      </c>
      <c r="C1132" s="78" t="s">
        <v>2707</v>
      </c>
      <c r="D1132" s="78"/>
    </row>
    <row r="1133" spans="1:6" ht="30">
      <c r="A1133" s="78" t="s">
        <v>2705</v>
      </c>
      <c r="B1133" s="78" t="s">
        <v>2708</v>
      </c>
      <c r="C1133" s="78" t="s">
        <v>2709</v>
      </c>
      <c r="D1133" s="79">
        <v>36000</v>
      </c>
    </row>
    <row r="1134" spans="1:6" ht="45">
      <c r="A1134" s="78" t="s">
        <v>2705</v>
      </c>
      <c r="B1134" s="78" t="s">
        <v>2710</v>
      </c>
      <c r="C1134" s="78" t="s">
        <v>2711</v>
      </c>
      <c r="D1134" s="79">
        <v>40000</v>
      </c>
    </row>
    <row r="1135" spans="1:6" ht="45">
      <c r="A1135" s="78" t="s">
        <v>2705</v>
      </c>
      <c r="B1135" s="78" t="s">
        <v>2710</v>
      </c>
      <c r="C1135" s="78" t="s">
        <v>2712</v>
      </c>
      <c r="D1135" s="78"/>
    </row>
    <row r="1136" spans="1:6" ht="45">
      <c r="A1136" s="78" t="s">
        <v>2705</v>
      </c>
      <c r="B1136" s="78" t="s">
        <v>2710</v>
      </c>
      <c r="C1136" s="78" t="s">
        <v>2713</v>
      </c>
      <c r="D1136" s="78"/>
    </row>
    <row r="1137" spans="1:4" ht="45">
      <c r="A1137" s="78" t="s">
        <v>2705</v>
      </c>
      <c r="B1137" s="78" t="s">
        <v>2710</v>
      </c>
      <c r="C1137" s="78" t="s">
        <v>2714</v>
      </c>
      <c r="D1137" s="78"/>
    </row>
    <row r="1138" spans="1:4">
      <c r="A1138" s="78" t="s">
        <v>2705</v>
      </c>
      <c r="B1138" s="78" t="s">
        <v>2715</v>
      </c>
      <c r="C1138" s="78" t="s">
        <v>2716</v>
      </c>
      <c r="D1138" s="79">
        <v>24000</v>
      </c>
    </row>
    <row r="1139" spans="1:4" ht="30">
      <c r="A1139" s="78" t="s">
        <v>2705</v>
      </c>
      <c r="B1139" s="78" t="s">
        <v>2717</v>
      </c>
      <c r="C1139" s="78" t="s">
        <v>2718</v>
      </c>
      <c r="D1139" s="79">
        <v>30000</v>
      </c>
    </row>
    <row r="1140" spans="1:4">
      <c r="A1140" s="78" t="s">
        <v>2705</v>
      </c>
      <c r="B1140" s="78" t="s">
        <v>2719</v>
      </c>
      <c r="C1140" s="78" t="s">
        <v>2720</v>
      </c>
      <c r="D1140" s="78"/>
    </row>
    <row r="1141" spans="1:4" ht="30">
      <c r="A1141" s="78" t="s">
        <v>2705</v>
      </c>
      <c r="B1141" s="78" t="s">
        <v>2721</v>
      </c>
      <c r="C1141" s="78" t="s">
        <v>2722</v>
      </c>
      <c r="D1141" s="78"/>
    </row>
    <row r="1142" spans="1:4" ht="30">
      <c r="A1142" s="78" t="s">
        <v>2705</v>
      </c>
      <c r="B1142" s="78" t="s">
        <v>2721</v>
      </c>
      <c r="C1142" s="78" t="s">
        <v>2723</v>
      </c>
      <c r="D1142" s="79">
        <v>120000</v>
      </c>
    </row>
    <row r="1143" spans="1:4" ht="45">
      <c r="A1143" s="78" t="s">
        <v>2705</v>
      </c>
      <c r="B1143" s="78" t="s">
        <v>2721</v>
      </c>
      <c r="C1143" s="78" t="s">
        <v>2724</v>
      </c>
      <c r="D1143" s="78"/>
    </row>
    <row r="1144" spans="1:4" ht="30">
      <c r="A1144" s="78" t="s">
        <v>2705</v>
      </c>
      <c r="B1144" s="78" t="s">
        <v>2725</v>
      </c>
      <c r="C1144" s="78" t="s">
        <v>2726</v>
      </c>
      <c r="D1144" s="79">
        <v>150000</v>
      </c>
    </row>
    <row r="1145" spans="1:4" ht="30">
      <c r="A1145" s="78" t="s">
        <v>2705</v>
      </c>
      <c r="B1145" s="78" t="s">
        <v>2727</v>
      </c>
      <c r="C1145" s="78" t="s">
        <v>2728</v>
      </c>
      <c r="D1145" s="79">
        <v>9600</v>
      </c>
    </row>
    <row r="1146" spans="1:4" ht="45">
      <c r="A1146" s="78" t="s">
        <v>2705</v>
      </c>
      <c r="B1146" s="78" t="s">
        <v>2729</v>
      </c>
      <c r="C1146" s="78" t="s">
        <v>2730</v>
      </c>
      <c r="D1146" s="79">
        <v>60000</v>
      </c>
    </row>
    <row r="1147" spans="1:4" ht="45">
      <c r="A1147" s="78" t="s">
        <v>2705</v>
      </c>
      <c r="B1147" s="78" t="s">
        <v>2731</v>
      </c>
      <c r="C1147" s="78" t="s">
        <v>2732</v>
      </c>
      <c r="D1147" s="78"/>
    </row>
    <row r="1148" spans="1:4" ht="30">
      <c r="A1148" s="78" t="s">
        <v>2705</v>
      </c>
      <c r="B1148" s="78" t="s">
        <v>2731</v>
      </c>
      <c r="C1148" s="78" t="s">
        <v>2733</v>
      </c>
      <c r="D1148" s="79">
        <v>300000</v>
      </c>
    </row>
    <row r="1149" spans="1:4" ht="30">
      <c r="A1149" s="78" t="s">
        <v>2705</v>
      </c>
      <c r="B1149" s="78" t="s">
        <v>2734</v>
      </c>
      <c r="C1149" s="78" t="s">
        <v>2735</v>
      </c>
      <c r="D1149" s="78"/>
    </row>
    <row r="1150" spans="1:4" ht="45">
      <c r="A1150" s="78" t="s">
        <v>2705</v>
      </c>
      <c r="B1150" s="78" t="s">
        <v>2736</v>
      </c>
      <c r="C1150" s="78" t="s">
        <v>2737</v>
      </c>
      <c r="D1150" s="78"/>
    </row>
    <row r="1151" spans="1:4" ht="30">
      <c r="A1151" s="78" t="s">
        <v>2705</v>
      </c>
      <c r="B1151" s="78" t="s">
        <v>2738</v>
      </c>
      <c r="C1151" s="78" t="s">
        <v>2739</v>
      </c>
      <c r="D1151" s="78"/>
    </row>
    <row r="1152" spans="1:4" ht="30">
      <c r="A1152" s="78" t="s">
        <v>2705</v>
      </c>
      <c r="B1152" s="78" t="s">
        <v>2740</v>
      </c>
      <c r="C1152" s="78" t="s">
        <v>2741</v>
      </c>
      <c r="D1152" s="78"/>
    </row>
    <row r="1153" spans="1:4" ht="45">
      <c r="A1153" s="78" t="s">
        <v>2705</v>
      </c>
      <c r="B1153" s="78" t="s">
        <v>2740</v>
      </c>
      <c r="C1153" s="78" t="s">
        <v>2742</v>
      </c>
      <c r="D1153" s="78"/>
    </row>
    <row r="1154" spans="1:4" ht="30">
      <c r="A1154" s="78" t="s">
        <v>2705</v>
      </c>
      <c r="B1154" s="78" t="s">
        <v>2743</v>
      </c>
      <c r="C1154" s="78" t="s">
        <v>2744</v>
      </c>
      <c r="D1154" s="79">
        <v>36000</v>
      </c>
    </row>
    <row r="1155" spans="1:4" ht="45">
      <c r="A1155" s="78" t="s">
        <v>2705</v>
      </c>
      <c r="B1155" s="78" t="s">
        <v>2745</v>
      </c>
      <c r="C1155" s="78" t="s">
        <v>2739</v>
      </c>
      <c r="D1155" s="78"/>
    </row>
    <row r="1156" spans="1:4" ht="30">
      <c r="A1156" s="78" t="s">
        <v>2705</v>
      </c>
      <c r="B1156" s="78" t="s">
        <v>2746</v>
      </c>
      <c r="C1156" s="78" t="s">
        <v>2747</v>
      </c>
      <c r="D1156" s="78"/>
    </row>
    <row r="1157" spans="1:4" ht="30">
      <c r="A1157" s="78" t="s">
        <v>2705</v>
      </c>
      <c r="B1157" s="78" t="s">
        <v>2748</v>
      </c>
      <c r="C1157" s="78" t="s">
        <v>2749</v>
      </c>
      <c r="D1157" s="78"/>
    </row>
    <row r="1158" spans="1:4" ht="45">
      <c r="A1158" s="78" t="s">
        <v>2705</v>
      </c>
      <c r="B1158" s="78" t="s">
        <v>2750</v>
      </c>
      <c r="C1158" s="78" t="s">
        <v>2751</v>
      </c>
      <c r="D1158" s="78"/>
    </row>
    <row r="1159" spans="1:4" ht="30">
      <c r="A1159" s="78" t="s">
        <v>2705</v>
      </c>
      <c r="B1159" s="78" t="s">
        <v>2752</v>
      </c>
      <c r="C1159" s="78" t="s">
        <v>2753</v>
      </c>
      <c r="D1159" s="78"/>
    </row>
    <row r="1160" spans="1:4" ht="30">
      <c r="A1160" s="78" t="s">
        <v>2705</v>
      </c>
      <c r="B1160" s="78" t="s">
        <v>2754</v>
      </c>
      <c r="C1160" s="78" t="s">
        <v>2755</v>
      </c>
      <c r="D1160" s="78"/>
    </row>
    <row r="1161" spans="1:4">
      <c r="A1161" s="78" t="s">
        <v>2705</v>
      </c>
      <c r="B1161" s="78" t="s">
        <v>2754</v>
      </c>
      <c r="C1161" s="78" t="s">
        <v>2756</v>
      </c>
      <c r="D1161" s="79">
        <v>25200</v>
      </c>
    </row>
    <row r="1162" spans="1:4" ht="30">
      <c r="A1162" s="78" t="s">
        <v>2705</v>
      </c>
      <c r="B1162" s="78" t="s">
        <v>2757</v>
      </c>
      <c r="C1162" s="78" t="s">
        <v>2758</v>
      </c>
      <c r="D1162" s="78"/>
    </row>
    <row r="1163" spans="1:4" ht="30">
      <c r="A1163" s="78" t="s">
        <v>2705</v>
      </c>
      <c r="B1163" s="78" t="s">
        <v>2759</v>
      </c>
      <c r="C1163" s="78" t="s">
        <v>2760</v>
      </c>
      <c r="D1163" s="79">
        <v>30000</v>
      </c>
    </row>
    <row r="1164" spans="1:4" ht="30">
      <c r="A1164" s="78" t="s">
        <v>2705</v>
      </c>
      <c r="B1164" s="78" t="s">
        <v>2761</v>
      </c>
      <c r="C1164" s="78" t="s">
        <v>2762</v>
      </c>
      <c r="D1164" s="78"/>
    </row>
    <row r="1165" spans="1:4">
      <c r="A1165" s="78" t="s">
        <v>2705</v>
      </c>
      <c r="B1165" s="78" t="s">
        <v>2763</v>
      </c>
      <c r="C1165" s="78" t="s">
        <v>2764</v>
      </c>
      <c r="D1165" s="79">
        <v>47000</v>
      </c>
    </row>
    <row r="1166" spans="1:4" ht="45">
      <c r="A1166" s="78" t="s">
        <v>2705</v>
      </c>
      <c r="B1166" s="78" t="s">
        <v>2765</v>
      </c>
      <c r="C1166" s="78" t="s">
        <v>2766</v>
      </c>
      <c r="D1166" s="79">
        <v>120000</v>
      </c>
    </row>
    <row r="1167" spans="1:4" ht="45">
      <c r="A1167" s="78" t="s">
        <v>2705</v>
      </c>
      <c r="B1167" s="78" t="s">
        <v>2767</v>
      </c>
      <c r="C1167" s="78" t="s">
        <v>2768</v>
      </c>
      <c r="D1167" s="79">
        <v>24000</v>
      </c>
    </row>
    <row r="1168" spans="1:4" ht="45">
      <c r="A1168" s="78" t="s">
        <v>2705</v>
      </c>
      <c r="B1168" s="78" t="s">
        <v>2769</v>
      </c>
      <c r="C1168" s="78" t="s">
        <v>2770</v>
      </c>
      <c r="D1168" s="78"/>
    </row>
    <row r="1169" spans="1:4" ht="30">
      <c r="A1169" s="78" t="s">
        <v>2705</v>
      </c>
      <c r="B1169" s="78" t="s">
        <v>2771</v>
      </c>
      <c r="C1169" s="78" t="s">
        <v>2762</v>
      </c>
      <c r="D1169" s="78"/>
    </row>
    <row r="1170" spans="1:4">
      <c r="A1170" s="78" t="s">
        <v>2705</v>
      </c>
      <c r="B1170" s="78" t="s">
        <v>2772</v>
      </c>
      <c r="C1170" s="78" t="s">
        <v>2773</v>
      </c>
      <c r="D1170" s="79">
        <v>8000</v>
      </c>
    </row>
    <row r="1171" spans="1:4" ht="45">
      <c r="A1171" s="78" t="s">
        <v>2705</v>
      </c>
      <c r="B1171" s="78" t="s">
        <v>2774</v>
      </c>
      <c r="C1171" s="78" t="s">
        <v>2775</v>
      </c>
      <c r="D1171" s="79">
        <v>60000</v>
      </c>
    </row>
    <row r="1172" spans="1:4" ht="30">
      <c r="A1172" s="78" t="s">
        <v>2705</v>
      </c>
      <c r="B1172" s="78" t="s">
        <v>2776</v>
      </c>
      <c r="C1172" s="78" t="s">
        <v>2733</v>
      </c>
      <c r="D1172" s="78"/>
    </row>
    <row r="1173" spans="1:4" ht="45">
      <c r="A1173" s="78" t="s">
        <v>2705</v>
      </c>
      <c r="B1173" s="78" t="s">
        <v>2777</v>
      </c>
      <c r="C1173" s="78" t="s">
        <v>2778</v>
      </c>
      <c r="D1173" s="79">
        <v>24000</v>
      </c>
    </row>
    <row r="1174" spans="1:4" ht="30">
      <c r="A1174" s="78" t="s">
        <v>2705</v>
      </c>
      <c r="B1174" s="78" t="s">
        <v>2779</v>
      </c>
      <c r="C1174" s="78" t="s">
        <v>2780</v>
      </c>
      <c r="D1174" s="79">
        <v>60000</v>
      </c>
    </row>
    <row r="1175" spans="1:4" ht="45">
      <c r="A1175" s="78" t="s">
        <v>2705</v>
      </c>
      <c r="B1175" s="78" t="s">
        <v>2781</v>
      </c>
      <c r="C1175" s="78" t="s">
        <v>2782</v>
      </c>
      <c r="D1175" s="78"/>
    </row>
    <row r="1176" spans="1:4" ht="45">
      <c r="A1176" s="78" t="s">
        <v>2705</v>
      </c>
      <c r="B1176" s="78" t="s">
        <v>2783</v>
      </c>
      <c r="C1176" s="78" t="s">
        <v>2784</v>
      </c>
      <c r="D1176" s="78"/>
    </row>
    <row r="1177" spans="1:4" ht="30">
      <c r="A1177" s="78" t="s">
        <v>2705</v>
      </c>
      <c r="B1177" s="78" t="s">
        <v>2785</v>
      </c>
      <c r="C1177" s="78" t="s">
        <v>2718</v>
      </c>
      <c r="D1177" s="79">
        <v>20000</v>
      </c>
    </row>
    <row r="1178" spans="1:4">
      <c r="A1178" s="78" t="s">
        <v>2705</v>
      </c>
      <c r="B1178" s="78" t="s">
        <v>2786</v>
      </c>
      <c r="C1178" s="78" t="s">
        <v>2787</v>
      </c>
      <c r="D1178" s="78"/>
    </row>
    <row r="1179" spans="1:4" ht="30">
      <c r="A1179" s="78" t="s">
        <v>2705</v>
      </c>
      <c r="B1179" s="78" t="s">
        <v>2788</v>
      </c>
      <c r="C1179" s="78" t="s">
        <v>2789</v>
      </c>
      <c r="D1179" s="79">
        <v>12000</v>
      </c>
    </row>
    <row r="1180" spans="1:4" ht="30">
      <c r="A1180" s="78" t="s">
        <v>2705</v>
      </c>
      <c r="B1180" s="78" t="s">
        <v>2790</v>
      </c>
      <c r="C1180" s="78" t="s">
        <v>2791</v>
      </c>
      <c r="D1180" s="78"/>
    </row>
    <row r="1181" spans="1:4" ht="30">
      <c r="A1181" s="78" t="s">
        <v>2705</v>
      </c>
      <c r="B1181" s="78" t="s">
        <v>2792</v>
      </c>
      <c r="C1181" s="78" t="s">
        <v>2762</v>
      </c>
      <c r="D1181" s="79">
        <v>42000</v>
      </c>
    </row>
    <row r="1182" spans="1:4">
      <c r="A1182" s="78" t="s">
        <v>2705</v>
      </c>
      <c r="B1182" s="78" t="s">
        <v>2792</v>
      </c>
      <c r="C1182" s="78" t="s">
        <v>2793</v>
      </c>
      <c r="D1182" s="79">
        <v>45000</v>
      </c>
    </row>
    <row r="1183" spans="1:4" ht="30">
      <c r="A1183" s="78" t="s">
        <v>2705</v>
      </c>
      <c r="B1183" s="78" t="s">
        <v>2792</v>
      </c>
      <c r="C1183" s="78" t="s">
        <v>2718</v>
      </c>
      <c r="D1183" s="78"/>
    </row>
    <row r="1184" spans="1:4" ht="45">
      <c r="A1184" s="78" t="s">
        <v>2705</v>
      </c>
      <c r="B1184" s="78" t="s">
        <v>2794</v>
      </c>
      <c r="C1184" s="78" t="s">
        <v>2768</v>
      </c>
      <c r="D1184" s="79">
        <v>25000</v>
      </c>
    </row>
    <row r="1185" spans="1:4" ht="30">
      <c r="A1185" s="78" t="s">
        <v>2705</v>
      </c>
      <c r="B1185" s="78" t="s">
        <v>2795</v>
      </c>
      <c r="C1185" s="78" t="s">
        <v>2739</v>
      </c>
      <c r="D1185" s="78"/>
    </row>
    <row r="1186" spans="1:4" ht="30">
      <c r="A1186" s="78" t="s">
        <v>2705</v>
      </c>
      <c r="B1186" s="78" t="s">
        <v>2796</v>
      </c>
      <c r="C1186" s="78" t="s">
        <v>2797</v>
      </c>
      <c r="D1186" s="79">
        <v>31200</v>
      </c>
    </row>
    <row r="1187" spans="1:4" ht="30">
      <c r="A1187" s="78" t="s">
        <v>2705</v>
      </c>
      <c r="B1187" s="78" t="s">
        <v>2798</v>
      </c>
      <c r="C1187" s="78" t="s">
        <v>2799</v>
      </c>
      <c r="D1187" s="79">
        <v>33600</v>
      </c>
    </row>
    <row r="1188" spans="1:4" ht="30">
      <c r="A1188" s="78" t="s">
        <v>2705</v>
      </c>
      <c r="B1188" s="78" t="s">
        <v>2800</v>
      </c>
      <c r="C1188" s="78" t="s">
        <v>2801</v>
      </c>
      <c r="D1188" s="78"/>
    </row>
    <row r="1189" spans="1:4" ht="30">
      <c r="A1189" s="78" t="s">
        <v>2705</v>
      </c>
      <c r="B1189" s="78" t="s">
        <v>2802</v>
      </c>
      <c r="C1189" s="78" t="s">
        <v>2803</v>
      </c>
      <c r="D1189" s="79">
        <v>100000</v>
      </c>
    </row>
    <row r="1190" spans="1:4" ht="30">
      <c r="A1190" s="78" t="s">
        <v>2705</v>
      </c>
      <c r="B1190" s="78" t="s">
        <v>2804</v>
      </c>
      <c r="C1190" s="78" t="s">
        <v>2797</v>
      </c>
      <c r="D1190" s="79">
        <v>48000</v>
      </c>
    </row>
    <row r="1191" spans="1:4" ht="45">
      <c r="A1191" s="78" t="s">
        <v>2705</v>
      </c>
      <c r="B1191" s="78" t="s">
        <v>2805</v>
      </c>
      <c r="C1191" s="78" t="s">
        <v>2806</v>
      </c>
      <c r="D1191" s="78"/>
    </row>
    <row r="1192" spans="1:4" ht="30">
      <c r="A1192" s="78" t="s">
        <v>2705</v>
      </c>
      <c r="B1192" s="78" t="s">
        <v>2805</v>
      </c>
      <c r="C1192" s="78" t="s">
        <v>2756</v>
      </c>
      <c r="D1192" s="79">
        <v>53000</v>
      </c>
    </row>
    <row r="1193" spans="1:4">
      <c r="A1193" s="78" t="s">
        <v>2705</v>
      </c>
      <c r="B1193" s="78" t="s">
        <v>2807</v>
      </c>
      <c r="C1193" s="78" t="s">
        <v>2808</v>
      </c>
      <c r="D1193" s="79">
        <v>13200</v>
      </c>
    </row>
    <row r="1194" spans="1:4">
      <c r="A1194" s="78" t="s">
        <v>2705</v>
      </c>
      <c r="B1194" s="78" t="s">
        <v>2809</v>
      </c>
      <c r="C1194" s="78" t="s">
        <v>2773</v>
      </c>
      <c r="D1194" s="78"/>
    </row>
    <row r="1195" spans="1:4" ht="30">
      <c r="A1195" s="78" t="s">
        <v>2705</v>
      </c>
      <c r="B1195" s="78" t="s">
        <v>2810</v>
      </c>
      <c r="C1195" s="78" t="s">
        <v>2811</v>
      </c>
      <c r="D1195" s="78"/>
    </row>
    <row r="1196" spans="1:4" ht="30">
      <c r="A1196" s="78" t="s">
        <v>2705</v>
      </c>
      <c r="B1196" s="78" t="s">
        <v>2812</v>
      </c>
      <c r="C1196" s="78" t="s">
        <v>2813</v>
      </c>
      <c r="D1196" s="78"/>
    </row>
    <row r="1197" spans="1:4" ht="30">
      <c r="A1197" s="78" t="s">
        <v>2705</v>
      </c>
      <c r="B1197" s="78" t="s">
        <v>2814</v>
      </c>
      <c r="C1197" s="78" t="s">
        <v>2733</v>
      </c>
      <c r="D1197" s="78"/>
    </row>
    <row r="1198" spans="1:4" ht="30">
      <c r="A1198" s="78" t="s">
        <v>2705</v>
      </c>
      <c r="B1198" s="78" t="s">
        <v>2814</v>
      </c>
      <c r="C1198" s="78" t="s">
        <v>2762</v>
      </c>
      <c r="D1198" s="79">
        <v>42000</v>
      </c>
    </row>
    <row r="1199" spans="1:4" ht="30">
      <c r="A1199" s="78" t="s">
        <v>2705</v>
      </c>
      <c r="B1199" s="78" t="s">
        <v>2815</v>
      </c>
      <c r="C1199" s="78" t="s">
        <v>2816</v>
      </c>
      <c r="D1199" s="79">
        <v>9600</v>
      </c>
    </row>
    <row r="1200" spans="1:4" ht="30">
      <c r="A1200" s="78" t="s">
        <v>2705</v>
      </c>
      <c r="B1200" s="78" t="s">
        <v>2817</v>
      </c>
      <c r="C1200" s="78" t="s">
        <v>2818</v>
      </c>
      <c r="D1200" s="79">
        <v>148000</v>
      </c>
    </row>
    <row r="1201" spans="1:4" ht="30">
      <c r="A1201" s="78" t="s">
        <v>2705</v>
      </c>
      <c r="B1201" s="78" t="s">
        <v>2819</v>
      </c>
      <c r="C1201" s="78" t="s">
        <v>2756</v>
      </c>
      <c r="D1201" s="79">
        <v>33600</v>
      </c>
    </row>
    <row r="1202" spans="1:4" ht="30">
      <c r="A1202" s="78" t="s">
        <v>2705</v>
      </c>
      <c r="B1202" s="78" t="s">
        <v>2820</v>
      </c>
      <c r="C1202" s="78" t="s">
        <v>2821</v>
      </c>
      <c r="D1202" s="79">
        <v>18000</v>
      </c>
    </row>
    <row r="1203" spans="1:4">
      <c r="A1203" s="78" t="s">
        <v>2705</v>
      </c>
      <c r="B1203" s="78" t="s">
        <v>2822</v>
      </c>
      <c r="C1203" s="78" t="s">
        <v>2823</v>
      </c>
      <c r="D1203" s="79">
        <v>320000</v>
      </c>
    </row>
    <row r="1204" spans="1:4" ht="30">
      <c r="A1204" s="78" t="s">
        <v>2705</v>
      </c>
      <c r="B1204" s="78" t="s">
        <v>2824</v>
      </c>
      <c r="C1204" s="78" t="s">
        <v>2825</v>
      </c>
      <c r="D1204" s="78"/>
    </row>
    <row r="1205" spans="1:4" ht="45">
      <c r="A1205" s="78" t="s">
        <v>2705</v>
      </c>
      <c r="B1205" s="78" t="s">
        <v>2826</v>
      </c>
      <c r="C1205" s="78" t="s">
        <v>2827</v>
      </c>
      <c r="D1205" s="79">
        <v>20000</v>
      </c>
    </row>
    <row r="1206" spans="1:4" ht="30">
      <c r="A1206" s="78" t="s">
        <v>2705</v>
      </c>
      <c r="B1206" s="78" t="s">
        <v>2828</v>
      </c>
      <c r="C1206" s="78" t="s">
        <v>2756</v>
      </c>
      <c r="D1206" s="79">
        <v>25600</v>
      </c>
    </row>
    <row r="1207" spans="1:4" ht="30">
      <c r="A1207" s="78" t="s">
        <v>2705</v>
      </c>
      <c r="B1207" s="78" t="s">
        <v>2829</v>
      </c>
      <c r="C1207" s="78" t="s">
        <v>2760</v>
      </c>
      <c r="D1207" s="79">
        <v>30000</v>
      </c>
    </row>
    <row r="1208" spans="1:4" ht="30">
      <c r="A1208" s="78" t="s">
        <v>2705</v>
      </c>
      <c r="B1208" s="78" t="s">
        <v>2829</v>
      </c>
      <c r="C1208" s="78" t="s">
        <v>2830</v>
      </c>
      <c r="D1208" s="78"/>
    </row>
    <row r="1209" spans="1:4" ht="30">
      <c r="A1209" s="78" t="s">
        <v>2705</v>
      </c>
      <c r="B1209" s="78" t="s">
        <v>2829</v>
      </c>
      <c r="C1209" s="78" t="s">
        <v>2825</v>
      </c>
      <c r="D1209" s="78"/>
    </row>
    <row r="1210" spans="1:4" ht="45">
      <c r="A1210" s="78" t="s">
        <v>2705</v>
      </c>
      <c r="B1210" s="78" t="s">
        <v>2829</v>
      </c>
      <c r="C1210" s="78" t="s">
        <v>2831</v>
      </c>
      <c r="D1210" s="78"/>
    </row>
    <row r="1211" spans="1:4" ht="30">
      <c r="A1211" s="78" t="s">
        <v>2705</v>
      </c>
      <c r="B1211" s="78" t="s">
        <v>2829</v>
      </c>
      <c r="C1211" s="78" t="s">
        <v>2762</v>
      </c>
      <c r="D1211" s="78"/>
    </row>
    <row r="1212" spans="1:4" ht="30">
      <c r="A1212" s="78" t="s">
        <v>2705</v>
      </c>
      <c r="B1212" s="78" t="s">
        <v>2829</v>
      </c>
      <c r="C1212" s="78" t="s">
        <v>2747</v>
      </c>
      <c r="D1212" s="78"/>
    </row>
    <row r="1213" spans="1:4" ht="30">
      <c r="A1213" s="78" t="s">
        <v>2705</v>
      </c>
      <c r="B1213" s="78" t="s">
        <v>2829</v>
      </c>
      <c r="C1213" s="78" t="s">
        <v>2832</v>
      </c>
      <c r="D1213" s="79">
        <v>320000</v>
      </c>
    </row>
    <row r="1214" spans="1:4" ht="30">
      <c r="A1214" s="78" t="s">
        <v>2705</v>
      </c>
      <c r="B1214" s="78" t="s">
        <v>2833</v>
      </c>
      <c r="C1214" s="78" t="s">
        <v>2834</v>
      </c>
      <c r="D1214" s="79">
        <v>24000</v>
      </c>
    </row>
    <row r="1215" spans="1:4" ht="45">
      <c r="A1215" s="78" t="s">
        <v>2705</v>
      </c>
      <c r="B1215" s="78" t="s">
        <v>2835</v>
      </c>
      <c r="C1215" s="78" t="s">
        <v>2836</v>
      </c>
      <c r="D1215" s="78"/>
    </row>
    <row r="1216" spans="1:4" ht="30">
      <c r="A1216" s="78" t="s">
        <v>2705</v>
      </c>
      <c r="B1216" s="78" t="s">
        <v>2837</v>
      </c>
      <c r="C1216" s="78" t="s">
        <v>2747</v>
      </c>
      <c r="D1216" s="78"/>
    </row>
    <row r="1217" spans="1:4" ht="30">
      <c r="A1217" s="78" t="s">
        <v>2705</v>
      </c>
      <c r="B1217" s="78" t="s">
        <v>2838</v>
      </c>
      <c r="C1217" s="78" t="s">
        <v>2839</v>
      </c>
      <c r="D1217" s="78"/>
    </row>
    <row r="1218" spans="1:4" ht="30">
      <c r="A1218" s="78" t="s">
        <v>2705</v>
      </c>
      <c r="B1218" s="78" t="s">
        <v>2840</v>
      </c>
      <c r="C1218" s="78" t="s">
        <v>2841</v>
      </c>
      <c r="D1218" s="78"/>
    </row>
    <row r="1219" spans="1:4">
      <c r="A1219" s="78" t="s">
        <v>2705</v>
      </c>
      <c r="B1219" s="78" t="s">
        <v>2842</v>
      </c>
      <c r="C1219" s="78" t="s">
        <v>2716</v>
      </c>
      <c r="D1219" s="79">
        <v>60000</v>
      </c>
    </row>
    <row r="1220" spans="1:4" ht="30">
      <c r="A1220" s="78" t="s">
        <v>2705</v>
      </c>
      <c r="B1220" s="78" t="s">
        <v>2843</v>
      </c>
      <c r="C1220" s="78" t="s">
        <v>2844</v>
      </c>
      <c r="D1220" s="79">
        <v>20000</v>
      </c>
    </row>
    <row r="1221" spans="1:4" ht="30">
      <c r="A1221" s="78" t="s">
        <v>2705</v>
      </c>
      <c r="B1221" s="78" t="s">
        <v>2845</v>
      </c>
      <c r="C1221" s="78" t="s">
        <v>2846</v>
      </c>
      <c r="D1221" s="78"/>
    </row>
    <row r="1222" spans="1:4">
      <c r="A1222" s="78" t="s">
        <v>2705</v>
      </c>
      <c r="B1222" s="78" t="s">
        <v>2847</v>
      </c>
      <c r="C1222" s="78" t="s">
        <v>2756</v>
      </c>
      <c r="D1222" s="79">
        <v>18000</v>
      </c>
    </row>
    <row r="1223" spans="1:4" ht="45">
      <c r="A1223" s="78" t="s">
        <v>2705</v>
      </c>
      <c r="B1223" s="78" t="s">
        <v>2848</v>
      </c>
      <c r="C1223" s="78" t="s">
        <v>2849</v>
      </c>
      <c r="D1223" s="78"/>
    </row>
    <row r="1224" spans="1:4" ht="30">
      <c r="A1224" s="78" t="s">
        <v>2705</v>
      </c>
      <c r="B1224" s="78" t="s">
        <v>2850</v>
      </c>
      <c r="C1224" s="78" t="s">
        <v>2851</v>
      </c>
      <c r="D1224" s="79">
        <v>48000</v>
      </c>
    </row>
    <row r="1225" spans="1:4" ht="30">
      <c r="A1225" s="78" t="s">
        <v>2705</v>
      </c>
      <c r="B1225" s="78" t="s">
        <v>2852</v>
      </c>
      <c r="C1225" s="78" t="s">
        <v>2825</v>
      </c>
      <c r="D1225" s="78"/>
    </row>
    <row r="1226" spans="1:4" ht="30">
      <c r="A1226" s="78" t="s">
        <v>2705</v>
      </c>
      <c r="B1226" s="78" t="s">
        <v>2853</v>
      </c>
      <c r="C1226" s="78" t="s">
        <v>2760</v>
      </c>
      <c r="D1226" s="79">
        <v>30000</v>
      </c>
    </row>
    <row r="1227" spans="1:4" ht="45">
      <c r="A1227" s="78" t="s">
        <v>2705</v>
      </c>
      <c r="B1227" s="78" t="s">
        <v>2854</v>
      </c>
      <c r="C1227" s="78" t="s">
        <v>2855</v>
      </c>
      <c r="D1227" s="78"/>
    </row>
    <row r="1228" spans="1:4">
      <c r="A1228" s="78" t="s">
        <v>2705</v>
      </c>
      <c r="B1228" s="78" t="s">
        <v>2854</v>
      </c>
      <c r="C1228" s="78" t="s">
        <v>2856</v>
      </c>
      <c r="D1228" s="79">
        <v>48000</v>
      </c>
    </row>
    <row r="1229" spans="1:4" ht="30">
      <c r="A1229" s="78" t="s">
        <v>2705</v>
      </c>
      <c r="B1229" s="78" t="s">
        <v>2854</v>
      </c>
      <c r="C1229" s="78" t="s">
        <v>2760</v>
      </c>
      <c r="D1229" s="79">
        <v>30000</v>
      </c>
    </row>
    <row r="1230" spans="1:4" ht="45">
      <c r="A1230" s="78" t="s">
        <v>2705</v>
      </c>
      <c r="B1230" s="78" t="s">
        <v>2854</v>
      </c>
      <c r="C1230" s="78" t="s">
        <v>2775</v>
      </c>
      <c r="D1230" s="78"/>
    </row>
    <row r="1231" spans="1:4" ht="45">
      <c r="A1231" s="78" t="s">
        <v>2705</v>
      </c>
      <c r="B1231" s="78" t="s">
        <v>2854</v>
      </c>
      <c r="C1231" s="78" t="s">
        <v>2857</v>
      </c>
      <c r="D1231" s="78"/>
    </row>
    <row r="1232" spans="1:4" ht="30">
      <c r="A1232" s="78" t="s">
        <v>2705</v>
      </c>
      <c r="B1232" s="78" t="s">
        <v>2854</v>
      </c>
      <c r="C1232" s="78" t="s">
        <v>2858</v>
      </c>
      <c r="D1232" s="78"/>
    </row>
    <row r="1233" spans="1:4" ht="30">
      <c r="A1233" s="78" t="s">
        <v>2705</v>
      </c>
      <c r="B1233" s="78" t="s">
        <v>2854</v>
      </c>
      <c r="C1233" s="78" t="s">
        <v>2859</v>
      </c>
      <c r="D1233" s="78"/>
    </row>
    <row r="1234" spans="1:4" ht="30">
      <c r="A1234" s="78" t="s">
        <v>2705</v>
      </c>
      <c r="B1234" s="78" t="s">
        <v>2854</v>
      </c>
      <c r="C1234" s="78" t="s">
        <v>2860</v>
      </c>
      <c r="D1234" s="78"/>
    </row>
    <row r="1235" spans="1:4" ht="60">
      <c r="A1235" s="78" t="s">
        <v>2705</v>
      </c>
      <c r="B1235" s="78" t="s">
        <v>2854</v>
      </c>
      <c r="C1235" s="78" t="s">
        <v>2861</v>
      </c>
      <c r="D1235" s="78"/>
    </row>
    <row r="1236" spans="1:4" ht="45">
      <c r="A1236" s="78" t="s">
        <v>2705</v>
      </c>
      <c r="B1236" s="78" t="s">
        <v>2854</v>
      </c>
      <c r="C1236" s="78" t="s">
        <v>2862</v>
      </c>
      <c r="D1236" s="78"/>
    </row>
    <row r="1237" spans="1:4" ht="30">
      <c r="A1237" s="78" t="s">
        <v>2705</v>
      </c>
      <c r="B1237" s="78" t="s">
        <v>2863</v>
      </c>
      <c r="C1237" s="78" t="s">
        <v>2864</v>
      </c>
      <c r="D1237" s="78"/>
    </row>
    <row r="1238" spans="1:4" ht="30">
      <c r="A1238" s="78" t="s">
        <v>2705</v>
      </c>
      <c r="B1238" s="78" t="s">
        <v>2865</v>
      </c>
      <c r="C1238" s="78" t="s">
        <v>2818</v>
      </c>
      <c r="D1238" s="79">
        <v>42000</v>
      </c>
    </row>
    <row r="1239" spans="1:4" ht="30">
      <c r="A1239" s="78" t="s">
        <v>2705</v>
      </c>
      <c r="B1239" s="78" t="s">
        <v>2865</v>
      </c>
      <c r="C1239" s="78" t="s">
        <v>2747</v>
      </c>
      <c r="D1239" s="79">
        <v>42000</v>
      </c>
    </row>
    <row r="1240" spans="1:4" ht="30">
      <c r="A1240" s="78" t="s">
        <v>2705</v>
      </c>
      <c r="B1240" s="78" t="s">
        <v>2866</v>
      </c>
      <c r="C1240" s="78" t="s">
        <v>2808</v>
      </c>
      <c r="D1240" s="79">
        <v>38400</v>
      </c>
    </row>
    <row r="1241" spans="1:4">
      <c r="A1241" s="78" t="s">
        <v>2705</v>
      </c>
      <c r="B1241" s="78" t="s">
        <v>2867</v>
      </c>
      <c r="C1241" s="78" t="s">
        <v>2808</v>
      </c>
      <c r="D1241" s="79">
        <v>60000</v>
      </c>
    </row>
    <row r="1242" spans="1:4" ht="30">
      <c r="A1242" s="78" t="s">
        <v>2705</v>
      </c>
      <c r="B1242" s="78" t="s">
        <v>2868</v>
      </c>
      <c r="C1242" s="78" t="s">
        <v>2747</v>
      </c>
      <c r="D1242" s="79">
        <v>19200</v>
      </c>
    </row>
    <row r="1243" spans="1:4" ht="45">
      <c r="A1243" s="78" t="s">
        <v>2705</v>
      </c>
      <c r="B1243" s="78" t="s">
        <v>2869</v>
      </c>
      <c r="C1243" s="78" t="s">
        <v>2870</v>
      </c>
      <c r="D1243" s="78"/>
    </row>
    <row r="1244" spans="1:4" ht="30">
      <c r="A1244" s="78" t="s">
        <v>2705</v>
      </c>
      <c r="B1244" s="78" t="s">
        <v>2871</v>
      </c>
      <c r="C1244" s="78" t="s">
        <v>2803</v>
      </c>
      <c r="D1244" s="79">
        <v>25000</v>
      </c>
    </row>
    <row r="1245" spans="1:4" ht="30">
      <c r="A1245" s="78" t="s">
        <v>2705</v>
      </c>
      <c r="B1245" s="78" t="s">
        <v>2872</v>
      </c>
      <c r="C1245" s="78" t="s">
        <v>2813</v>
      </c>
      <c r="D1245" s="78"/>
    </row>
    <row r="1246" spans="1:4" ht="45">
      <c r="A1246" s="78" t="s">
        <v>2705</v>
      </c>
      <c r="B1246" s="78" t="s">
        <v>2873</v>
      </c>
      <c r="C1246" s="78" t="s">
        <v>2874</v>
      </c>
      <c r="D1246" s="79">
        <v>24000</v>
      </c>
    </row>
    <row r="1247" spans="1:4" ht="30">
      <c r="A1247" s="78" t="s">
        <v>2705</v>
      </c>
      <c r="B1247" s="78" t="s">
        <v>2875</v>
      </c>
      <c r="C1247" s="78" t="s">
        <v>2876</v>
      </c>
      <c r="D1247" s="79">
        <v>48000</v>
      </c>
    </row>
    <row r="1248" spans="1:4" ht="45">
      <c r="A1248" s="78" t="s">
        <v>2705</v>
      </c>
      <c r="B1248" s="78" t="s">
        <v>2875</v>
      </c>
      <c r="C1248" s="78" t="s">
        <v>2877</v>
      </c>
      <c r="D1248" s="78"/>
    </row>
    <row r="1249" spans="1:4" ht="30">
      <c r="A1249" s="78" t="s">
        <v>2705</v>
      </c>
      <c r="B1249" s="78" t="s">
        <v>2878</v>
      </c>
      <c r="C1249" s="78" t="s">
        <v>2879</v>
      </c>
      <c r="D1249" s="78"/>
    </row>
    <row r="1250" spans="1:4" ht="30">
      <c r="A1250" s="78" t="s">
        <v>2705</v>
      </c>
      <c r="B1250" s="78" t="s">
        <v>2880</v>
      </c>
      <c r="C1250" s="78" t="s">
        <v>2881</v>
      </c>
      <c r="D1250" s="78"/>
    </row>
    <row r="1251" spans="1:4" ht="30">
      <c r="A1251" s="78" t="s">
        <v>2705</v>
      </c>
      <c r="B1251" s="78" t="s">
        <v>2882</v>
      </c>
      <c r="C1251" s="78" t="s">
        <v>2883</v>
      </c>
      <c r="D1251" s="78"/>
    </row>
    <row r="1252" spans="1:4" ht="30">
      <c r="A1252" s="78" t="s">
        <v>2705</v>
      </c>
      <c r="B1252" s="78" t="s">
        <v>2882</v>
      </c>
      <c r="C1252" s="78" t="s">
        <v>2756</v>
      </c>
      <c r="D1252" s="79">
        <v>57600</v>
      </c>
    </row>
    <row r="1253" spans="1:4" ht="30">
      <c r="A1253" s="78" t="s">
        <v>2705</v>
      </c>
      <c r="B1253" s="78" t="s">
        <v>2884</v>
      </c>
      <c r="C1253" s="78" t="s">
        <v>2846</v>
      </c>
      <c r="D1253" s="78"/>
    </row>
    <row r="1254" spans="1:4" ht="45">
      <c r="A1254" s="78" t="s">
        <v>2705</v>
      </c>
      <c r="B1254" s="78" t="s">
        <v>2885</v>
      </c>
      <c r="C1254" s="78" t="s">
        <v>2775</v>
      </c>
      <c r="D1254" s="79">
        <v>56400</v>
      </c>
    </row>
    <row r="1255" spans="1:4" ht="45">
      <c r="A1255" s="78" t="s">
        <v>2705</v>
      </c>
      <c r="B1255" s="78" t="s">
        <v>2886</v>
      </c>
      <c r="C1255" s="78" t="s">
        <v>2775</v>
      </c>
      <c r="D1255" s="79">
        <v>51600</v>
      </c>
    </row>
    <row r="1256" spans="1:4" ht="45">
      <c r="A1256" s="78" t="s">
        <v>2705</v>
      </c>
      <c r="B1256" s="78" t="s">
        <v>2887</v>
      </c>
      <c r="C1256" s="78" t="s">
        <v>2888</v>
      </c>
      <c r="D1256" s="78"/>
    </row>
    <row r="1257" spans="1:4" ht="30">
      <c r="A1257" s="78" t="s">
        <v>2705</v>
      </c>
      <c r="B1257" s="78" t="s">
        <v>2889</v>
      </c>
      <c r="C1257" s="78" t="s">
        <v>2890</v>
      </c>
      <c r="D1257" s="79">
        <v>128500</v>
      </c>
    </row>
    <row r="1258" spans="1:4" ht="30">
      <c r="A1258" s="78" t="s">
        <v>2705</v>
      </c>
      <c r="B1258" s="78" t="s">
        <v>2889</v>
      </c>
      <c r="C1258" s="78" t="s">
        <v>2891</v>
      </c>
      <c r="D1258" s="79">
        <v>50000</v>
      </c>
    </row>
    <row r="1259" spans="1:4" ht="30">
      <c r="A1259" s="78" t="s">
        <v>2705</v>
      </c>
      <c r="B1259" s="78" t="s">
        <v>2892</v>
      </c>
      <c r="C1259" s="78" t="s">
        <v>2893</v>
      </c>
      <c r="D1259" s="79">
        <v>48000</v>
      </c>
    </row>
    <row r="1260" spans="1:4" ht="30">
      <c r="A1260" s="78" t="s">
        <v>2705</v>
      </c>
      <c r="B1260" s="78" t="s">
        <v>2894</v>
      </c>
      <c r="C1260" s="78" t="s">
        <v>2895</v>
      </c>
      <c r="D1260" s="78"/>
    </row>
    <row r="1261" spans="1:4" ht="45">
      <c r="A1261" s="78" t="s">
        <v>2705</v>
      </c>
      <c r="B1261" s="78" t="s">
        <v>2896</v>
      </c>
      <c r="C1261" s="78" t="s">
        <v>2897</v>
      </c>
      <c r="D1261" s="78"/>
    </row>
    <row r="1262" spans="1:4" ht="45">
      <c r="A1262" s="78" t="s">
        <v>2705</v>
      </c>
      <c r="B1262" s="78" t="s">
        <v>2896</v>
      </c>
      <c r="C1262" s="78" t="s">
        <v>2827</v>
      </c>
      <c r="D1262" s="79">
        <v>40000</v>
      </c>
    </row>
    <row r="1263" spans="1:4" ht="45">
      <c r="A1263" s="78" t="s">
        <v>2705</v>
      </c>
      <c r="B1263" s="78" t="s">
        <v>2898</v>
      </c>
      <c r="C1263" s="78" t="s">
        <v>2899</v>
      </c>
      <c r="D1263" s="78"/>
    </row>
    <row r="1264" spans="1:4" ht="30">
      <c r="A1264" s="78" t="s">
        <v>2705</v>
      </c>
      <c r="B1264" s="78" t="s">
        <v>2900</v>
      </c>
      <c r="C1264" s="78" t="s">
        <v>2901</v>
      </c>
      <c r="D1264" s="78"/>
    </row>
    <row r="1265" spans="1:4" ht="45">
      <c r="A1265" s="78" t="s">
        <v>2705</v>
      </c>
      <c r="B1265" s="78" t="s">
        <v>2900</v>
      </c>
      <c r="C1265" s="78" t="s">
        <v>2902</v>
      </c>
      <c r="D1265" s="78"/>
    </row>
    <row r="1266" spans="1:4" ht="30">
      <c r="A1266" s="78" t="s">
        <v>2705</v>
      </c>
      <c r="B1266" s="78" t="s">
        <v>2903</v>
      </c>
      <c r="C1266" s="78" t="s">
        <v>2718</v>
      </c>
      <c r="D1266" s="79">
        <v>20000</v>
      </c>
    </row>
    <row r="1267" spans="1:4">
      <c r="A1267" s="78" t="s">
        <v>2705</v>
      </c>
      <c r="B1267" s="78" t="s">
        <v>2904</v>
      </c>
      <c r="C1267" s="78" t="s">
        <v>2739</v>
      </c>
      <c r="D1267" s="79">
        <v>40000</v>
      </c>
    </row>
    <row r="1268" spans="1:4" ht="45">
      <c r="A1268" s="78" t="s">
        <v>2705</v>
      </c>
      <c r="B1268" s="78" t="s">
        <v>2904</v>
      </c>
      <c r="C1268" s="78" t="s">
        <v>2905</v>
      </c>
      <c r="D1268" s="78"/>
    </row>
    <row r="1269" spans="1:4" ht="30">
      <c r="A1269" s="78" t="s">
        <v>2705</v>
      </c>
      <c r="B1269" s="78" t="s">
        <v>2904</v>
      </c>
      <c r="C1269" s="78" t="s">
        <v>2789</v>
      </c>
      <c r="D1269" s="79">
        <v>7200</v>
      </c>
    </row>
    <row r="1270" spans="1:4" ht="30">
      <c r="A1270" s="78" t="s">
        <v>2705</v>
      </c>
      <c r="B1270" s="78" t="s">
        <v>2904</v>
      </c>
      <c r="C1270" s="78" t="s">
        <v>2906</v>
      </c>
      <c r="D1270" s="78"/>
    </row>
    <row r="1271" spans="1:4" ht="30">
      <c r="A1271" s="78" t="s">
        <v>2705</v>
      </c>
      <c r="B1271" s="78" t="s">
        <v>2904</v>
      </c>
      <c r="C1271" s="78" t="s">
        <v>2907</v>
      </c>
      <c r="D1271" s="78"/>
    </row>
    <row r="1272" spans="1:4" ht="30">
      <c r="A1272" s="78" t="s">
        <v>2705</v>
      </c>
      <c r="B1272" s="78" t="s">
        <v>2904</v>
      </c>
      <c r="C1272" s="78" t="s">
        <v>2908</v>
      </c>
      <c r="D1272" s="78"/>
    </row>
    <row r="1273" spans="1:4" ht="30">
      <c r="A1273" s="78" t="s">
        <v>2705</v>
      </c>
      <c r="B1273" s="78" t="s">
        <v>2904</v>
      </c>
      <c r="C1273" s="78" t="s">
        <v>2891</v>
      </c>
      <c r="D1273" s="78"/>
    </row>
    <row r="1274" spans="1:4" ht="45">
      <c r="A1274" s="78" t="s">
        <v>2705</v>
      </c>
      <c r="B1274" s="78" t="s">
        <v>2909</v>
      </c>
      <c r="C1274" s="78" t="s">
        <v>2857</v>
      </c>
      <c r="D1274" s="78"/>
    </row>
    <row r="1275" spans="1:4" ht="30">
      <c r="A1275" s="78" t="s">
        <v>2705</v>
      </c>
      <c r="B1275" s="78" t="s">
        <v>2910</v>
      </c>
      <c r="C1275" s="78" t="s">
        <v>2911</v>
      </c>
      <c r="D1275" s="78"/>
    </row>
    <row r="1276" spans="1:4" ht="30">
      <c r="A1276" s="78" t="s">
        <v>2705</v>
      </c>
      <c r="B1276" s="78" t="s">
        <v>2912</v>
      </c>
      <c r="C1276" s="78" t="s">
        <v>2913</v>
      </c>
      <c r="D1276" s="79">
        <v>3600</v>
      </c>
    </row>
    <row r="1277" spans="1:4" ht="30">
      <c r="A1277" s="78" t="s">
        <v>2705</v>
      </c>
      <c r="B1277" s="78" t="s">
        <v>2914</v>
      </c>
      <c r="C1277" s="78" t="s">
        <v>2879</v>
      </c>
      <c r="D1277" s="79">
        <v>42000</v>
      </c>
    </row>
    <row r="1278" spans="1:4" ht="30">
      <c r="A1278" s="78" t="s">
        <v>2705</v>
      </c>
      <c r="B1278" s="78" t="s">
        <v>2915</v>
      </c>
      <c r="C1278" s="78" t="s">
        <v>2916</v>
      </c>
      <c r="D1278" s="78"/>
    </row>
    <row r="1279" spans="1:4" ht="30">
      <c r="A1279" s="78" t="s">
        <v>2705</v>
      </c>
      <c r="B1279" s="78" t="s">
        <v>2917</v>
      </c>
      <c r="C1279" s="78" t="s">
        <v>2803</v>
      </c>
      <c r="D1279" s="79">
        <v>38000</v>
      </c>
    </row>
    <row r="1280" spans="1:4" ht="30">
      <c r="A1280" s="78" t="s">
        <v>2705</v>
      </c>
      <c r="B1280" s="78" t="s">
        <v>2918</v>
      </c>
      <c r="C1280" s="78" t="s">
        <v>2919</v>
      </c>
      <c r="D1280" s="78"/>
    </row>
    <row r="1281" spans="1:4" ht="45">
      <c r="A1281" s="78" t="s">
        <v>2705</v>
      </c>
      <c r="B1281" s="78" t="s">
        <v>2920</v>
      </c>
      <c r="C1281" s="78" t="s">
        <v>2921</v>
      </c>
      <c r="D1281" s="78"/>
    </row>
    <row r="1282" spans="1:4" ht="45">
      <c r="A1282" s="78" t="s">
        <v>2705</v>
      </c>
      <c r="B1282" s="78" t="s">
        <v>2920</v>
      </c>
      <c r="C1282" s="78" t="s">
        <v>2922</v>
      </c>
      <c r="D1282" s="78"/>
    </row>
    <row r="1283" spans="1:4" ht="30">
      <c r="A1283" s="78" t="s">
        <v>2705</v>
      </c>
      <c r="B1283" s="78" t="s">
        <v>2920</v>
      </c>
      <c r="C1283" s="78" t="s">
        <v>2923</v>
      </c>
      <c r="D1283" s="78"/>
    </row>
    <row r="1284" spans="1:4" ht="30">
      <c r="A1284" s="78" t="s">
        <v>2705</v>
      </c>
      <c r="B1284" s="78" t="s">
        <v>2924</v>
      </c>
      <c r="C1284" s="78" t="s">
        <v>2803</v>
      </c>
      <c r="D1284" s="79">
        <v>50000</v>
      </c>
    </row>
    <row r="1285" spans="1:4" ht="45">
      <c r="A1285" s="78" t="s">
        <v>2705</v>
      </c>
      <c r="B1285" s="78" t="s">
        <v>2925</v>
      </c>
      <c r="C1285" s="78" t="s">
        <v>2775</v>
      </c>
      <c r="D1285" s="79">
        <v>56400</v>
      </c>
    </row>
    <row r="1286" spans="1:4" ht="30">
      <c r="A1286" s="78" t="s">
        <v>2926</v>
      </c>
      <c r="B1286" s="78" t="s">
        <v>2927</v>
      </c>
      <c r="C1286" s="78" t="s">
        <v>2928</v>
      </c>
      <c r="D1286" s="78"/>
    </row>
    <row r="1287" spans="1:4" ht="45">
      <c r="A1287" s="78" t="s">
        <v>2926</v>
      </c>
      <c r="B1287" s="78" t="s">
        <v>2927</v>
      </c>
      <c r="C1287" s="78" t="s">
        <v>2929</v>
      </c>
      <c r="D1287" s="79">
        <v>16000</v>
      </c>
    </row>
    <row r="1288" spans="1:4" ht="45">
      <c r="A1288" s="78" t="s">
        <v>2926</v>
      </c>
      <c r="B1288" s="78" t="s">
        <v>2927</v>
      </c>
      <c r="C1288" s="78" t="s">
        <v>2930</v>
      </c>
      <c r="D1288" s="78"/>
    </row>
    <row r="1289" spans="1:4" ht="45">
      <c r="A1289" s="78" t="s">
        <v>2926</v>
      </c>
      <c r="B1289" s="78" t="s">
        <v>2927</v>
      </c>
      <c r="C1289" s="78" t="s">
        <v>2931</v>
      </c>
      <c r="D1289" s="78"/>
    </row>
    <row r="1290" spans="1:4" ht="30">
      <c r="A1290" s="78" t="s">
        <v>2926</v>
      </c>
      <c r="B1290" s="78" t="s">
        <v>2927</v>
      </c>
      <c r="C1290" s="78" t="s">
        <v>2932</v>
      </c>
      <c r="D1290" s="79">
        <v>7000</v>
      </c>
    </row>
    <row r="1291" spans="1:4" ht="30">
      <c r="A1291" s="78" t="s">
        <v>2933</v>
      </c>
      <c r="B1291" s="78" t="s">
        <v>2934</v>
      </c>
      <c r="C1291" s="78" t="s">
        <v>2935</v>
      </c>
      <c r="D1291" s="79">
        <v>1200</v>
      </c>
    </row>
    <row r="1292" spans="1:4" ht="45">
      <c r="A1292" s="78" t="s">
        <v>2933</v>
      </c>
      <c r="B1292" s="78" t="s">
        <v>2934</v>
      </c>
      <c r="C1292" s="78" t="s">
        <v>2936</v>
      </c>
      <c r="D1292" s="79">
        <v>1000</v>
      </c>
    </row>
    <row r="1293" spans="1:4" ht="30">
      <c r="A1293" s="78" t="s">
        <v>2933</v>
      </c>
      <c r="B1293" s="78" t="s">
        <v>2937</v>
      </c>
      <c r="C1293" s="78" t="s">
        <v>2938</v>
      </c>
      <c r="D1293" s="78"/>
    </row>
    <row r="1294" spans="1:4" ht="45">
      <c r="A1294" s="78" t="s">
        <v>2933</v>
      </c>
      <c r="B1294" s="78" t="s">
        <v>2937</v>
      </c>
      <c r="C1294" s="78" t="s">
        <v>2939</v>
      </c>
      <c r="D1294" s="79">
        <v>1000</v>
      </c>
    </row>
    <row r="1295" spans="1:4" ht="45">
      <c r="A1295" s="78" t="s">
        <v>2933</v>
      </c>
      <c r="B1295" s="78" t="s">
        <v>2940</v>
      </c>
      <c r="C1295" s="78" t="s">
        <v>2941</v>
      </c>
      <c r="D1295" s="78">
        <v>800</v>
      </c>
    </row>
    <row r="1296" spans="1:4" ht="45">
      <c r="A1296" s="78" t="s">
        <v>2933</v>
      </c>
      <c r="B1296" s="78" t="s">
        <v>2940</v>
      </c>
      <c r="C1296" s="78" t="s">
        <v>2942</v>
      </c>
      <c r="D1296" s="79">
        <v>4000</v>
      </c>
    </row>
    <row r="1297" spans="1:6" ht="45">
      <c r="A1297" s="78" t="s">
        <v>2933</v>
      </c>
      <c r="B1297" s="78" t="s">
        <v>2940</v>
      </c>
      <c r="C1297" s="78" t="s">
        <v>2943</v>
      </c>
      <c r="D1297" s="78"/>
    </row>
    <row r="1298" spans="1:6" ht="30">
      <c r="A1298" s="78" t="s">
        <v>2933</v>
      </c>
      <c r="B1298" s="78" t="s">
        <v>2940</v>
      </c>
      <c r="C1298" s="78" t="s">
        <v>2944</v>
      </c>
      <c r="D1298" s="78"/>
    </row>
    <row r="1299" spans="1:6" ht="45">
      <c r="A1299" s="78" t="s">
        <v>2933</v>
      </c>
      <c r="B1299" s="78" t="s">
        <v>2945</v>
      </c>
      <c r="C1299" s="78" t="s">
        <v>2946</v>
      </c>
      <c r="D1299" s="78"/>
    </row>
    <row r="1300" spans="1:6" ht="30">
      <c r="A1300" s="78" t="s">
        <v>2947</v>
      </c>
      <c r="B1300" s="78" t="s">
        <v>2948</v>
      </c>
      <c r="C1300" s="78" t="s">
        <v>2949</v>
      </c>
      <c r="D1300" s="79">
        <v>4500</v>
      </c>
    </row>
    <row r="1301" spans="1:6" ht="45">
      <c r="A1301" s="78" t="s">
        <v>2947</v>
      </c>
      <c r="B1301" s="78" t="s">
        <v>2950</v>
      </c>
      <c r="C1301" s="78" t="s">
        <v>2951</v>
      </c>
      <c r="D1301" s="79">
        <v>2000</v>
      </c>
    </row>
    <row r="1302" spans="1:6" ht="30">
      <c r="A1302" s="78" t="s">
        <v>2952</v>
      </c>
      <c r="B1302" s="78" t="s">
        <v>2953</v>
      </c>
      <c r="C1302" s="78" t="s">
        <v>2954</v>
      </c>
      <c r="D1302" s="78"/>
    </row>
    <row r="1303" spans="1:6">
      <c r="A1303" s="78" t="s">
        <v>14</v>
      </c>
      <c r="B1303" s="78" t="s">
        <v>2955</v>
      </c>
      <c r="C1303" s="78" t="s">
        <v>2956</v>
      </c>
      <c r="D1303" s="79">
        <v>12000</v>
      </c>
      <c r="F1303" s="80">
        <f>D1303/28000</f>
        <v>0.42857142857142855</v>
      </c>
    </row>
    <row r="1304" spans="1:6">
      <c r="A1304" s="78" t="s">
        <v>14</v>
      </c>
      <c r="B1304" s="78" t="s">
        <v>2955</v>
      </c>
      <c r="C1304" s="78" t="s">
        <v>2957</v>
      </c>
      <c r="D1304" s="79">
        <v>16000</v>
      </c>
      <c r="F1304" s="80">
        <f>D1304/28000</f>
        <v>0.5714285714285714</v>
      </c>
    </row>
    <row r="1305" spans="1:6">
      <c r="A1305" s="78" t="s">
        <v>2958</v>
      </c>
      <c r="B1305" s="78" t="s">
        <v>2959</v>
      </c>
      <c r="C1305" s="78" t="s">
        <v>2960</v>
      </c>
      <c r="D1305" s="78"/>
    </row>
    <row r="1306" spans="1:6" ht="30">
      <c r="A1306" s="78" t="s">
        <v>2961</v>
      </c>
      <c r="B1306" s="78" t="s">
        <v>2962</v>
      </c>
      <c r="C1306" s="78" t="s">
        <v>2963</v>
      </c>
      <c r="D1306" s="79">
        <v>4000</v>
      </c>
      <c r="E1306" s="78" t="s">
        <v>493</v>
      </c>
    </row>
    <row r="1307" spans="1:6" ht="30">
      <c r="A1307" s="78" t="s">
        <v>15</v>
      </c>
      <c r="B1307" s="78" t="s">
        <v>2964</v>
      </c>
      <c r="C1307" s="78" t="s">
        <v>1068</v>
      </c>
      <c r="D1307" s="79">
        <v>100000</v>
      </c>
      <c r="F1307" s="80">
        <f>D1307/138000</f>
        <v>0.72463768115942029</v>
      </c>
    </row>
    <row r="1308" spans="1:6" ht="30">
      <c r="A1308" s="78" t="s">
        <v>15</v>
      </c>
      <c r="B1308" s="78" t="s">
        <v>2965</v>
      </c>
      <c r="C1308" s="78" t="s">
        <v>2966</v>
      </c>
      <c r="D1308" s="79">
        <v>38000</v>
      </c>
      <c r="F1308" s="80">
        <f>D1308/138000</f>
        <v>0.27536231884057971</v>
      </c>
    </row>
    <row r="1309" spans="1:6" ht="30">
      <c r="A1309" s="78" t="s">
        <v>15</v>
      </c>
      <c r="B1309" s="78" t="s">
        <v>2967</v>
      </c>
      <c r="C1309" s="78" t="s">
        <v>2968</v>
      </c>
      <c r="D1309" s="78"/>
    </row>
    <row r="1310" spans="1:6" ht="30">
      <c r="A1310" s="78" t="s">
        <v>2969</v>
      </c>
      <c r="B1310" s="78" t="s">
        <v>2970</v>
      </c>
      <c r="C1310" s="78" t="s">
        <v>2971</v>
      </c>
      <c r="D1310" s="79">
        <v>10800</v>
      </c>
    </row>
    <row r="1311" spans="1:6" ht="45">
      <c r="A1311" s="78" t="s">
        <v>2969</v>
      </c>
      <c r="B1311" s="78" t="s">
        <v>2972</v>
      </c>
      <c r="C1311" s="78" t="s">
        <v>2973</v>
      </c>
      <c r="D1311" s="79">
        <v>50000</v>
      </c>
    </row>
    <row r="1312" spans="1:6" ht="75">
      <c r="A1312" s="78" t="s">
        <v>2969</v>
      </c>
      <c r="B1312" s="78" t="s">
        <v>2974</v>
      </c>
      <c r="C1312" s="78" t="s">
        <v>2975</v>
      </c>
      <c r="D1312" s="79">
        <v>42000</v>
      </c>
    </row>
    <row r="1313" spans="1:4" ht="60">
      <c r="A1313" s="78" t="s">
        <v>2969</v>
      </c>
      <c r="B1313" s="78" t="s">
        <v>2976</v>
      </c>
      <c r="C1313" s="78" t="s">
        <v>2977</v>
      </c>
      <c r="D1313" s="78">
        <v>800</v>
      </c>
    </row>
    <row r="1314" spans="1:4" ht="45">
      <c r="A1314" s="78" t="s">
        <v>2969</v>
      </c>
      <c r="B1314" s="78" t="s">
        <v>2978</v>
      </c>
      <c r="C1314" s="78" t="s">
        <v>2979</v>
      </c>
      <c r="D1314" s="78"/>
    </row>
    <row r="1315" spans="1:4" ht="45">
      <c r="A1315" s="78" t="s">
        <v>2969</v>
      </c>
      <c r="B1315" s="78" t="s">
        <v>2978</v>
      </c>
      <c r="C1315" s="78" t="s">
        <v>2980</v>
      </c>
      <c r="D1315" s="79">
        <v>9600</v>
      </c>
    </row>
    <row r="1316" spans="1:4" ht="45">
      <c r="A1316" s="78" t="s">
        <v>2969</v>
      </c>
      <c r="B1316" s="78" t="s">
        <v>2981</v>
      </c>
      <c r="C1316" s="78" t="s">
        <v>2982</v>
      </c>
      <c r="D1316" s="78"/>
    </row>
    <row r="1317" spans="1:4" ht="30">
      <c r="A1317" s="78" t="s">
        <v>2969</v>
      </c>
      <c r="B1317" s="78" t="s">
        <v>2981</v>
      </c>
      <c r="C1317" s="78" t="s">
        <v>2983</v>
      </c>
      <c r="D1317" s="79">
        <v>16000</v>
      </c>
    </row>
    <row r="1318" spans="1:4" ht="45">
      <c r="A1318" s="78" t="s">
        <v>2969</v>
      </c>
      <c r="B1318" s="78" t="s">
        <v>2981</v>
      </c>
      <c r="C1318" s="78" t="s">
        <v>1638</v>
      </c>
      <c r="D1318" s="79">
        <v>72000</v>
      </c>
    </row>
    <row r="1319" spans="1:4" ht="45">
      <c r="A1319" s="78" t="s">
        <v>2969</v>
      </c>
      <c r="B1319" s="78" t="s">
        <v>2984</v>
      </c>
      <c r="C1319" s="78" t="s">
        <v>2985</v>
      </c>
      <c r="D1319" s="78"/>
    </row>
    <row r="1320" spans="1:4" ht="45">
      <c r="A1320" s="78" t="s">
        <v>2969</v>
      </c>
      <c r="B1320" s="78" t="s">
        <v>2986</v>
      </c>
      <c r="C1320" s="78" t="s">
        <v>2987</v>
      </c>
      <c r="D1320" s="79">
        <v>12000</v>
      </c>
    </row>
    <row r="1321" spans="1:4" ht="30">
      <c r="A1321" s="78" t="s">
        <v>2969</v>
      </c>
      <c r="B1321" s="78" t="s">
        <v>2986</v>
      </c>
      <c r="C1321" s="78" t="s">
        <v>2988</v>
      </c>
      <c r="D1321" s="79">
        <v>12000</v>
      </c>
    </row>
    <row r="1322" spans="1:4" ht="30">
      <c r="A1322" s="78" t="s">
        <v>2969</v>
      </c>
      <c r="B1322" s="78" t="s">
        <v>2986</v>
      </c>
      <c r="C1322" s="78" t="s">
        <v>2989</v>
      </c>
      <c r="D1322" s="78"/>
    </row>
    <row r="1323" spans="1:4" ht="30">
      <c r="A1323" s="78" t="s">
        <v>2969</v>
      </c>
      <c r="B1323" s="78" t="s">
        <v>2986</v>
      </c>
      <c r="C1323" s="78" t="s">
        <v>2990</v>
      </c>
      <c r="D1323" s="79">
        <v>5000</v>
      </c>
    </row>
    <row r="1324" spans="1:4" ht="30">
      <c r="A1324" s="78" t="s">
        <v>2969</v>
      </c>
      <c r="B1324" s="78" t="s">
        <v>2991</v>
      </c>
      <c r="C1324" s="78" t="s">
        <v>2992</v>
      </c>
      <c r="D1324" s="78"/>
    </row>
    <row r="1325" spans="1:4" ht="30">
      <c r="A1325" s="78" t="s">
        <v>2969</v>
      </c>
      <c r="B1325" s="78" t="s">
        <v>2991</v>
      </c>
      <c r="C1325" s="78" t="s">
        <v>2993</v>
      </c>
      <c r="D1325" s="78"/>
    </row>
    <row r="1326" spans="1:4" ht="60">
      <c r="A1326" s="78" t="s">
        <v>2969</v>
      </c>
      <c r="B1326" s="78" t="s">
        <v>2991</v>
      </c>
      <c r="C1326" s="78" t="s">
        <v>2994</v>
      </c>
      <c r="D1326" s="78"/>
    </row>
    <row r="1327" spans="1:4" ht="30">
      <c r="A1327" s="78" t="s">
        <v>2969</v>
      </c>
      <c r="B1327" s="78" t="s">
        <v>2991</v>
      </c>
      <c r="C1327" s="78" t="s">
        <v>2995</v>
      </c>
      <c r="D1327" s="79">
        <v>5000</v>
      </c>
    </row>
    <row r="1328" spans="1:4" ht="45">
      <c r="A1328" s="78" t="s">
        <v>2969</v>
      </c>
      <c r="B1328" s="78" t="s">
        <v>2991</v>
      </c>
      <c r="C1328" s="78" t="s">
        <v>2996</v>
      </c>
      <c r="D1328" s="79">
        <v>3000</v>
      </c>
    </row>
    <row r="1329" spans="1:4" ht="45">
      <c r="A1329" s="78" t="s">
        <v>2969</v>
      </c>
      <c r="B1329" s="78" t="s">
        <v>2991</v>
      </c>
      <c r="C1329" s="78" t="s">
        <v>2997</v>
      </c>
      <c r="D1329" s="79">
        <v>3000</v>
      </c>
    </row>
    <row r="1330" spans="1:4" ht="30">
      <c r="A1330" s="78" t="s">
        <v>2969</v>
      </c>
      <c r="B1330" s="78" t="s">
        <v>2991</v>
      </c>
      <c r="C1330" s="78" t="s">
        <v>2998</v>
      </c>
      <c r="D1330" s="79">
        <v>1200</v>
      </c>
    </row>
    <row r="1331" spans="1:4" ht="30">
      <c r="A1331" s="78" t="s">
        <v>2969</v>
      </c>
      <c r="B1331" s="78" t="s">
        <v>2999</v>
      </c>
      <c r="C1331" s="78" t="s">
        <v>3000</v>
      </c>
      <c r="D1331" s="78"/>
    </row>
    <row r="1332" spans="1:4" ht="30">
      <c r="A1332" s="78" t="s">
        <v>2969</v>
      </c>
      <c r="B1332" s="78" t="s">
        <v>3001</v>
      </c>
      <c r="C1332" s="78" t="s">
        <v>3002</v>
      </c>
      <c r="D1332" s="79">
        <v>20000</v>
      </c>
    </row>
    <row r="1333" spans="1:4" ht="30">
      <c r="A1333" s="78" t="s">
        <v>2969</v>
      </c>
      <c r="B1333" s="78" t="s">
        <v>3001</v>
      </c>
      <c r="C1333" s="78" t="s">
        <v>3003</v>
      </c>
      <c r="D1333" s="79">
        <v>1000</v>
      </c>
    </row>
    <row r="1334" spans="1:4" ht="45">
      <c r="A1334" s="78" t="s">
        <v>2969</v>
      </c>
      <c r="B1334" s="78" t="s">
        <v>3001</v>
      </c>
      <c r="C1334" s="78" t="s">
        <v>3004</v>
      </c>
      <c r="D1334" s="79">
        <v>8000</v>
      </c>
    </row>
    <row r="1335" spans="1:4" ht="30">
      <c r="A1335" s="78" t="s">
        <v>2969</v>
      </c>
      <c r="B1335" s="78" t="s">
        <v>3001</v>
      </c>
      <c r="C1335" s="78" t="s">
        <v>3005</v>
      </c>
      <c r="D1335" s="79">
        <v>1800</v>
      </c>
    </row>
    <row r="1336" spans="1:4" ht="30">
      <c r="A1336" s="78" t="s">
        <v>2969</v>
      </c>
      <c r="B1336" s="78" t="s">
        <v>3001</v>
      </c>
      <c r="C1336" s="78" t="s">
        <v>3006</v>
      </c>
      <c r="D1336" s="79">
        <v>3500</v>
      </c>
    </row>
    <row r="1337" spans="1:4" ht="45">
      <c r="A1337" s="78" t="s">
        <v>2969</v>
      </c>
      <c r="B1337" s="78" t="s">
        <v>3001</v>
      </c>
      <c r="C1337" s="78" t="s">
        <v>1638</v>
      </c>
      <c r="D1337" s="79">
        <v>60000</v>
      </c>
    </row>
    <row r="1338" spans="1:4" ht="45">
      <c r="A1338" s="78" t="s">
        <v>2969</v>
      </c>
      <c r="B1338" s="78" t="s">
        <v>3007</v>
      </c>
      <c r="C1338" s="78" t="s">
        <v>3008</v>
      </c>
      <c r="D1338" s="78"/>
    </row>
    <row r="1339" spans="1:4" ht="60">
      <c r="A1339" s="78" t="s">
        <v>2969</v>
      </c>
      <c r="B1339" s="78" t="s">
        <v>3007</v>
      </c>
      <c r="C1339" s="78" t="s">
        <v>3009</v>
      </c>
      <c r="D1339" s="78"/>
    </row>
    <row r="1340" spans="1:4" ht="45">
      <c r="A1340" s="78" t="s">
        <v>2969</v>
      </c>
      <c r="B1340" s="78" t="s">
        <v>3010</v>
      </c>
      <c r="C1340" s="78" t="s">
        <v>3011</v>
      </c>
      <c r="D1340" s="78"/>
    </row>
    <row r="1341" spans="1:4" ht="45">
      <c r="A1341" s="78" t="s">
        <v>2969</v>
      </c>
      <c r="B1341" s="78" t="s">
        <v>3012</v>
      </c>
      <c r="C1341" s="78" t="s">
        <v>2987</v>
      </c>
      <c r="D1341" s="79">
        <v>7000</v>
      </c>
    </row>
    <row r="1342" spans="1:4" ht="30">
      <c r="A1342" s="78" t="s">
        <v>2969</v>
      </c>
      <c r="B1342" s="78" t="s">
        <v>3013</v>
      </c>
      <c r="C1342" s="78" t="s">
        <v>3014</v>
      </c>
      <c r="D1342" s="79">
        <v>4200</v>
      </c>
    </row>
    <row r="1343" spans="1:4" ht="30">
      <c r="A1343" s="78" t="s">
        <v>2969</v>
      </c>
      <c r="B1343" s="78" t="s">
        <v>3015</v>
      </c>
      <c r="C1343" s="78" t="s">
        <v>3016</v>
      </c>
      <c r="D1343" s="79">
        <v>12000</v>
      </c>
    </row>
    <row r="1344" spans="1:4" ht="30">
      <c r="A1344" s="78" t="s">
        <v>2969</v>
      </c>
      <c r="B1344" s="78" t="s">
        <v>3017</v>
      </c>
      <c r="C1344" s="78" t="s">
        <v>3018</v>
      </c>
      <c r="D1344" s="79">
        <v>300000</v>
      </c>
    </row>
    <row r="1345" spans="1:4" ht="45">
      <c r="A1345" s="78" t="s">
        <v>2969</v>
      </c>
      <c r="B1345" s="78" t="s">
        <v>3019</v>
      </c>
      <c r="C1345" s="78" t="s">
        <v>3020</v>
      </c>
      <c r="D1345" s="79">
        <v>16000</v>
      </c>
    </row>
    <row r="1346" spans="1:4" ht="45">
      <c r="A1346" s="78" t="s">
        <v>2969</v>
      </c>
      <c r="B1346" s="78" t="s">
        <v>3019</v>
      </c>
      <c r="C1346" s="78" t="s">
        <v>3021</v>
      </c>
      <c r="D1346" s="78"/>
    </row>
    <row r="1347" spans="1:4" ht="45">
      <c r="A1347" s="78" t="s">
        <v>2969</v>
      </c>
      <c r="B1347" s="78" t="s">
        <v>3019</v>
      </c>
      <c r="C1347" s="78" t="s">
        <v>3022</v>
      </c>
      <c r="D1347" s="78"/>
    </row>
    <row r="1348" spans="1:4" ht="30">
      <c r="A1348" s="78" t="s">
        <v>2969</v>
      </c>
      <c r="B1348" s="78" t="s">
        <v>3019</v>
      </c>
      <c r="C1348" s="78" t="s">
        <v>3023</v>
      </c>
      <c r="D1348" s="78"/>
    </row>
    <row r="1349" spans="1:4" ht="45">
      <c r="A1349" s="78" t="s">
        <v>2969</v>
      </c>
      <c r="B1349" s="78" t="s">
        <v>3019</v>
      </c>
      <c r="C1349" s="78" t="s">
        <v>3024</v>
      </c>
      <c r="D1349" s="78"/>
    </row>
    <row r="1350" spans="1:4" ht="45">
      <c r="A1350" s="78" t="s">
        <v>2969</v>
      </c>
      <c r="B1350" s="78" t="s">
        <v>3025</v>
      </c>
      <c r="C1350" s="78" t="s">
        <v>3026</v>
      </c>
      <c r="D1350" s="79">
        <v>1800</v>
      </c>
    </row>
    <row r="1351" spans="1:4" ht="30">
      <c r="A1351" s="78" t="s">
        <v>2969</v>
      </c>
      <c r="B1351" s="78" t="s">
        <v>3025</v>
      </c>
      <c r="C1351" s="78" t="s">
        <v>3006</v>
      </c>
      <c r="D1351" s="79">
        <v>3500</v>
      </c>
    </row>
    <row r="1352" spans="1:4" ht="45">
      <c r="A1352" s="78" t="s">
        <v>2969</v>
      </c>
      <c r="B1352" s="78" t="s">
        <v>3027</v>
      </c>
      <c r="C1352" s="78" t="s">
        <v>3028</v>
      </c>
      <c r="D1352" s="78"/>
    </row>
    <row r="1353" spans="1:4" ht="30">
      <c r="A1353" s="78" t="s">
        <v>2969</v>
      </c>
      <c r="B1353" s="78" t="s">
        <v>3029</v>
      </c>
      <c r="C1353" s="78" t="s">
        <v>3030</v>
      </c>
      <c r="D1353" s="79">
        <v>1400</v>
      </c>
    </row>
    <row r="1354" spans="1:4" ht="30">
      <c r="A1354" s="78" t="s">
        <v>2969</v>
      </c>
      <c r="B1354" s="78" t="s">
        <v>3031</v>
      </c>
      <c r="C1354" s="78" t="s">
        <v>3032</v>
      </c>
      <c r="D1354" s="78">
        <v>600</v>
      </c>
    </row>
    <row r="1355" spans="1:4" ht="45">
      <c r="A1355" s="78" t="s">
        <v>2969</v>
      </c>
      <c r="B1355" s="78" t="s">
        <v>3033</v>
      </c>
      <c r="C1355" s="78" t="s">
        <v>3034</v>
      </c>
      <c r="D1355" s="79">
        <v>144000</v>
      </c>
    </row>
    <row r="1356" spans="1:4" ht="30">
      <c r="A1356" s="78" t="s">
        <v>2969</v>
      </c>
      <c r="B1356" s="78" t="s">
        <v>3035</v>
      </c>
      <c r="C1356" s="78" t="s">
        <v>3036</v>
      </c>
      <c r="D1356" s="79">
        <v>1500</v>
      </c>
    </row>
    <row r="1357" spans="1:4" ht="45">
      <c r="A1357" s="78" t="s">
        <v>2969</v>
      </c>
      <c r="B1357" s="78" t="s">
        <v>3037</v>
      </c>
      <c r="C1357" s="78" t="s">
        <v>3034</v>
      </c>
      <c r="D1357" s="79">
        <v>7400</v>
      </c>
    </row>
    <row r="1358" spans="1:4" ht="45">
      <c r="A1358" s="78" t="s">
        <v>504</v>
      </c>
      <c r="B1358" s="78" t="s">
        <v>3038</v>
      </c>
      <c r="C1358" s="78" t="s">
        <v>3039</v>
      </c>
      <c r="D1358" s="79">
        <v>12000</v>
      </c>
    </row>
    <row r="1359" spans="1:4" ht="30">
      <c r="A1359" s="78" t="s">
        <v>3040</v>
      </c>
      <c r="B1359" s="78" t="s">
        <v>3041</v>
      </c>
      <c r="C1359" s="78" t="s">
        <v>3042</v>
      </c>
      <c r="D1359" s="78"/>
    </row>
    <row r="1360" spans="1:4" ht="30">
      <c r="A1360" s="78" t="s">
        <v>3040</v>
      </c>
      <c r="B1360" s="78" t="s">
        <v>3043</v>
      </c>
      <c r="C1360" s="78" t="s">
        <v>3044</v>
      </c>
      <c r="D1360" s="78"/>
    </row>
    <row r="1361" spans="1:4" ht="30">
      <c r="A1361" s="78" t="s">
        <v>3040</v>
      </c>
      <c r="B1361" s="78" t="s">
        <v>3045</v>
      </c>
      <c r="C1361" s="78" t="s">
        <v>3044</v>
      </c>
      <c r="D1361" s="78"/>
    </row>
    <row r="1362" spans="1:4" ht="45">
      <c r="A1362" s="78" t="s">
        <v>3040</v>
      </c>
      <c r="B1362" s="78" t="s">
        <v>3046</v>
      </c>
      <c r="C1362" s="78" t="s">
        <v>3047</v>
      </c>
      <c r="D1362" s="78"/>
    </row>
    <row r="1363" spans="1:4" ht="30">
      <c r="A1363" s="78" t="s">
        <v>3040</v>
      </c>
      <c r="B1363" s="78" t="s">
        <v>3048</v>
      </c>
      <c r="C1363" s="78" t="s">
        <v>3049</v>
      </c>
      <c r="D1363" s="78"/>
    </row>
    <row r="1364" spans="1:4" ht="30">
      <c r="A1364" s="78" t="s">
        <v>3040</v>
      </c>
      <c r="B1364" s="78" t="s">
        <v>3050</v>
      </c>
      <c r="C1364" s="78" t="s">
        <v>3051</v>
      </c>
      <c r="D1364" s="79">
        <v>20000</v>
      </c>
    </row>
    <row r="1365" spans="1:4" ht="45">
      <c r="A1365" s="78" t="s">
        <v>3040</v>
      </c>
      <c r="B1365" s="78" t="s">
        <v>3052</v>
      </c>
      <c r="C1365" s="78" t="s">
        <v>3053</v>
      </c>
      <c r="D1365" s="78"/>
    </row>
    <row r="1366" spans="1:4" ht="45">
      <c r="A1366" s="78" t="s">
        <v>3040</v>
      </c>
      <c r="B1366" s="78" t="s">
        <v>3054</v>
      </c>
      <c r="C1366" s="78" t="s">
        <v>3055</v>
      </c>
      <c r="D1366" s="78"/>
    </row>
    <row r="1367" spans="1:4" ht="60">
      <c r="A1367" s="78" t="s">
        <v>3040</v>
      </c>
      <c r="B1367" s="78" t="s">
        <v>3056</v>
      </c>
      <c r="C1367" s="78" t="s">
        <v>3057</v>
      </c>
      <c r="D1367" s="78"/>
    </row>
    <row r="1368" spans="1:4" ht="30">
      <c r="A1368" s="78" t="s">
        <v>3040</v>
      </c>
      <c r="B1368" s="78" t="s">
        <v>3058</v>
      </c>
      <c r="C1368" s="78" t="s">
        <v>3059</v>
      </c>
      <c r="D1368" s="78"/>
    </row>
    <row r="1369" spans="1:4" ht="30">
      <c r="A1369" s="78" t="s">
        <v>3040</v>
      </c>
      <c r="B1369" s="78" t="s">
        <v>3060</v>
      </c>
      <c r="C1369" s="78" t="s">
        <v>3061</v>
      </c>
      <c r="D1369" s="78"/>
    </row>
    <row r="1370" spans="1:4" ht="75">
      <c r="A1370" s="78" t="s">
        <v>3040</v>
      </c>
      <c r="B1370" s="78" t="s">
        <v>3062</v>
      </c>
      <c r="C1370" s="78" t="s">
        <v>3063</v>
      </c>
      <c r="D1370" s="78"/>
    </row>
    <row r="1371" spans="1:4">
      <c r="A1371" s="78" t="s">
        <v>3040</v>
      </c>
      <c r="B1371" s="78" t="s">
        <v>3062</v>
      </c>
      <c r="C1371" s="78" t="s">
        <v>3042</v>
      </c>
      <c r="D1371" s="78"/>
    </row>
    <row r="1372" spans="1:4" ht="30">
      <c r="A1372" s="78" t="s">
        <v>3040</v>
      </c>
      <c r="B1372" s="78" t="s">
        <v>3064</v>
      </c>
      <c r="C1372" s="78" t="s">
        <v>3065</v>
      </c>
      <c r="D1372" s="79">
        <v>1200</v>
      </c>
    </row>
    <row r="1373" spans="1:4" ht="45">
      <c r="A1373" s="78" t="s">
        <v>3040</v>
      </c>
      <c r="B1373" s="78" t="s">
        <v>3066</v>
      </c>
      <c r="C1373" s="78" t="s">
        <v>3067</v>
      </c>
      <c r="D1373" s="78"/>
    </row>
    <row r="1374" spans="1:4" ht="45">
      <c r="A1374" s="78" t="s">
        <v>3040</v>
      </c>
      <c r="B1374" s="78" t="s">
        <v>3068</v>
      </c>
      <c r="C1374" s="78" t="s">
        <v>3069</v>
      </c>
      <c r="D1374" s="78"/>
    </row>
    <row r="1375" spans="1:4" ht="30">
      <c r="A1375" s="78" t="s">
        <v>3040</v>
      </c>
      <c r="B1375" s="78" t="s">
        <v>3070</v>
      </c>
      <c r="C1375" s="78" t="s">
        <v>3071</v>
      </c>
      <c r="D1375" s="78"/>
    </row>
    <row r="1376" spans="1:4" ht="30">
      <c r="A1376" s="78" t="s">
        <v>3040</v>
      </c>
      <c r="B1376" s="78" t="s">
        <v>3072</v>
      </c>
      <c r="C1376" s="78" t="s">
        <v>3073</v>
      </c>
      <c r="D1376" s="78"/>
    </row>
    <row r="1377" spans="1:4" ht="45">
      <c r="A1377" s="78" t="s">
        <v>3040</v>
      </c>
      <c r="B1377" s="78" t="s">
        <v>3074</v>
      </c>
      <c r="C1377" s="78" t="s">
        <v>3075</v>
      </c>
      <c r="D1377" s="78"/>
    </row>
    <row r="1378" spans="1:4" ht="30">
      <c r="A1378" s="78" t="s">
        <v>3040</v>
      </c>
      <c r="B1378" s="78" t="s">
        <v>3076</v>
      </c>
      <c r="C1378" s="78" t="s">
        <v>3077</v>
      </c>
      <c r="D1378" s="78"/>
    </row>
    <row r="1379" spans="1:4" ht="60">
      <c r="A1379" s="78" t="s">
        <v>3040</v>
      </c>
      <c r="B1379" s="78" t="s">
        <v>3078</v>
      </c>
      <c r="C1379" s="78" t="s">
        <v>3079</v>
      </c>
      <c r="D1379" s="79">
        <v>4500</v>
      </c>
    </row>
    <row r="1380" spans="1:4" ht="45">
      <c r="A1380" s="78" t="s">
        <v>3040</v>
      </c>
      <c r="B1380" s="78" t="s">
        <v>3080</v>
      </c>
      <c r="C1380" s="78" t="s">
        <v>3081</v>
      </c>
      <c r="D1380" s="78"/>
    </row>
    <row r="1381" spans="1:4" ht="30">
      <c r="A1381" s="78" t="s">
        <v>3040</v>
      </c>
      <c r="B1381" s="78" t="s">
        <v>3082</v>
      </c>
      <c r="C1381" s="78" t="s">
        <v>3083</v>
      </c>
      <c r="D1381" s="78"/>
    </row>
    <row r="1382" spans="1:4" ht="45">
      <c r="A1382" s="78" t="s">
        <v>3040</v>
      </c>
      <c r="B1382" s="78" t="s">
        <v>3082</v>
      </c>
      <c r="C1382" s="78" t="s">
        <v>3084</v>
      </c>
      <c r="D1382" s="78"/>
    </row>
    <row r="1383" spans="1:4" ht="30">
      <c r="A1383" s="78" t="s">
        <v>3040</v>
      </c>
      <c r="B1383" s="78" t="s">
        <v>3082</v>
      </c>
      <c r="C1383" s="78" t="s">
        <v>3085</v>
      </c>
      <c r="D1383" s="78"/>
    </row>
    <row r="1384" spans="1:4" ht="60">
      <c r="A1384" s="78" t="s">
        <v>3040</v>
      </c>
      <c r="B1384" s="78" t="s">
        <v>3086</v>
      </c>
      <c r="C1384" s="78" t="s">
        <v>3087</v>
      </c>
      <c r="D1384" s="78"/>
    </row>
    <row r="1385" spans="1:4">
      <c r="A1385" s="78" t="s">
        <v>3040</v>
      </c>
      <c r="B1385" s="78" t="s">
        <v>3088</v>
      </c>
      <c r="C1385" s="78" t="s">
        <v>1114</v>
      </c>
      <c r="D1385" s="78"/>
    </row>
    <row r="1386" spans="1:4" ht="30">
      <c r="A1386" s="78" t="s">
        <v>3040</v>
      </c>
      <c r="B1386" s="78" t="s">
        <v>3089</v>
      </c>
      <c r="C1386" s="78" t="s">
        <v>3090</v>
      </c>
      <c r="D1386" s="78"/>
    </row>
    <row r="1387" spans="1:4" ht="30">
      <c r="A1387" s="78" t="s">
        <v>3040</v>
      </c>
      <c r="B1387" s="78" t="s">
        <v>3091</v>
      </c>
      <c r="C1387" s="78" t="s">
        <v>3092</v>
      </c>
      <c r="D1387" s="78"/>
    </row>
    <row r="1388" spans="1:4" ht="45">
      <c r="A1388" s="78" t="s">
        <v>3040</v>
      </c>
      <c r="B1388" s="78" t="s">
        <v>3091</v>
      </c>
      <c r="C1388" s="78" t="s">
        <v>3093</v>
      </c>
      <c r="D1388" s="78"/>
    </row>
    <row r="1389" spans="1:4" ht="30">
      <c r="A1389" s="78" t="s">
        <v>3040</v>
      </c>
      <c r="B1389" s="78" t="s">
        <v>3091</v>
      </c>
      <c r="C1389" s="78" t="s">
        <v>3094</v>
      </c>
      <c r="D1389" s="78"/>
    </row>
    <row r="1390" spans="1:4" ht="45">
      <c r="A1390" s="78" t="s">
        <v>3040</v>
      </c>
      <c r="B1390" s="78" t="s">
        <v>3095</v>
      </c>
      <c r="C1390" s="78" t="s">
        <v>3096</v>
      </c>
      <c r="D1390" s="79">
        <v>120000</v>
      </c>
    </row>
    <row r="1391" spans="1:4" ht="30">
      <c r="A1391" s="78" t="s">
        <v>3040</v>
      </c>
      <c r="B1391" s="78" t="s">
        <v>3095</v>
      </c>
      <c r="C1391" s="78" t="s">
        <v>3042</v>
      </c>
      <c r="D1391" s="78"/>
    </row>
    <row r="1392" spans="1:4" ht="30">
      <c r="A1392" s="78" t="s">
        <v>3040</v>
      </c>
      <c r="B1392" s="78" t="s">
        <v>3095</v>
      </c>
      <c r="C1392" s="78" t="s">
        <v>3097</v>
      </c>
      <c r="D1392" s="78"/>
    </row>
    <row r="1393" spans="1:4" ht="45">
      <c r="A1393" s="78" t="s">
        <v>3040</v>
      </c>
      <c r="B1393" s="78" t="s">
        <v>3098</v>
      </c>
      <c r="C1393" s="78" t="s">
        <v>3099</v>
      </c>
      <c r="D1393" s="78"/>
    </row>
    <row r="1394" spans="1:4" ht="30">
      <c r="A1394" s="78" t="s">
        <v>3040</v>
      </c>
      <c r="B1394" s="78" t="s">
        <v>3100</v>
      </c>
      <c r="C1394" s="78" t="s">
        <v>3101</v>
      </c>
      <c r="D1394" s="78"/>
    </row>
    <row r="1395" spans="1:4" ht="60">
      <c r="A1395" s="78" t="s">
        <v>3040</v>
      </c>
      <c r="B1395" s="78" t="s">
        <v>3102</v>
      </c>
      <c r="C1395" s="78" t="s">
        <v>3103</v>
      </c>
      <c r="D1395" s="78"/>
    </row>
    <row r="1396" spans="1:4">
      <c r="A1396" s="78" t="s">
        <v>3040</v>
      </c>
      <c r="B1396" s="78" t="s">
        <v>3102</v>
      </c>
      <c r="C1396" s="78" t="s">
        <v>3104</v>
      </c>
      <c r="D1396" s="78"/>
    </row>
    <row r="1397" spans="1:4">
      <c r="A1397" s="78" t="s">
        <v>3040</v>
      </c>
      <c r="B1397" s="78" t="s">
        <v>3102</v>
      </c>
      <c r="C1397" s="78" t="s">
        <v>3105</v>
      </c>
      <c r="D1397" s="78"/>
    </row>
    <row r="1398" spans="1:4" ht="60">
      <c r="A1398" s="78" t="s">
        <v>3040</v>
      </c>
      <c r="B1398" s="78" t="s">
        <v>3106</v>
      </c>
      <c r="C1398" s="78" t="s">
        <v>3107</v>
      </c>
      <c r="D1398" s="78"/>
    </row>
    <row r="1399" spans="1:4" ht="45">
      <c r="A1399" s="78" t="s">
        <v>3040</v>
      </c>
      <c r="B1399" s="78" t="s">
        <v>3040</v>
      </c>
      <c r="C1399" s="78" t="s">
        <v>3108</v>
      </c>
      <c r="D1399" s="78"/>
    </row>
    <row r="1400" spans="1:4" ht="30">
      <c r="A1400" s="78" t="s">
        <v>3040</v>
      </c>
      <c r="B1400" s="78" t="s">
        <v>3040</v>
      </c>
      <c r="C1400" s="78" t="s">
        <v>3109</v>
      </c>
      <c r="D1400" s="78"/>
    </row>
    <row r="1401" spans="1:4" ht="60">
      <c r="A1401" s="78" t="s">
        <v>3040</v>
      </c>
      <c r="B1401" s="78" t="s">
        <v>3040</v>
      </c>
      <c r="C1401" s="78" t="s">
        <v>3110</v>
      </c>
      <c r="D1401" s="78"/>
    </row>
    <row r="1402" spans="1:4" ht="45">
      <c r="A1402" s="78" t="s">
        <v>3040</v>
      </c>
      <c r="B1402" s="78" t="s">
        <v>3111</v>
      </c>
      <c r="C1402" s="78" t="s">
        <v>3112</v>
      </c>
      <c r="D1402" s="79">
        <v>54400</v>
      </c>
    </row>
    <row r="1403" spans="1:4" ht="30">
      <c r="A1403" s="78" t="s">
        <v>3040</v>
      </c>
      <c r="B1403" s="78" t="s">
        <v>3113</v>
      </c>
      <c r="C1403" s="78" t="s">
        <v>3114</v>
      </c>
      <c r="D1403" s="78"/>
    </row>
    <row r="1404" spans="1:4" ht="30">
      <c r="A1404" s="78" t="s">
        <v>3040</v>
      </c>
      <c r="B1404" s="78" t="s">
        <v>3113</v>
      </c>
      <c r="C1404" s="78" t="s">
        <v>2672</v>
      </c>
      <c r="D1404" s="78"/>
    </row>
    <row r="1405" spans="1:4" ht="30">
      <c r="A1405" s="78" t="s">
        <v>3040</v>
      </c>
      <c r="B1405" s="78" t="s">
        <v>3113</v>
      </c>
      <c r="C1405" s="78" t="s">
        <v>3115</v>
      </c>
      <c r="D1405" s="79">
        <v>1400</v>
      </c>
    </row>
    <row r="1406" spans="1:4" ht="45">
      <c r="A1406" s="78" t="s">
        <v>3040</v>
      </c>
      <c r="B1406" s="78" t="s">
        <v>3113</v>
      </c>
      <c r="C1406" s="78" t="s">
        <v>3055</v>
      </c>
      <c r="D1406" s="78"/>
    </row>
    <row r="1407" spans="1:4" ht="30">
      <c r="A1407" s="78" t="s">
        <v>3040</v>
      </c>
      <c r="B1407" s="78" t="s">
        <v>3113</v>
      </c>
      <c r="C1407" s="78" t="s">
        <v>3116</v>
      </c>
      <c r="D1407" s="78"/>
    </row>
    <row r="1408" spans="1:4" ht="30">
      <c r="A1408" s="78" t="s">
        <v>3040</v>
      </c>
      <c r="B1408" s="78" t="s">
        <v>3113</v>
      </c>
      <c r="C1408" s="78" t="s">
        <v>3117</v>
      </c>
      <c r="D1408" s="78"/>
    </row>
    <row r="1409" spans="1:4" ht="30">
      <c r="A1409" s="78" t="s">
        <v>3040</v>
      </c>
      <c r="B1409" s="78" t="s">
        <v>3113</v>
      </c>
      <c r="C1409" s="78" t="s">
        <v>3118</v>
      </c>
      <c r="D1409" s="78"/>
    </row>
    <row r="1410" spans="1:4" ht="30">
      <c r="A1410" s="78" t="s">
        <v>3040</v>
      </c>
      <c r="B1410" s="78" t="s">
        <v>3113</v>
      </c>
      <c r="C1410" s="78" t="s">
        <v>3104</v>
      </c>
      <c r="D1410" s="78"/>
    </row>
    <row r="1411" spans="1:4" ht="45">
      <c r="A1411" s="78" t="s">
        <v>3040</v>
      </c>
      <c r="B1411" s="78" t="s">
        <v>3119</v>
      </c>
      <c r="C1411" s="78" t="s">
        <v>3120</v>
      </c>
      <c r="D1411" s="78"/>
    </row>
    <row r="1412" spans="1:4" ht="30">
      <c r="A1412" s="78" t="s">
        <v>3040</v>
      </c>
      <c r="B1412" s="78" t="s">
        <v>3121</v>
      </c>
      <c r="C1412" s="78" t="s">
        <v>3122</v>
      </c>
      <c r="D1412" s="78"/>
    </row>
    <row r="1413" spans="1:4" ht="75">
      <c r="A1413" s="78" t="s">
        <v>3040</v>
      </c>
      <c r="B1413" s="78" t="s">
        <v>3123</v>
      </c>
      <c r="C1413" s="78" t="s">
        <v>3042</v>
      </c>
      <c r="D1413" s="78"/>
    </row>
    <row r="1414" spans="1:4">
      <c r="A1414" s="78" t="s">
        <v>3040</v>
      </c>
      <c r="B1414" s="78" t="s">
        <v>3124</v>
      </c>
      <c r="C1414" s="78" t="s">
        <v>3042</v>
      </c>
      <c r="D1414" s="78"/>
    </row>
    <row r="1415" spans="1:4" ht="45">
      <c r="A1415" s="78" t="s">
        <v>3040</v>
      </c>
      <c r="B1415" s="78" t="s">
        <v>3125</v>
      </c>
      <c r="C1415" s="78" t="s">
        <v>3126</v>
      </c>
      <c r="D1415" s="78"/>
    </row>
    <row r="1416" spans="1:4" ht="30">
      <c r="A1416" s="78" t="s">
        <v>3040</v>
      </c>
      <c r="B1416" s="78" t="s">
        <v>3125</v>
      </c>
      <c r="C1416" s="78" t="s">
        <v>3127</v>
      </c>
      <c r="D1416" s="79">
        <v>27000</v>
      </c>
    </row>
    <row r="1417" spans="1:4" ht="45">
      <c r="A1417" s="78" t="s">
        <v>3040</v>
      </c>
      <c r="B1417" s="78" t="s">
        <v>3125</v>
      </c>
      <c r="C1417" s="78" t="s">
        <v>3112</v>
      </c>
      <c r="D1417" s="79">
        <v>3600</v>
      </c>
    </row>
    <row r="1418" spans="1:4" ht="30">
      <c r="A1418" s="78" t="s">
        <v>3040</v>
      </c>
      <c r="B1418" s="78" t="s">
        <v>3128</v>
      </c>
      <c r="C1418" s="78" t="s">
        <v>1068</v>
      </c>
      <c r="D1418" s="78"/>
    </row>
    <row r="1419" spans="1:4" ht="45">
      <c r="A1419" s="78" t="s">
        <v>3040</v>
      </c>
      <c r="B1419" s="78" t="s">
        <v>3129</v>
      </c>
      <c r="C1419" s="78" t="s">
        <v>3069</v>
      </c>
      <c r="D1419" s="78"/>
    </row>
    <row r="1420" spans="1:4" ht="45">
      <c r="A1420" s="78" t="s">
        <v>3040</v>
      </c>
      <c r="B1420" s="78" t="s">
        <v>3130</v>
      </c>
      <c r="C1420" s="78" t="s">
        <v>3131</v>
      </c>
      <c r="D1420" s="78"/>
    </row>
    <row r="1421" spans="1:4" ht="30">
      <c r="A1421" s="78" t="s">
        <v>3040</v>
      </c>
      <c r="B1421" s="78" t="s">
        <v>3132</v>
      </c>
      <c r="C1421" s="78" t="s">
        <v>3133</v>
      </c>
      <c r="D1421" s="78"/>
    </row>
    <row r="1422" spans="1:4" ht="45">
      <c r="A1422" s="78" t="s">
        <v>3040</v>
      </c>
      <c r="B1422" s="78" t="s">
        <v>3134</v>
      </c>
      <c r="C1422" s="78" t="s">
        <v>3135</v>
      </c>
      <c r="D1422" s="78"/>
    </row>
    <row r="1423" spans="1:4" ht="45">
      <c r="A1423" s="78" t="s">
        <v>3040</v>
      </c>
      <c r="B1423" s="78" t="s">
        <v>3134</v>
      </c>
      <c r="C1423" s="78" t="s">
        <v>3136</v>
      </c>
      <c r="D1423" s="79">
        <v>23000</v>
      </c>
    </row>
    <row r="1424" spans="1:4" ht="45">
      <c r="A1424" s="78" t="s">
        <v>3040</v>
      </c>
      <c r="B1424" s="78" t="s">
        <v>3134</v>
      </c>
      <c r="C1424" s="78" t="s">
        <v>3137</v>
      </c>
      <c r="D1424" s="79">
        <v>72000</v>
      </c>
    </row>
    <row r="1425" spans="1:6" ht="45">
      <c r="A1425" s="78" t="s">
        <v>3040</v>
      </c>
      <c r="B1425" s="78" t="s">
        <v>3134</v>
      </c>
      <c r="C1425" s="78" t="s">
        <v>3138</v>
      </c>
      <c r="D1425" s="78"/>
    </row>
    <row r="1426" spans="1:6" ht="45">
      <c r="A1426" s="78" t="s">
        <v>3040</v>
      </c>
      <c r="B1426" s="78" t="s">
        <v>3134</v>
      </c>
      <c r="C1426" s="78" t="s">
        <v>3139</v>
      </c>
      <c r="D1426" s="78"/>
    </row>
    <row r="1427" spans="1:6" ht="45">
      <c r="A1427" s="78" t="s">
        <v>3040</v>
      </c>
      <c r="B1427" s="78" t="s">
        <v>3140</v>
      </c>
      <c r="C1427" s="78" t="s">
        <v>3141</v>
      </c>
      <c r="D1427" s="78"/>
    </row>
    <row r="1428" spans="1:6">
      <c r="A1428" s="78" t="s">
        <v>3040</v>
      </c>
      <c r="B1428" s="78" t="s">
        <v>3142</v>
      </c>
      <c r="C1428" s="78" t="s">
        <v>3143</v>
      </c>
      <c r="D1428" s="78"/>
    </row>
    <row r="1429" spans="1:6" ht="30">
      <c r="A1429" s="78" t="s">
        <v>3040</v>
      </c>
      <c r="B1429" s="78" t="s">
        <v>3144</v>
      </c>
      <c r="C1429" s="78" t="s">
        <v>3145</v>
      </c>
      <c r="D1429" s="78"/>
    </row>
    <row r="1430" spans="1:6" ht="45">
      <c r="A1430" s="78" t="s">
        <v>3040</v>
      </c>
      <c r="B1430" s="78" t="s">
        <v>3146</v>
      </c>
      <c r="C1430" s="78" t="s">
        <v>3147</v>
      </c>
      <c r="D1430" s="78"/>
    </row>
    <row r="1431" spans="1:6" ht="60">
      <c r="A1431" s="78" t="s">
        <v>3040</v>
      </c>
      <c r="B1431" s="78" t="s">
        <v>3146</v>
      </c>
      <c r="C1431" s="78" t="s">
        <v>3148</v>
      </c>
      <c r="D1431" s="78"/>
    </row>
    <row r="1432" spans="1:6" ht="30">
      <c r="A1432" s="78" t="s">
        <v>3040</v>
      </c>
      <c r="B1432" s="78" t="s">
        <v>3146</v>
      </c>
      <c r="C1432" s="78" t="s">
        <v>3149</v>
      </c>
      <c r="D1432" s="78"/>
    </row>
    <row r="1433" spans="1:6" ht="30">
      <c r="A1433" s="78" t="s">
        <v>3040</v>
      </c>
      <c r="B1433" s="78" t="s">
        <v>3146</v>
      </c>
      <c r="C1433" s="78" t="s">
        <v>3150</v>
      </c>
      <c r="D1433" s="78"/>
    </row>
    <row r="1434" spans="1:6" ht="45">
      <c r="A1434" s="78" t="s">
        <v>3040</v>
      </c>
      <c r="B1434" s="78" t="s">
        <v>3151</v>
      </c>
      <c r="C1434" s="78" t="s">
        <v>3152</v>
      </c>
      <c r="D1434" s="78"/>
    </row>
    <row r="1435" spans="1:6" ht="45">
      <c r="A1435" s="78" t="s">
        <v>3040</v>
      </c>
      <c r="B1435" s="78" t="s">
        <v>3151</v>
      </c>
      <c r="C1435" s="78" t="s">
        <v>3153</v>
      </c>
      <c r="D1435" s="78"/>
    </row>
    <row r="1436" spans="1:6" ht="45">
      <c r="A1436" s="78" t="s">
        <v>3040</v>
      </c>
      <c r="B1436" s="78" t="s">
        <v>3151</v>
      </c>
      <c r="C1436" s="78" t="s">
        <v>3108</v>
      </c>
      <c r="D1436" s="78"/>
    </row>
    <row r="1437" spans="1:6" ht="45">
      <c r="A1437" s="78" t="s">
        <v>3040</v>
      </c>
      <c r="B1437" s="78" t="s">
        <v>3151</v>
      </c>
      <c r="C1437" s="78" t="s">
        <v>3154</v>
      </c>
      <c r="D1437" s="78"/>
    </row>
    <row r="1438" spans="1:6" ht="45">
      <c r="A1438" s="78" t="s">
        <v>3040</v>
      </c>
      <c r="B1438" s="78" t="s">
        <v>3151</v>
      </c>
      <c r="C1438" s="78" t="s">
        <v>3155</v>
      </c>
      <c r="D1438" s="78"/>
    </row>
    <row r="1439" spans="1:6" ht="45">
      <c r="A1439" s="78" t="s">
        <v>3040</v>
      </c>
      <c r="B1439" s="78" t="s">
        <v>3151</v>
      </c>
      <c r="C1439" s="78" t="s">
        <v>3156</v>
      </c>
      <c r="D1439" s="78"/>
    </row>
    <row r="1440" spans="1:6" ht="45">
      <c r="A1440" s="78" t="s">
        <v>28</v>
      </c>
      <c r="B1440" s="78" t="s">
        <v>746</v>
      </c>
      <c r="C1440" s="78" t="s">
        <v>3157</v>
      </c>
      <c r="D1440" s="79">
        <v>17000</v>
      </c>
      <c r="F1440" s="80">
        <v>1</v>
      </c>
    </row>
    <row r="1441" spans="1:5" ht="45">
      <c r="A1441" s="78" t="s">
        <v>3158</v>
      </c>
      <c r="B1441" s="78" t="s">
        <v>3159</v>
      </c>
      <c r="C1441" s="78" t="s">
        <v>3160</v>
      </c>
      <c r="D1441" s="79">
        <v>12000</v>
      </c>
    </row>
    <row r="1442" spans="1:5" ht="30">
      <c r="A1442" s="78" t="s">
        <v>3158</v>
      </c>
      <c r="B1442" s="78" t="s">
        <v>3161</v>
      </c>
      <c r="C1442" s="78" t="s">
        <v>3162</v>
      </c>
      <c r="D1442" s="78"/>
    </row>
    <row r="1443" spans="1:5">
      <c r="A1443" s="78" t="s">
        <v>3158</v>
      </c>
      <c r="B1443" s="78" t="s">
        <v>3163</v>
      </c>
      <c r="C1443" s="78" t="s">
        <v>3164</v>
      </c>
      <c r="D1443" s="78"/>
    </row>
    <row r="1444" spans="1:5" ht="30">
      <c r="A1444" s="78" t="s">
        <v>17</v>
      </c>
      <c r="B1444" s="78" t="s">
        <v>728</v>
      </c>
      <c r="C1444" s="78" t="s">
        <v>3165</v>
      </c>
      <c r="D1444" s="79">
        <v>50000</v>
      </c>
      <c r="E1444" s="78" t="s">
        <v>193</v>
      </c>
    </row>
    <row r="1445" spans="1:5">
      <c r="A1445" s="78" t="s">
        <v>17</v>
      </c>
      <c r="B1445" s="78" t="s">
        <v>728</v>
      </c>
      <c r="C1445" s="78" t="s">
        <v>3166</v>
      </c>
      <c r="D1445" s="79">
        <v>15000</v>
      </c>
      <c r="E1445" s="78" t="s">
        <v>193</v>
      </c>
    </row>
    <row r="1446" spans="1:5" ht="45">
      <c r="A1446" s="78" t="s">
        <v>17</v>
      </c>
      <c r="B1446" s="78" t="s">
        <v>3169</v>
      </c>
      <c r="C1446" s="78" t="s">
        <v>3170</v>
      </c>
      <c r="D1446" s="79">
        <v>46000</v>
      </c>
      <c r="E1446" s="78" t="s">
        <v>188</v>
      </c>
    </row>
    <row r="1447" spans="1:5" ht="60">
      <c r="A1447" s="78" t="s">
        <v>17</v>
      </c>
      <c r="B1447" s="78" t="s">
        <v>511</v>
      </c>
      <c r="C1447" s="78" t="s">
        <v>3175</v>
      </c>
      <c r="D1447" s="79">
        <v>30000</v>
      </c>
      <c r="E1447" s="78" t="s">
        <v>190</v>
      </c>
    </row>
    <row r="1448" spans="1:5" ht="30">
      <c r="A1448" s="78" t="s">
        <v>17</v>
      </c>
      <c r="B1448" s="78" t="s">
        <v>3176</v>
      </c>
      <c r="C1448" s="78" t="s">
        <v>3165</v>
      </c>
      <c r="D1448" s="79">
        <v>50000</v>
      </c>
      <c r="E1448" s="78" t="s">
        <v>187</v>
      </c>
    </row>
    <row r="1449" spans="1:5" ht="30">
      <c r="A1449" s="78" t="s">
        <v>17</v>
      </c>
      <c r="B1449" s="78" t="s">
        <v>3172</v>
      </c>
      <c r="C1449" s="78" t="s">
        <v>1183</v>
      </c>
      <c r="D1449" s="79">
        <v>50000</v>
      </c>
      <c r="E1449" s="78" t="s">
        <v>192</v>
      </c>
    </row>
    <row r="1450" spans="1:5" ht="45">
      <c r="A1450" s="78" t="s">
        <v>17</v>
      </c>
      <c r="B1450" s="78" t="s">
        <v>3174</v>
      </c>
      <c r="C1450" s="78" t="s">
        <v>2027</v>
      </c>
      <c r="D1450" s="79">
        <v>25000</v>
      </c>
      <c r="E1450" s="78" t="s">
        <v>192</v>
      </c>
    </row>
    <row r="1451" spans="1:5" ht="30">
      <c r="A1451" s="78" t="s">
        <v>17</v>
      </c>
      <c r="B1451" s="78" t="s">
        <v>3167</v>
      </c>
      <c r="C1451" s="78" t="s">
        <v>3168</v>
      </c>
      <c r="D1451" s="78"/>
    </row>
    <row r="1452" spans="1:5" ht="30">
      <c r="A1452" s="78" t="s">
        <v>17</v>
      </c>
      <c r="B1452" s="78" t="s">
        <v>3171</v>
      </c>
      <c r="C1452" s="78" t="s">
        <v>2096</v>
      </c>
      <c r="D1452" s="78"/>
    </row>
    <row r="1453" spans="1:5" ht="30">
      <c r="A1453" s="78" t="s">
        <v>17</v>
      </c>
      <c r="B1453" s="78" t="s">
        <v>3173</v>
      </c>
      <c r="C1453" s="78" t="s">
        <v>2096</v>
      </c>
      <c r="D1453" s="78"/>
    </row>
    <row r="1454" spans="1:5" ht="30">
      <c r="A1454" s="78" t="s">
        <v>3177</v>
      </c>
      <c r="B1454" s="78" t="s">
        <v>3178</v>
      </c>
      <c r="C1454" s="78" t="s">
        <v>3179</v>
      </c>
      <c r="D1454" s="79">
        <v>4000</v>
      </c>
    </row>
    <row r="1455" spans="1:5" ht="30">
      <c r="A1455" s="78" t="s">
        <v>3177</v>
      </c>
      <c r="B1455" s="78" t="s">
        <v>3180</v>
      </c>
      <c r="C1455" s="78" t="s">
        <v>3181</v>
      </c>
      <c r="D1455" s="78"/>
    </row>
    <row r="1456" spans="1:5" ht="30">
      <c r="A1456" s="78" t="s">
        <v>3177</v>
      </c>
      <c r="B1456" s="78" t="s">
        <v>3182</v>
      </c>
      <c r="C1456" s="78" t="s">
        <v>3183</v>
      </c>
      <c r="D1456" s="78"/>
    </row>
    <row r="1457" spans="1:5" ht="30">
      <c r="A1457" s="78" t="s">
        <v>3177</v>
      </c>
      <c r="B1457" s="78" t="s">
        <v>3184</v>
      </c>
      <c r="C1457" s="78" t="s">
        <v>3185</v>
      </c>
      <c r="D1457" s="78"/>
    </row>
    <row r="1458" spans="1:5" ht="45">
      <c r="A1458" s="78" t="s">
        <v>3177</v>
      </c>
      <c r="B1458" s="78" t="s">
        <v>3186</v>
      </c>
      <c r="C1458" s="78" t="s">
        <v>3187</v>
      </c>
      <c r="D1458" s="78"/>
    </row>
    <row r="1459" spans="1:5" ht="45">
      <c r="A1459" s="78" t="s">
        <v>3177</v>
      </c>
      <c r="B1459" s="78" t="s">
        <v>3188</v>
      </c>
      <c r="C1459" s="78" t="s">
        <v>3189</v>
      </c>
      <c r="D1459" s="79">
        <v>8000</v>
      </c>
    </row>
    <row r="1460" spans="1:5" ht="30">
      <c r="A1460" s="78" t="s">
        <v>3177</v>
      </c>
      <c r="B1460" s="78" t="s">
        <v>3190</v>
      </c>
      <c r="C1460" s="78" t="s">
        <v>3191</v>
      </c>
      <c r="D1460" s="78"/>
    </row>
    <row r="1461" spans="1:5">
      <c r="A1461" s="78" t="s">
        <v>3177</v>
      </c>
      <c r="B1461" s="78" t="s">
        <v>3192</v>
      </c>
      <c r="C1461" s="78" t="s">
        <v>3193</v>
      </c>
      <c r="D1461" s="79">
        <v>10000</v>
      </c>
    </row>
    <row r="1462" spans="1:5" ht="30">
      <c r="A1462" s="78" t="s">
        <v>3177</v>
      </c>
      <c r="B1462" s="78" t="s">
        <v>3194</v>
      </c>
      <c r="C1462" s="78" t="s">
        <v>3195</v>
      </c>
      <c r="D1462" s="79">
        <v>4000</v>
      </c>
    </row>
    <row r="1463" spans="1:5" ht="30">
      <c r="A1463" s="78" t="s">
        <v>3177</v>
      </c>
      <c r="B1463" s="78" t="s">
        <v>3196</v>
      </c>
      <c r="C1463" s="78" t="s">
        <v>3197</v>
      </c>
      <c r="D1463" s="78"/>
    </row>
    <row r="1464" spans="1:5" ht="30">
      <c r="A1464" s="78" t="s">
        <v>3198</v>
      </c>
      <c r="B1464" s="78" t="s">
        <v>3199</v>
      </c>
      <c r="C1464" s="78" t="s">
        <v>3200</v>
      </c>
      <c r="D1464" s="79">
        <v>2500</v>
      </c>
    </row>
    <row r="1465" spans="1:5" ht="45">
      <c r="A1465" s="78" t="s">
        <v>3201</v>
      </c>
      <c r="B1465" s="78" t="s">
        <v>3202</v>
      </c>
      <c r="C1465" s="78" t="s">
        <v>3203</v>
      </c>
      <c r="D1465" s="79">
        <v>3000</v>
      </c>
    </row>
    <row r="1466" spans="1:5" ht="45">
      <c r="A1466" s="78" t="s">
        <v>3201</v>
      </c>
      <c r="B1466" s="78" t="s">
        <v>3204</v>
      </c>
      <c r="C1466" s="78" t="s">
        <v>3203</v>
      </c>
      <c r="D1466" s="79">
        <v>3000</v>
      </c>
    </row>
    <row r="1467" spans="1:5" ht="45">
      <c r="A1467" s="78" t="s">
        <v>3201</v>
      </c>
      <c r="B1467" s="78" t="s">
        <v>3204</v>
      </c>
      <c r="C1467" s="78" t="s">
        <v>3205</v>
      </c>
      <c r="D1467" s="79">
        <v>5000</v>
      </c>
    </row>
    <row r="1468" spans="1:5">
      <c r="A1468" s="78" t="s">
        <v>27</v>
      </c>
      <c r="B1468" s="78" t="s">
        <v>3209</v>
      </c>
      <c r="C1468" s="78" t="s">
        <v>3210</v>
      </c>
      <c r="D1468" s="79">
        <v>20000</v>
      </c>
      <c r="E1468" s="78" t="s">
        <v>298</v>
      </c>
    </row>
    <row r="1469" spans="1:5" ht="30">
      <c r="A1469" s="78" t="s">
        <v>27</v>
      </c>
      <c r="B1469" s="78" t="s">
        <v>3220</v>
      </c>
      <c r="C1469" s="78" t="s">
        <v>3221</v>
      </c>
      <c r="D1469" s="79">
        <v>25000</v>
      </c>
      <c r="E1469" s="78" t="s">
        <v>299</v>
      </c>
    </row>
    <row r="1470" spans="1:5" ht="30">
      <c r="A1470" s="78" t="s">
        <v>27</v>
      </c>
      <c r="B1470" s="78" t="s">
        <v>3220</v>
      </c>
      <c r="C1470" s="78" t="s">
        <v>3222</v>
      </c>
      <c r="D1470" s="79">
        <v>25000</v>
      </c>
      <c r="E1470" s="78" t="s">
        <v>299</v>
      </c>
    </row>
    <row r="1471" spans="1:5" ht="30">
      <c r="A1471" s="78" t="s">
        <v>27</v>
      </c>
      <c r="B1471" s="78" t="s">
        <v>3211</v>
      </c>
      <c r="C1471" s="78" t="s">
        <v>3212</v>
      </c>
      <c r="D1471" s="79">
        <v>40000</v>
      </c>
      <c r="E1471" s="78" t="s">
        <v>626</v>
      </c>
    </row>
    <row r="1472" spans="1:5" ht="30">
      <c r="A1472" s="78" t="s">
        <v>27</v>
      </c>
      <c r="B1472" s="78" t="s">
        <v>3213</v>
      </c>
      <c r="C1472" s="78" t="s">
        <v>1068</v>
      </c>
      <c r="D1472" s="79">
        <v>90000</v>
      </c>
      <c r="E1472" s="78" t="s">
        <v>626</v>
      </c>
    </row>
    <row r="1473" spans="1:5" ht="30">
      <c r="A1473" s="78" t="s">
        <v>27</v>
      </c>
      <c r="B1473" s="78" t="s">
        <v>3206</v>
      </c>
      <c r="C1473" s="78" t="s">
        <v>1068</v>
      </c>
      <c r="D1473" s="79">
        <v>78000</v>
      </c>
      <c r="E1473" s="87" t="s">
        <v>627</v>
      </c>
    </row>
    <row r="1474" spans="1:5" ht="30">
      <c r="A1474" s="78" t="s">
        <v>27</v>
      </c>
      <c r="B1474" s="78" t="s">
        <v>3214</v>
      </c>
      <c r="C1474" s="78" t="s">
        <v>1068</v>
      </c>
      <c r="D1474" s="79">
        <v>53000</v>
      </c>
      <c r="E1474" s="78" t="s">
        <v>627</v>
      </c>
    </row>
    <row r="1475" spans="1:5">
      <c r="A1475" s="78" t="s">
        <v>27</v>
      </c>
      <c r="B1475" s="78" t="s">
        <v>3215</v>
      </c>
      <c r="C1475" s="78" t="s">
        <v>3216</v>
      </c>
      <c r="D1475" s="79">
        <v>10000</v>
      </c>
      <c r="E1475" s="78" t="s">
        <v>627</v>
      </c>
    </row>
    <row r="1476" spans="1:5" ht="30">
      <c r="A1476" s="78" t="s">
        <v>27</v>
      </c>
      <c r="B1476" s="78" t="s">
        <v>3223</v>
      </c>
      <c r="C1476" s="78" t="s">
        <v>3224</v>
      </c>
      <c r="D1476" s="79">
        <v>10000</v>
      </c>
      <c r="E1476" s="78" t="s">
        <v>627</v>
      </c>
    </row>
    <row r="1477" spans="1:5" ht="30">
      <c r="A1477" s="78" t="s">
        <v>27</v>
      </c>
      <c r="B1477" s="78" t="s">
        <v>3233</v>
      </c>
      <c r="C1477" s="78" t="s">
        <v>1068</v>
      </c>
      <c r="D1477" s="79">
        <v>55000</v>
      </c>
      <c r="E1477" s="78" t="s">
        <v>627</v>
      </c>
    </row>
    <row r="1478" spans="1:5">
      <c r="A1478" s="78" t="s">
        <v>27</v>
      </c>
      <c r="B1478" s="78" t="s">
        <v>3207</v>
      </c>
      <c r="C1478" s="78" t="s">
        <v>3208</v>
      </c>
      <c r="D1478" s="78"/>
    </row>
    <row r="1479" spans="1:5" ht="30">
      <c r="A1479" s="78" t="s">
        <v>27</v>
      </c>
      <c r="B1479" s="78" t="s">
        <v>3217</v>
      </c>
      <c r="C1479" s="78" t="s">
        <v>1068</v>
      </c>
      <c r="D1479" s="78"/>
    </row>
    <row r="1480" spans="1:5" ht="30">
      <c r="A1480" s="78" t="s">
        <v>27</v>
      </c>
      <c r="B1480" s="78" t="s">
        <v>3218</v>
      </c>
      <c r="C1480" s="78" t="s">
        <v>3219</v>
      </c>
      <c r="D1480" s="78"/>
    </row>
    <row r="1481" spans="1:5" ht="45">
      <c r="A1481" s="78" t="s">
        <v>27</v>
      </c>
      <c r="B1481" s="78" t="s">
        <v>3225</v>
      </c>
      <c r="C1481" s="78" t="s">
        <v>3226</v>
      </c>
      <c r="D1481" s="78"/>
    </row>
    <row r="1482" spans="1:5">
      <c r="A1482" s="78" t="s">
        <v>27</v>
      </c>
      <c r="B1482" s="78" t="s">
        <v>3227</v>
      </c>
      <c r="C1482" s="78" t="s">
        <v>3228</v>
      </c>
      <c r="D1482" s="78"/>
    </row>
    <row r="1483" spans="1:5" ht="45">
      <c r="A1483" s="78" t="s">
        <v>27</v>
      </c>
      <c r="B1483" s="78" t="s">
        <v>3229</v>
      </c>
      <c r="C1483" s="78" t="s">
        <v>3230</v>
      </c>
      <c r="D1483" s="78"/>
    </row>
    <row r="1484" spans="1:5" ht="60">
      <c r="A1484" s="78" t="s">
        <v>27</v>
      </c>
      <c r="B1484" s="78" t="s">
        <v>3231</v>
      </c>
      <c r="C1484" s="78" t="s">
        <v>3232</v>
      </c>
      <c r="D1484" s="78"/>
    </row>
    <row r="1485" spans="1:5" ht="30">
      <c r="A1485" s="78" t="s">
        <v>3234</v>
      </c>
      <c r="B1485" s="78" t="s">
        <v>3235</v>
      </c>
      <c r="C1485" s="78" t="s">
        <v>3236</v>
      </c>
      <c r="D1485" s="78" t="s">
        <v>3237</v>
      </c>
    </row>
    <row r="1486" spans="1:5" ht="75">
      <c r="A1486" s="78" t="s">
        <v>3234</v>
      </c>
      <c r="B1486" s="78" t="s">
        <v>3235</v>
      </c>
      <c r="C1486" s="78" t="s">
        <v>3238</v>
      </c>
      <c r="D1486" s="79">
        <v>48000</v>
      </c>
    </row>
    <row r="1487" spans="1:5" ht="30">
      <c r="A1487" s="78" t="s">
        <v>3239</v>
      </c>
      <c r="B1487" s="78" t="s">
        <v>3240</v>
      </c>
      <c r="C1487" s="78" t="s">
        <v>3241</v>
      </c>
      <c r="D1487" s="78"/>
    </row>
    <row r="1488" spans="1:5" ht="30">
      <c r="A1488" s="78" t="s">
        <v>3239</v>
      </c>
      <c r="B1488" s="78" t="s">
        <v>3240</v>
      </c>
      <c r="C1488" s="78" t="s">
        <v>3242</v>
      </c>
      <c r="D1488" s="78"/>
    </row>
    <row r="1489" spans="1:4" ht="45">
      <c r="A1489" s="78" t="s">
        <v>3239</v>
      </c>
      <c r="B1489" s="78" t="s">
        <v>3240</v>
      </c>
      <c r="C1489" s="78" t="s">
        <v>3243</v>
      </c>
      <c r="D1489" s="78"/>
    </row>
    <row r="1490" spans="1:4" ht="30">
      <c r="A1490" s="78" t="s">
        <v>3239</v>
      </c>
      <c r="B1490" s="78" t="s">
        <v>3240</v>
      </c>
      <c r="C1490" s="78" t="s">
        <v>3244</v>
      </c>
      <c r="D1490" s="78"/>
    </row>
    <row r="1491" spans="1:4">
      <c r="A1491" s="78" t="s">
        <v>3239</v>
      </c>
      <c r="B1491" s="78" t="s">
        <v>3245</v>
      </c>
      <c r="C1491" s="78" t="s">
        <v>3246</v>
      </c>
      <c r="D1491" s="79">
        <v>1500</v>
      </c>
    </row>
    <row r="1492" spans="1:4" ht="30">
      <c r="A1492" s="78" t="s">
        <v>3239</v>
      </c>
      <c r="B1492" s="78" t="s">
        <v>3245</v>
      </c>
      <c r="C1492" s="78" t="s">
        <v>3247</v>
      </c>
      <c r="D1492" s="79">
        <v>1500</v>
      </c>
    </row>
    <row r="1493" spans="1:4" ht="45">
      <c r="A1493" s="78" t="s">
        <v>3239</v>
      </c>
      <c r="B1493" s="78" t="s">
        <v>3245</v>
      </c>
      <c r="C1493" s="78" t="s">
        <v>3248</v>
      </c>
      <c r="D1493" s="79">
        <v>2700</v>
      </c>
    </row>
    <row r="1494" spans="1:4" ht="30">
      <c r="A1494" s="78" t="s">
        <v>3239</v>
      </c>
      <c r="B1494" s="78" t="s">
        <v>3245</v>
      </c>
      <c r="C1494" s="78" t="s">
        <v>3249</v>
      </c>
      <c r="D1494" s="79">
        <v>1200</v>
      </c>
    </row>
    <row r="1495" spans="1:4" ht="30">
      <c r="A1495" s="78" t="s">
        <v>3239</v>
      </c>
      <c r="B1495" s="78" t="s">
        <v>3245</v>
      </c>
      <c r="C1495" s="78" t="s">
        <v>3250</v>
      </c>
      <c r="D1495" s="79">
        <v>1200</v>
      </c>
    </row>
    <row r="1496" spans="1:4" ht="45">
      <c r="A1496" s="78" t="s">
        <v>3239</v>
      </c>
      <c r="B1496" s="78" t="s">
        <v>3245</v>
      </c>
      <c r="C1496" s="78" t="s">
        <v>3251</v>
      </c>
      <c r="D1496" s="78"/>
    </row>
    <row r="1497" spans="1:4" ht="30">
      <c r="A1497" s="78" t="s">
        <v>3239</v>
      </c>
      <c r="B1497" s="78" t="s">
        <v>3245</v>
      </c>
      <c r="C1497" s="78" t="s">
        <v>3252</v>
      </c>
      <c r="D1497" s="79">
        <v>2500</v>
      </c>
    </row>
    <row r="1498" spans="1:4" ht="45">
      <c r="A1498" s="78" t="s">
        <v>3239</v>
      </c>
      <c r="B1498" s="78" t="s">
        <v>3245</v>
      </c>
      <c r="C1498" s="78" t="s">
        <v>3253</v>
      </c>
      <c r="D1498" s="79">
        <v>4000</v>
      </c>
    </row>
    <row r="1499" spans="1:4" ht="45">
      <c r="A1499" s="78" t="s">
        <v>3239</v>
      </c>
      <c r="B1499" s="78" t="s">
        <v>3245</v>
      </c>
      <c r="C1499" s="78" t="s">
        <v>3254</v>
      </c>
      <c r="D1499" s="78"/>
    </row>
    <row r="1500" spans="1:4" ht="30">
      <c r="A1500" s="78" t="s">
        <v>3239</v>
      </c>
      <c r="B1500" s="78" t="s">
        <v>3245</v>
      </c>
      <c r="C1500" s="78" t="s">
        <v>3255</v>
      </c>
      <c r="D1500" s="78"/>
    </row>
    <row r="1501" spans="1:4">
      <c r="A1501" s="78" t="s">
        <v>3239</v>
      </c>
      <c r="B1501" s="78" t="s">
        <v>3256</v>
      </c>
      <c r="C1501" s="78" t="s">
        <v>3246</v>
      </c>
      <c r="D1501" s="79">
        <v>1200</v>
      </c>
    </row>
    <row r="1502" spans="1:4" ht="45">
      <c r="A1502" s="78" t="s">
        <v>3239</v>
      </c>
      <c r="B1502" s="78" t="s">
        <v>3256</v>
      </c>
      <c r="C1502" s="78" t="s">
        <v>3257</v>
      </c>
      <c r="D1502" s="79">
        <v>1100</v>
      </c>
    </row>
    <row r="1503" spans="1:4" ht="30">
      <c r="A1503" s="78" t="s">
        <v>3239</v>
      </c>
      <c r="B1503" s="78" t="s">
        <v>3256</v>
      </c>
      <c r="C1503" s="78" t="s">
        <v>3258</v>
      </c>
      <c r="D1503" s="78">
        <v>120</v>
      </c>
    </row>
    <row r="1504" spans="1:4" ht="60">
      <c r="A1504" s="78" t="s">
        <v>3239</v>
      </c>
      <c r="B1504" s="78" t="s">
        <v>3256</v>
      </c>
      <c r="C1504" s="78" t="s">
        <v>3259</v>
      </c>
      <c r="D1504" s="78"/>
    </row>
    <row r="1505" spans="1:4" ht="30">
      <c r="A1505" s="78" t="s">
        <v>3239</v>
      </c>
      <c r="B1505" s="78" t="s">
        <v>3256</v>
      </c>
      <c r="C1505" s="78" t="s">
        <v>3260</v>
      </c>
      <c r="D1505" s="78">
        <v>150</v>
      </c>
    </row>
    <row r="1506" spans="1:4" ht="30">
      <c r="A1506" s="78" t="s">
        <v>3239</v>
      </c>
      <c r="B1506" s="78" t="s">
        <v>3256</v>
      </c>
      <c r="C1506" s="78" t="s">
        <v>3261</v>
      </c>
      <c r="D1506" s="78">
        <v>300</v>
      </c>
    </row>
    <row r="1507" spans="1:4" ht="30">
      <c r="A1507" s="78" t="s">
        <v>3239</v>
      </c>
      <c r="B1507" s="78" t="s">
        <v>3256</v>
      </c>
      <c r="C1507" s="78" t="s">
        <v>3262</v>
      </c>
      <c r="D1507" s="78">
        <v>300</v>
      </c>
    </row>
    <row r="1508" spans="1:4" ht="45">
      <c r="A1508" s="78" t="s">
        <v>3239</v>
      </c>
      <c r="B1508" s="78" t="s">
        <v>3256</v>
      </c>
      <c r="C1508" s="78" t="s">
        <v>3263</v>
      </c>
      <c r="D1508" s="78"/>
    </row>
    <row r="1509" spans="1:4" ht="30">
      <c r="A1509" s="78" t="s">
        <v>3239</v>
      </c>
      <c r="B1509" s="78" t="s">
        <v>3256</v>
      </c>
      <c r="C1509" s="78" t="s">
        <v>3264</v>
      </c>
      <c r="D1509" s="78"/>
    </row>
    <row r="1510" spans="1:4" ht="45">
      <c r="A1510" s="78" t="s">
        <v>3239</v>
      </c>
      <c r="B1510" s="78" t="s">
        <v>3265</v>
      </c>
      <c r="C1510" s="78" t="s">
        <v>3266</v>
      </c>
      <c r="D1510" s="78"/>
    </row>
    <row r="1511" spans="1:4" ht="30">
      <c r="A1511" s="78" t="s">
        <v>3239</v>
      </c>
      <c r="B1511" s="78" t="s">
        <v>3267</v>
      </c>
      <c r="C1511" s="78" t="s">
        <v>3268</v>
      </c>
      <c r="D1511" s="78"/>
    </row>
    <row r="1512" spans="1:4" ht="30">
      <c r="A1512" s="78" t="s">
        <v>3239</v>
      </c>
      <c r="B1512" s="78" t="s">
        <v>3267</v>
      </c>
      <c r="C1512" s="78" t="s">
        <v>3269</v>
      </c>
      <c r="D1512" s="78"/>
    </row>
    <row r="1513" spans="1:4" ht="60">
      <c r="A1513" s="78" t="s">
        <v>3270</v>
      </c>
      <c r="B1513" s="78" t="s">
        <v>3271</v>
      </c>
      <c r="C1513" s="78" t="s">
        <v>3272</v>
      </c>
      <c r="D1513" s="79">
        <v>2000</v>
      </c>
    </row>
    <row r="1514" spans="1:4" ht="30">
      <c r="A1514" s="78" t="s">
        <v>3270</v>
      </c>
      <c r="B1514" s="78" t="s">
        <v>3273</v>
      </c>
      <c r="C1514" s="78" t="s">
        <v>3274</v>
      </c>
      <c r="D1514" s="78"/>
    </row>
    <row r="1515" spans="1:4" ht="45">
      <c r="A1515" s="78" t="s">
        <v>3270</v>
      </c>
      <c r="B1515" s="78" t="s">
        <v>3273</v>
      </c>
      <c r="C1515" s="78" t="s">
        <v>3275</v>
      </c>
      <c r="D1515" s="79">
        <v>4500</v>
      </c>
    </row>
    <row r="1516" spans="1:4" ht="45">
      <c r="A1516" s="78" t="s">
        <v>3270</v>
      </c>
      <c r="B1516" s="78" t="s">
        <v>3273</v>
      </c>
      <c r="C1516" s="78" t="s">
        <v>3276</v>
      </c>
      <c r="D1516" s="79">
        <v>5000</v>
      </c>
    </row>
    <row r="1517" spans="1:4" ht="30">
      <c r="A1517" s="78" t="s">
        <v>3277</v>
      </c>
      <c r="B1517" s="78" t="s">
        <v>3278</v>
      </c>
      <c r="C1517" s="78" t="s">
        <v>3279</v>
      </c>
      <c r="D1517" s="78"/>
    </row>
    <row r="1518" spans="1:4">
      <c r="A1518" s="78" t="s">
        <v>3277</v>
      </c>
      <c r="B1518" s="78" t="s">
        <v>3280</v>
      </c>
      <c r="C1518" s="78" t="s">
        <v>2672</v>
      </c>
      <c r="D1518" s="79">
        <v>2600</v>
      </c>
    </row>
    <row r="1519" spans="1:4" ht="45">
      <c r="A1519" s="78" t="s">
        <v>3277</v>
      </c>
      <c r="B1519" s="78" t="s">
        <v>3281</v>
      </c>
      <c r="C1519" s="78" t="s">
        <v>3282</v>
      </c>
      <c r="D1519" s="79">
        <v>1300</v>
      </c>
    </row>
    <row r="1520" spans="1:4" ht="30">
      <c r="A1520" s="78" t="s">
        <v>3277</v>
      </c>
      <c r="B1520" s="78" t="s">
        <v>3283</v>
      </c>
      <c r="C1520" s="78" t="s">
        <v>3284</v>
      </c>
      <c r="D1520" s="78"/>
    </row>
    <row r="1521" spans="1:4" ht="45">
      <c r="A1521" s="78" t="s">
        <v>3277</v>
      </c>
      <c r="B1521" s="78" t="s">
        <v>3285</v>
      </c>
      <c r="C1521" s="78" t="s">
        <v>3286</v>
      </c>
      <c r="D1521" s="78"/>
    </row>
    <row r="1522" spans="1:4" ht="30">
      <c r="A1522" s="78" t="s">
        <v>3277</v>
      </c>
      <c r="B1522" s="78" t="s">
        <v>3285</v>
      </c>
      <c r="C1522" s="78" t="s">
        <v>3287</v>
      </c>
      <c r="D1522" s="78"/>
    </row>
    <row r="1523" spans="1:4" ht="45">
      <c r="A1523" s="78" t="s">
        <v>3277</v>
      </c>
      <c r="B1523" s="78" t="s">
        <v>3285</v>
      </c>
      <c r="C1523" s="78" t="s">
        <v>3288</v>
      </c>
      <c r="D1523" s="78"/>
    </row>
    <row r="1524" spans="1:4" ht="45">
      <c r="A1524" s="78" t="s">
        <v>3277</v>
      </c>
      <c r="B1524" s="78" t="s">
        <v>3285</v>
      </c>
      <c r="C1524" s="78" t="s">
        <v>3289</v>
      </c>
      <c r="D1524" s="78"/>
    </row>
    <row r="1525" spans="1:4" ht="45">
      <c r="A1525" s="78" t="s">
        <v>3277</v>
      </c>
      <c r="B1525" s="78" t="s">
        <v>3285</v>
      </c>
      <c r="C1525" s="78" t="s">
        <v>3290</v>
      </c>
      <c r="D1525" s="78"/>
    </row>
    <row r="1526" spans="1:4" ht="45">
      <c r="A1526" s="78" t="s">
        <v>3277</v>
      </c>
      <c r="B1526" s="78" t="s">
        <v>3285</v>
      </c>
      <c r="C1526" s="78" t="s">
        <v>3291</v>
      </c>
      <c r="D1526" s="78"/>
    </row>
    <row r="1527" spans="1:4" ht="45">
      <c r="A1527" s="78" t="s">
        <v>3277</v>
      </c>
      <c r="B1527" s="78" t="s">
        <v>3285</v>
      </c>
      <c r="C1527" s="78" t="s">
        <v>3292</v>
      </c>
      <c r="D1527" s="78"/>
    </row>
    <row r="1528" spans="1:4" ht="60">
      <c r="A1528" s="78" t="s">
        <v>3277</v>
      </c>
      <c r="B1528" s="78" t="s">
        <v>3285</v>
      </c>
      <c r="C1528" s="78" t="s">
        <v>3293</v>
      </c>
      <c r="D1528" s="78"/>
    </row>
    <row r="1529" spans="1:4" ht="30">
      <c r="A1529" s="78" t="s">
        <v>3277</v>
      </c>
      <c r="B1529" s="78" t="s">
        <v>3294</v>
      </c>
      <c r="C1529" s="78" t="s">
        <v>3295</v>
      </c>
      <c r="D1529" s="78"/>
    </row>
    <row r="1530" spans="1:4" ht="45">
      <c r="A1530" s="78" t="s">
        <v>3277</v>
      </c>
      <c r="B1530" s="78" t="s">
        <v>3294</v>
      </c>
      <c r="C1530" s="78" t="s">
        <v>3296</v>
      </c>
      <c r="D1530" s="78"/>
    </row>
    <row r="1531" spans="1:4" ht="45">
      <c r="A1531" s="78" t="s">
        <v>3277</v>
      </c>
      <c r="B1531" s="78" t="s">
        <v>3297</v>
      </c>
      <c r="C1531" s="78" t="s">
        <v>3298</v>
      </c>
      <c r="D1531" s="79">
        <v>2400</v>
      </c>
    </row>
    <row r="1532" spans="1:4" ht="45">
      <c r="A1532" s="78" t="s">
        <v>3277</v>
      </c>
      <c r="B1532" s="78" t="s">
        <v>3297</v>
      </c>
      <c r="C1532" s="78" t="s">
        <v>3299</v>
      </c>
      <c r="D1532" s="78"/>
    </row>
    <row r="1533" spans="1:4" ht="60">
      <c r="A1533" s="78" t="s">
        <v>3277</v>
      </c>
      <c r="B1533" s="78" t="s">
        <v>3297</v>
      </c>
      <c r="C1533" s="78" t="s">
        <v>3300</v>
      </c>
      <c r="D1533" s="78"/>
    </row>
    <row r="1534" spans="1:4" ht="45">
      <c r="A1534" s="78" t="s">
        <v>3277</v>
      </c>
      <c r="B1534" s="78" t="s">
        <v>3301</v>
      </c>
      <c r="C1534" s="78" t="s">
        <v>3302</v>
      </c>
      <c r="D1534" s="78"/>
    </row>
    <row r="1535" spans="1:4" ht="30">
      <c r="A1535" s="78" t="s">
        <v>3277</v>
      </c>
      <c r="B1535" s="78" t="s">
        <v>3303</v>
      </c>
      <c r="C1535" s="78" t="s">
        <v>3304</v>
      </c>
      <c r="D1535" s="79">
        <v>2000</v>
      </c>
    </row>
    <row r="1536" spans="1:4" ht="45">
      <c r="A1536" s="78" t="s">
        <v>3277</v>
      </c>
      <c r="B1536" s="78" t="s">
        <v>3303</v>
      </c>
      <c r="C1536" s="78" t="s">
        <v>3305</v>
      </c>
      <c r="D1536" s="78"/>
    </row>
    <row r="1537" spans="1:6" ht="60">
      <c r="A1537" s="78" t="s">
        <v>3277</v>
      </c>
      <c r="B1537" s="78" t="s">
        <v>1282</v>
      </c>
      <c r="C1537" s="78" t="s">
        <v>3300</v>
      </c>
      <c r="D1537" s="79">
        <v>71200</v>
      </c>
    </row>
    <row r="1538" spans="1:6" ht="45">
      <c r="A1538" s="78" t="s">
        <v>3277</v>
      </c>
      <c r="B1538" s="78" t="s">
        <v>3306</v>
      </c>
      <c r="C1538" s="78" t="s">
        <v>3307</v>
      </c>
      <c r="D1538" s="78"/>
    </row>
    <row r="1539" spans="1:6" ht="30">
      <c r="A1539" s="78" t="s">
        <v>3277</v>
      </c>
      <c r="B1539" s="78" t="s">
        <v>3308</v>
      </c>
      <c r="C1539" s="78" t="s">
        <v>3309</v>
      </c>
      <c r="D1539" s="78"/>
    </row>
    <row r="1540" spans="1:6" ht="45">
      <c r="A1540" s="78" t="s">
        <v>3277</v>
      </c>
      <c r="B1540" s="78" t="s">
        <v>3308</v>
      </c>
      <c r="C1540" s="78" t="s">
        <v>3310</v>
      </c>
      <c r="D1540" s="79">
        <v>2150</v>
      </c>
    </row>
    <row r="1541" spans="1:6" ht="30">
      <c r="A1541" s="78" t="s">
        <v>19</v>
      </c>
      <c r="B1541" s="78" t="s">
        <v>3322</v>
      </c>
      <c r="C1541" s="78" t="s">
        <v>1128</v>
      </c>
      <c r="D1541" s="79">
        <v>45000</v>
      </c>
      <c r="E1541" s="78" t="s">
        <v>219</v>
      </c>
      <c r="F1541" s="80">
        <f t="shared" ref="F1541:F1557" si="5">D1541/595600</f>
        <v>7.5554063129617197E-2</v>
      </c>
    </row>
    <row r="1542" spans="1:6" ht="30">
      <c r="A1542" s="78" t="s">
        <v>19</v>
      </c>
      <c r="B1542" s="78" t="s">
        <v>3322</v>
      </c>
      <c r="C1542" s="78" t="s">
        <v>3323</v>
      </c>
      <c r="D1542" s="79">
        <v>60000</v>
      </c>
      <c r="E1542" s="78" t="s">
        <v>219</v>
      </c>
      <c r="F1542" s="80">
        <f t="shared" si="5"/>
        <v>0.10073875083948959</v>
      </c>
    </row>
    <row r="1543" spans="1:6" ht="45">
      <c r="A1543" s="78" t="s">
        <v>19</v>
      </c>
      <c r="B1543" s="78" t="s">
        <v>3322</v>
      </c>
      <c r="C1543" s="78" t="s">
        <v>3324</v>
      </c>
      <c r="D1543" s="79">
        <v>40000</v>
      </c>
      <c r="E1543" s="78" t="s">
        <v>219</v>
      </c>
      <c r="F1543" s="80">
        <f t="shared" si="5"/>
        <v>6.7159167226326394E-2</v>
      </c>
    </row>
    <row r="1544" spans="1:6" ht="30">
      <c r="A1544" s="78" t="s">
        <v>19</v>
      </c>
      <c r="B1544" s="78" t="s">
        <v>3328</v>
      </c>
      <c r="C1544" s="78" t="s">
        <v>3329</v>
      </c>
      <c r="D1544" s="79">
        <v>20000</v>
      </c>
      <c r="E1544" s="78" t="s">
        <v>219</v>
      </c>
      <c r="F1544" s="80">
        <f t="shared" si="5"/>
        <v>3.3579583613163197E-2</v>
      </c>
    </row>
    <row r="1545" spans="1:6" ht="30">
      <c r="A1545" s="78" t="s">
        <v>19</v>
      </c>
      <c r="B1545" s="78" t="s">
        <v>3332</v>
      </c>
      <c r="C1545" s="78" t="s">
        <v>3312</v>
      </c>
      <c r="D1545" s="79">
        <v>30000</v>
      </c>
      <c r="E1545" s="78" t="s">
        <v>219</v>
      </c>
      <c r="F1545" s="80">
        <f t="shared" si="5"/>
        <v>5.0369375419744795E-2</v>
      </c>
    </row>
    <row r="1546" spans="1:6">
      <c r="A1546" s="78" t="s">
        <v>19</v>
      </c>
      <c r="B1546" s="78" t="s">
        <v>3335</v>
      </c>
      <c r="C1546" s="78" t="s">
        <v>3336</v>
      </c>
      <c r="D1546" s="79">
        <v>52000</v>
      </c>
      <c r="E1546" s="78" t="s">
        <v>219</v>
      </c>
      <c r="F1546" s="80">
        <f t="shared" si="5"/>
        <v>8.7306917394224318E-2</v>
      </c>
    </row>
    <row r="1547" spans="1:6">
      <c r="A1547" s="78" t="s">
        <v>19</v>
      </c>
      <c r="B1547" s="78" t="s">
        <v>3335</v>
      </c>
      <c r="C1547" s="78" t="s">
        <v>3337</v>
      </c>
      <c r="D1547" s="79">
        <v>9600</v>
      </c>
      <c r="E1547" s="78" t="s">
        <v>219</v>
      </c>
      <c r="F1547" s="80">
        <f t="shared" si="5"/>
        <v>1.6118200134318333E-2</v>
      </c>
    </row>
    <row r="1548" spans="1:6">
      <c r="A1548" s="78" t="s">
        <v>19</v>
      </c>
      <c r="B1548" s="78" t="s">
        <v>3335</v>
      </c>
      <c r="C1548" s="78" t="s">
        <v>3312</v>
      </c>
      <c r="D1548" s="79">
        <v>72000</v>
      </c>
      <c r="E1548" s="78" t="s">
        <v>219</v>
      </c>
      <c r="F1548" s="80">
        <f t="shared" si="5"/>
        <v>0.12088650100738751</v>
      </c>
    </row>
    <row r="1549" spans="1:6" ht="30">
      <c r="A1549" s="78" t="s">
        <v>19</v>
      </c>
      <c r="B1549" s="78" t="s">
        <v>3311</v>
      </c>
      <c r="C1549" s="78" t="s">
        <v>3312</v>
      </c>
      <c r="D1549" s="79">
        <v>18000</v>
      </c>
      <c r="E1549" s="78" t="s">
        <v>210</v>
      </c>
      <c r="F1549" s="80">
        <f t="shared" si="5"/>
        <v>3.0221625251846879E-2</v>
      </c>
    </row>
    <row r="1550" spans="1:6" ht="30">
      <c r="A1550" s="78" t="s">
        <v>19</v>
      </c>
      <c r="B1550" s="78" t="s">
        <v>3317</v>
      </c>
      <c r="C1550" s="78" t="s">
        <v>3318</v>
      </c>
      <c r="D1550" s="79">
        <v>25000</v>
      </c>
      <c r="E1550" s="78" t="s">
        <v>210</v>
      </c>
      <c r="F1550" s="80">
        <f t="shared" si="5"/>
        <v>4.1974479516453993E-2</v>
      </c>
    </row>
    <row r="1551" spans="1:6" ht="30">
      <c r="A1551" s="78" t="s">
        <v>19</v>
      </c>
      <c r="B1551" s="78" t="s">
        <v>3319</v>
      </c>
      <c r="C1551" s="78" t="s">
        <v>1128</v>
      </c>
      <c r="D1551" s="79">
        <v>20000</v>
      </c>
      <c r="E1551" s="78" t="s">
        <v>210</v>
      </c>
      <c r="F1551" s="80">
        <f t="shared" si="5"/>
        <v>3.3579583613163197E-2</v>
      </c>
    </row>
    <row r="1552" spans="1:6">
      <c r="A1552" s="78" t="s">
        <v>19</v>
      </c>
      <c r="B1552" s="78" t="s">
        <v>3320</v>
      </c>
      <c r="C1552" s="78" t="s">
        <v>3321</v>
      </c>
      <c r="D1552" s="79">
        <v>30000</v>
      </c>
      <c r="E1552" s="78" t="s">
        <v>210</v>
      </c>
      <c r="F1552" s="80">
        <f t="shared" si="5"/>
        <v>5.0369375419744795E-2</v>
      </c>
    </row>
    <row r="1553" spans="1:6" ht="30">
      <c r="A1553" s="78" t="s">
        <v>19</v>
      </c>
      <c r="B1553" s="78" t="s">
        <v>3325</v>
      </c>
      <c r="C1553" s="78" t="s">
        <v>3314</v>
      </c>
      <c r="D1553" s="78">
        <v>35000</v>
      </c>
      <c r="E1553" s="78" t="s">
        <v>210</v>
      </c>
      <c r="F1553" s="80">
        <f t="shared" si="5"/>
        <v>5.8764271323035591E-2</v>
      </c>
    </row>
    <row r="1554" spans="1:6" ht="60">
      <c r="A1554" s="78" t="s">
        <v>19</v>
      </c>
      <c r="B1554" s="78" t="s">
        <v>3326</v>
      </c>
      <c r="C1554" s="78" t="s">
        <v>3327</v>
      </c>
      <c r="D1554" s="79">
        <v>20000</v>
      </c>
      <c r="E1554" s="78" t="s">
        <v>221</v>
      </c>
      <c r="F1554" s="80">
        <f t="shared" si="5"/>
        <v>3.3579583613163197E-2</v>
      </c>
    </row>
    <row r="1555" spans="1:6" ht="30">
      <c r="A1555" s="78" t="s">
        <v>19</v>
      </c>
      <c r="B1555" s="78" t="s">
        <v>3330</v>
      </c>
      <c r="C1555" s="78" t="s">
        <v>1128</v>
      </c>
      <c r="D1555" s="79">
        <v>66000</v>
      </c>
      <c r="E1555" s="78" t="s">
        <v>216</v>
      </c>
      <c r="F1555" s="80">
        <f t="shared" si="5"/>
        <v>0.11081262592343855</v>
      </c>
    </row>
    <row r="1556" spans="1:6" ht="45">
      <c r="A1556" s="78" t="s">
        <v>19</v>
      </c>
      <c r="B1556" s="78" t="s">
        <v>3339</v>
      </c>
      <c r="C1556" s="78" t="s">
        <v>3340</v>
      </c>
      <c r="D1556" s="79">
        <v>22000</v>
      </c>
      <c r="E1556" s="78" t="s">
        <v>218</v>
      </c>
      <c r="F1556" s="80">
        <f t="shared" si="5"/>
        <v>3.6937541974479515E-2</v>
      </c>
    </row>
    <row r="1557" spans="1:6" ht="30">
      <c r="A1557" s="78" t="s">
        <v>19</v>
      </c>
      <c r="B1557" s="78" t="s">
        <v>3333</v>
      </c>
      <c r="C1557" s="78" t="s">
        <v>3334</v>
      </c>
      <c r="D1557" s="79">
        <v>31000</v>
      </c>
      <c r="E1557" s="78" t="s">
        <v>209</v>
      </c>
      <c r="F1557" s="80">
        <f t="shared" si="5"/>
        <v>5.2048354600402955E-2</v>
      </c>
    </row>
    <row r="1558" spans="1:6" ht="30">
      <c r="A1558" s="78" t="s">
        <v>19</v>
      </c>
      <c r="B1558" s="78" t="s">
        <v>3313</v>
      </c>
      <c r="C1558" s="78" t="s">
        <v>3314</v>
      </c>
      <c r="D1558" s="78"/>
    </row>
    <row r="1559" spans="1:6" ht="45">
      <c r="A1559" s="78" t="s">
        <v>19</v>
      </c>
      <c r="B1559" s="78" t="s">
        <v>3315</v>
      </c>
      <c r="C1559" s="78" t="s">
        <v>3316</v>
      </c>
      <c r="D1559" s="78"/>
    </row>
    <row r="1560" spans="1:6" ht="30">
      <c r="A1560" s="78" t="s">
        <v>19</v>
      </c>
      <c r="B1560" s="78" t="s">
        <v>3330</v>
      </c>
      <c r="C1560" s="78" t="s">
        <v>3331</v>
      </c>
      <c r="D1560" s="78"/>
      <c r="E1560" s="78"/>
    </row>
    <row r="1561" spans="1:6" ht="30">
      <c r="A1561" s="78" t="s">
        <v>19</v>
      </c>
      <c r="B1561" s="78" t="s">
        <v>875</v>
      </c>
      <c r="C1561" s="78" t="s">
        <v>3338</v>
      </c>
      <c r="D1561" s="78"/>
    </row>
    <row r="1562" spans="1:6" ht="60">
      <c r="A1562" s="78" t="s">
        <v>19</v>
      </c>
      <c r="B1562" s="78" t="s">
        <v>3341</v>
      </c>
      <c r="C1562" s="78" t="s">
        <v>3342</v>
      </c>
      <c r="D1562" s="78"/>
    </row>
    <row r="1563" spans="1:6" ht="45">
      <c r="A1563" s="78" t="s">
        <v>20</v>
      </c>
      <c r="B1563" s="78" t="s">
        <v>3343</v>
      </c>
      <c r="C1563" s="78" t="s">
        <v>3344</v>
      </c>
      <c r="D1563" s="78">
        <v>800</v>
      </c>
      <c r="E1563" s="78" t="s">
        <v>226</v>
      </c>
    </row>
    <row r="1564" spans="1:6" ht="30">
      <c r="A1564" s="78" t="s">
        <v>20</v>
      </c>
      <c r="B1564" s="78" t="s">
        <v>3345</v>
      </c>
      <c r="C1564" s="78" t="s">
        <v>3347</v>
      </c>
      <c r="D1564" s="79">
        <v>1500</v>
      </c>
      <c r="E1564" s="78" t="s">
        <v>226</v>
      </c>
    </row>
    <row r="1565" spans="1:6" ht="60">
      <c r="A1565" s="78" t="s">
        <v>20</v>
      </c>
      <c r="B1565" s="78" t="s">
        <v>3348</v>
      </c>
      <c r="C1565" s="78" t="s">
        <v>3349</v>
      </c>
      <c r="D1565" s="79">
        <v>30000</v>
      </c>
      <c r="E1565" s="78" t="s">
        <v>224</v>
      </c>
    </row>
    <row r="1566" spans="1:6" ht="45">
      <c r="A1566" s="78" t="s">
        <v>20</v>
      </c>
      <c r="B1566" s="78" t="s">
        <v>3345</v>
      </c>
      <c r="C1566" s="78" t="s">
        <v>3346</v>
      </c>
      <c r="D1566" s="78"/>
    </row>
    <row r="1567" spans="1:6" ht="60">
      <c r="A1567" s="78" t="s">
        <v>20</v>
      </c>
      <c r="B1567" s="78" t="s">
        <v>3350</v>
      </c>
      <c r="C1567" s="78" t="s">
        <v>3351</v>
      </c>
      <c r="D1567" s="78"/>
    </row>
    <row r="1568" spans="1:6" ht="45">
      <c r="A1568" s="78" t="s">
        <v>20</v>
      </c>
      <c r="B1568" s="78" t="s">
        <v>3352</v>
      </c>
      <c r="C1568" s="78" t="s">
        <v>3353</v>
      </c>
      <c r="D1568" s="78"/>
    </row>
    <row r="1569" spans="1:6" ht="30">
      <c r="A1569" s="78" t="s">
        <v>20</v>
      </c>
      <c r="B1569" s="78" t="s">
        <v>707</v>
      </c>
      <c r="C1569" s="78" t="s">
        <v>3354</v>
      </c>
      <c r="D1569" s="78"/>
    </row>
    <row r="1570" spans="1:6" ht="30">
      <c r="A1570" s="78" t="s">
        <v>20</v>
      </c>
      <c r="B1570" s="78" t="s">
        <v>3355</v>
      </c>
      <c r="C1570" s="78" t="s">
        <v>3356</v>
      </c>
      <c r="D1570" s="78"/>
    </row>
    <row r="1571" spans="1:6" ht="60">
      <c r="A1571" s="78" t="s">
        <v>20</v>
      </c>
      <c r="B1571" s="78" t="s">
        <v>3357</v>
      </c>
      <c r="C1571" s="78" t="s">
        <v>1241</v>
      </c>
      <c r="D1571" s="78"/>
    </row>
    <row r="1572" spans="1:6" ht="45">
      <c r="A1572" s="78" t="s">
        <v>21</v>
      </c>
      <c r="B1572" s="78" t="s">
        <v>3360</v>
      </c>
      <c r="C1572" s="78" t="s">
        <v>3361</v>
      </c>
      <c r="D1572" s="79">
        <v>2000</v>
      </c>
      <c r="E1572" s="78" t="s">
        <v>231</v>
      </c>
      <c r="F1572" s="80">
        <f>D1572/228000</f>
        <v>8.771929824561403E-3</v>
      </c>
    </row>
    <row r="1573" spans="1:6" ht="30">
      <c r="A1573" s="78" t="s">
        <v>21</v>
      </c>
      <c r="B1573" s="78" t="s">
        <v>3362</v>
      </c>
      <c r="C1573" s="78" t="s">
        <v>3363</v>
      </c>
      <c r="D1573" s="79">
        <v>9000</v>
      </c>
      <c r="E1573" s="78" t="s">
        <v>233</v>
      </c>
      <c r="F1573" s="80">
        <f>D1573/228000</f>
        <v>3.9473684210526314E-2</v>
      </c>
    </row>
    <row r="1574" spans="1:6" ht="30">
      <c r="A1574" s="78" t="s">
        <v>21</v>
      </c>
      <c r="B1574" s="78" t="s">
        <v>736</v>
      </c>
      <c r="C1574" s="78" t="s">
        <v>3369</v>
      </c>
      <c r="D1574" s="79">
        <v>75000</v>
      </c>
      <c r="E1574" s="78" t="s">
        <v>229</v>
      </c>
      <c r="F1574" s="80">
        <f>D1574/228000</f>
        <v>0.32894736842105265</v>
      </c>
    </row>
    <row r="1575" spans="1:6" ht="60">
      <c r="A1575" s="78" t="s">
        <v>21</v>
      </c>
      <c r="B1575" s="78" t="s">
        <v>3364</v>
      </c>
      <c r="C1575" s="78" t="s">
        <v>3365</v>
      </c>
      <c r="D1575" s="79">
        <v>22000</v>
      </c>
      <c r="E1575" s="78" t="s">
        <v>235</v>
      </c>
      <c r="F1575" s="80">
        <f>D1575/228000</f>
        <v>9.6491228070175433E-2</v>
      </c>
    </row>
    <row r="1576" spans="1:6" ht="60">
      <c r="A1576" s="78" t="s">
        <v>21</v>
      </c>
      <c r="B1576" s="78" t="s">
        <v>3368</v>
      </c>
      <c r="C1576" s="78" t="s">
        <v>3365</v>
      </c>
      <c r="D1576" s="79">
        <v>120000</v>
      </c>
      <c r="E1576" s="78" t="s">
        <v>235</v>
      </c>
      <c r="F1576" s="80">
        <f>D1576/228000</f>
        <v>0.52631578947368418</v>
      </c>
    </row>
    <row r="1577" spans="1:6" ht="60">
      <c r="A1577" s="78" t="s">
        <v>21</v>
      </c>
      <c r="B1577" s="78" t="s">
        <v>3358</v>
      </c>
      <c r="C1577" s="78" t="s">
        <v>3359</v>
      </c>
      <c r="D1577" s="78"/>
    </row>
    <row r="1578" spans="1:6">
      <c r="A1578" s="78" t="s">
        <v>21</v>
      </c>
      <c r="B1578" s="78" t="s">
        <v>3366</v>
      </c>
      <c r="C1578" s="78" t="s">
        <v>3367</v>
      </c>
      <c r="D1578" s="78"/>
      <c r="E1578" s="78"/>
    </row>
    <row r="1579" spans="1:6">
      <c r="A1579" s="78" t="s">
        <v>21</v>
      </c>
      <c r="B1579" s="78" t="s">
        <v>736</v>
      </c>
      <c r="C1579" s="78" t="s">
        <v>3370</v>
      </c>
      <c r="D1579" s="78"/>
    </row>
    <row r="1580" spans="1:6" ht="30">
      <c r="A1580" s="78" t="s">
        <v>3371</v>
      </c>
      <c r="B1580" s="78" t="s">
        <v>3372</v>
      </c>
      <c r="C1580" s="78" t="s">
        <v>3373</v>
      </c>
      <c r="D1580" s="79">
        <v>15000</v>
      </c>
    </row>
    <row r="1581" spans="1:6" ht="45">
      <c r="A1581" s="78" t="s">
        <v>3371</v>
      </c>
      <c r="B1581" s="78" t="s">
        <v>3374</v>
      </c>
      <c r="C1581" s="78" t="s">
        <v>3375</v>
      </c>
      <c r="D1581" s="78"/>
    </row>
    <row r="1582" spans="1:6" ht="30">
      <c r="A1582" s="78" t="s">
        <v>3371</v>
      </c>
      <c r="B1582" s="78" t="s">
        <v>3376</v>
      </c>
      <c r="C1582" s="78" t="s">
        <v>3377</v>
      </c>
      <c r="D1582" s="79">
        <v>10000</v>
      </c>
    </row>
    <row r="1583" spans="1:6" ht="75">
      <c r="A1583" s="78" t="s">
        <v>3371</v>
      </c>
      <c r="B1583" s="78" t="s">
        <v>3378</v>
      </c>
      <c r="C1583" s="78" t="s">
        <v>3379</v>
      </c>
      <c r="D1583" s="78"/>
    </row>
    <row r="1584" spans="1:6" ht="30">
      <c r="A1584" s="78" t="s">
        <v>3371</v>
      </c>
      <c r="B1584" s="78" t="s">
        <v>3380</v>
      </c>
      <c r="C1584" s="78" t="s">
        <v>3381</v>
      </c>
      <c r="D1584" s="79">
        <v>10000</v>
      </c>
    </row>
    <row r="1585" spans="1:4" ht="30">
      <c r="A1585" s="78" t="s">
        <v>3371</v>
      </c>
      <c r="B1585" s="78" t="s">
        <v>3382</v>
      </c>
      <c r="C1585" s="78" t="s">
        <v>3383</v>
      </c>
      <c r="D1585" s="78"/>
    </row>
    <row r="1586" spans="1:4" ht="45">
      <c r="A1586" s="78" t="s">
        <v>3371</v>
      </c>
      <c r="B1586" s="78" t="s">
        <v>3384</v>
      </c>
      <c r="C1586" s="78" t="s">
        <v>3385</v>
      </c>
      <c r="D1586" s="79">
        <v>75000</v>
      </c>
    </row>
    <row r="1587" spans="1:4" ht="30">
      <c r="A1587" s="78" t="s">
        <v>3371</v>
      </c>
      <c r="B1587" s="78" t="s">
        <v>3386</v>
      </c>
      <c r="C1587" s="78" t="s">
        <v>3387</v>
      </c>
      <c r="D1587" s="79">
        <v>12000</v>
      </c>
    </row>
    <row r="1588" spans="1:4" ht="30">
      <c r="A1588" s="78" t="s">
        <v>3371</v>
      </c>
      <c r="B1588" s="78" t="s">
        <v>3388</v>
      </c>
      <c r="C1588" s="78" t="s">
        <v>3389</v>
      </c>
      <c r="D1588" s="79">
        <v>10000</v>
      </c>
    </row>
    <row r="1589" spans="1:4" ht="45">
      <c r="A1589" s="78" t="s">
        <v>3371</v>
      </c>
      <c r="B1589" s="78" t="s">
        <v>3388</v>
      </c>
      <c r="C1589" s="78" t="s">
        <v>3390</v>
      </c>
      <c r="D1589" s="78"/>
    </row>
    <row r="1590" spans="1:4" ht="30">
      <c r="A1590" s="78" t="s">
        <v>3371</v>
      </c>
      <c r="B1590" s="78" t="s">
        <v>3391</v>
      </c>
      <c r="C1590" s="78" t="s">
        <v>3392</v>
      </c>
      <c r="D1590" s="78"/>
    </row>
    <row r="1591" spans="1:4">
      <c r="A1591" s="78" t="s">
        <v>3371</v>
      </c>
      <c r="B1591" s="78" t="s">
        <v>3393</v>
      </c>
      <c r="C1591" s="78" t="s">
        <v>3394</v>
      </c>
      <c r="D1591" s="79">
        <v>30000</v>
      </c>
    </row>
    <row r="1592" spans="1:4" ht="30">
      <c r="A1592" s="78" t="s">
        <v>3371</v>
      </c>
      <c r="B1592" s="78" t="s">
        <v>3395</v>
      </c>
      <c r="C1592" s="78" t="s">
        <v>3396</v>
      </c>
      <c r="D1592" s="79">
        <v>55000</v>
      </c>
    </row>
    <row r="1593" spans="1:4" ht="30">
      <c r="A1593" s="78" t="s">
        <v>3371</v>
      </c>
      <c r="B1593" s="78" t="s">
        <v>3397</v>
      </c>
      <c r="C1593" s="78" t="s">
        <v>3398</v>
      </c>
      <c r="D1593" s="79">
        <v>10000</v>
      </c>
    </row>
    <row r="1594" spans="1:4">
      <c r="A1594" s="78" t="s">
        <v>3371</v>
      </c>
      <c r="B1594" s="78" t="s">
        <v>3399</v>
      </c>
      <c r="C1594" s="78" t="s">
        <v>3400</v>
      </c>
      <c r="D1594" s="78"/>
    </row>
    <row r="1595" spans="1:4" ht="30">
      <c r="A1595" s="78" t="s">
        <v>3371</v>
      </c>
      <c r="B1595" s="78" t="s">
        <v>3401</v>
      </c>
      <c r="C1595" s="78" t="s">
        <v>3402</v>
      </c>
      <c r="D1595" s="79">
        <v>15000</v>
      </c>
    </row>
    <row r="1596" spans="1:4" ht="30">
      <c r="A1596" s="78" t="s">
        <v>3371</v>
      </c>
      <c r="B1596" s="78" t="s">
        <v>3403</v>
      </c>
      <c r="C1596" s="78" t="s">
        <v>3404</v>
      </c>
      <c r="D1596" s="79">
        <v>50000</v>
      </c>
    </row>
    <row r="1597" spans="1:4">
      <c r="A1597" s="78" t="s">
        <v>3371</v>
      </c>
      <c r="B1597" s="78" t="s">
        <v>3405</v>
      </c>
      <c r="C1597" s="78" t="s">
        <v>3406</v>
      </c>
      <c r="D1597" s="79">
        <v>50000</v>
      </c>
    </row>
    <row r="1598" spans="1:4" ht="30">
      <c r="A1598" s="78" t="s">
        <v>3371</v>
      </c>
      <c r="B1598" s="78" t="s">
        <v>3407</v>
      </c>
      <c r="C1598" s="78" t="s">
        <v>3408</v>
      </c>
      <c r="D1598" s="79">
        <v>20000</v>
      </c>
    </row>
    <row r="1599" spans="1:4" ht="30">
      <c r="A1599" s="78" t="s">
        <v>3371</v>
      </c>
      <c r="B1599" s="78" t="s">
        <v>3409</v>
      </c>
      <c r="C1599" s="78" t="s">
        <v>3410</v>
      </c>
      <c r="D1599" s="78"/>
    </row>
    <row r="1600" spans="1:4">
      <c r="A1600" s="78" t="s">
        <v>3371</v>
      </c>
      <c r="B1600" s="78" t="s">
        <v>3409</v>
      </c>
      <c r="C1600" s="78" t="s">
        <v>3411</v>
      </c>
      <c r="D1600" s="79">
        <v>15000</v>
      </c>
    </row>
    <row r="1601" spans="1:4" ht="30">
      <c r="A1601" s="78" t="s">
        <v>3371</v>
      </c>
      <c r="B1601" s="78" t="s">
        <v>3409</v>
      </c>
      <c r="C1601" s="78" t="s">
        <v>3412</v>
      </c>
      <c r="D1601" s="79">
        <v>15000</v>
      </c>
    </row>
    <row r="1602" spans="1:4" ht="30">
      <c r="A1602" s="78" t="s">
        <v>3371</v>
      </c>
      <c r="B1602" s="78" t="s">
        <v>3413</v>
      </c>
      <c r="C1602" s="78" t="s">
        <v>3414</v>
      </c>
      <c r="D1602" s="79">
        <v>15000</v>
      </c>
    </row>
    <row r="1603" spans="1:4" ht="45">
      <c r="A1603" s="78" t="s">
        <v>3371</v>
      </c>
      <c r="B1603" s="78" t="s">
        <v>3415</v>
      </c>
      <c r="C1603" s="78" t="s">
        <v>3416</v>
      </c>
      <c r="D1603" s="78"/>
    </row>
    <row r="1604" spans="1:4" ht="30">
      <c r="A1604" s="78" t="s">
        <v>3371</v>
      </c>
      <c r="B1604" s="78" t="s">
        <v>3417</v>
      </c>
      <c r="C1604" s="78" t="s">
        <v>3418</v>
      </c>
      <c r="D1604" s="79">
        <v>35000</v>
      </c>
    </row>
    <row r="1605" spans="1:4" ht="30">
      <c r="A1605" s="78" t="s">
        <v>3371</v>
      </c>
      <c r="B1605" s="78" t="s">
        <v>3419</v>
      </c>
      <c r="C1605" s="78" t="s">
        <v>3420</v>
      </c>
      <c r="D1605" s="78"/>
    </row>
    <row r="1606" spans="1:4" ht="45">
      <c r="A1606" s="78" t="s">
        <v>3371</v>
      </c>
      <c r="B1606" s="78" t="s">
        <v>3421</v>
      </c>
      <c r="C1606" s="78" t="s">
        <v>3422</v>
      </c>
      <c r="D1606" s="79">
        <v>40000</v>
      </c>
    </row>
    <row r="1607" spans="1:4" ht="45">
      <c r="A1607" s="78" t="s">
        <v>3371</v>
      </c>
      <c r="B1607" s="78" t="s">
        <v>3423</v>
      </c>
      <c r="C1607" s="78" t="s">
        <v>3424</v>
      </c>
      <c r="D1607" s="79">
        <v>12000</v>
      </c>
    </row>
    <row r="1608" spans="1:4" ht="30">
      <c r="A1608" s="78" t="s">
        <v>3371</v>
      </c>
      <c r="B1608" s="78" t="s">
        <v>3425</v>
      </c>
      <c r="C1608" s="78" t="s">
        <v>3426</v>
      </c>
      <c r="D1608" s="78"/>
    </row>
    <row r="1609" spans="1:4" ht="30">
      <c r="A1609" s="78" t="s">
        <v>3371</v>
      </c>
      <c r="B1609" s="78" t="s">
        <v>3425</v>
      </c>
      <c r="C1609" s="78" t="s">
        <v>3427</v>
      </c>
      <c r="D1609" s="79">
        <v>10000</v>
      </c>
    </row>
    <row r="1610" spans="1:4" ht="45">
      <c r="A1610" s="78" t="s">
        <v>3428</v>
      </c>
      <c r="B1610" s="78" t="s">
        <v>3429</v>
      </c>
      <c r="C1610" s="78" t="s">
        <v>3430</v>
      </c>
      <c r="D1610" s="79">
        <v>28000</v>
      </c>
    </row>
    <row r="1611" spans="1:4" ht="30">
      <c r="A1611" s="78" t="s">
        <v>3428</v>
      </c>
      <c r="B1611" s="78" t="s">
        <v>3431</v>
      </c>
      <c r="C1611" s="78" t="s">
        <v>3432</v>
      </c>
      <c r="D1611" s="78"/>
    </row>
    <row r="1612" spans="1:4">
      <c r="A1612" s="78" t="s">
        <v>3428</v>
      </c>
      <c r="B1612" s="78" t="s">
        <v>3431</v>
      </c>
      <c r="C1612" s="78" t="s">
        <v>3433</v>
      </c>
      <c r="D1612" s="79">
        <v>22000</v>
      </c>
    </row>
    <row r="1613" spans="1:4" ht="45">
      <c r="A1613" s="78" t="s">
        <v>3428</v>
      </c>
      <c r="B1613" s="78" t="s">
        <v>3431</v>
      </c>
      <c r="C1613" s="78" t="s">
        <v>3434</v>
      </c>
      <c r="D1613" s="79">
        <v>18000</v>
      </c>
    </row>
    <row r="1614" spans="1:4" ht="30">
      <c r="A1614" s="78" t="s">
        <v>3428</v>
      </c>
      <c r="B1614" s="78" t="s">
        <v>3431</v>
      </c>
      <c r="C1614" s="78" t="s">
        <v>3435</v>
      </c>
      <c r="D1614" s="78"/>
    </row>
    <row r="1615" spans="1:4" ht="30">
      <c r="A1615" s="78" t="s">
        <v>3428</v>
      </c>
      <c r="B1615" s="78" t="s">
        <v>3436</v>
      </c>
      <c r="C1615" s="78" t="s">
        <v>3437</v>
      </c>
      <c r="D1615" s="79">
        <v>120000</v>
      </c>
    </row>
    <row r="1616" spans="1:4" ht="45">
      <c r="A1616" s="78" t="s">
        <v>3428</v>
      </c>
      <c r="B1616" s="78" t="s">
        <v>3438</v>
      </c>
      <c r="C1616" s="78" t="s">
        <v>3439</v>
      </c>
      <c r="D1616" s="78"/>
    </row>
    <row r="1617" spans="1:5" ht="45">
      <c r="A1617" s="78" t="s">
        <v>3428</v>
      </c>
      <c r="B1617" s="78" t="s">
        <v>3438</v>
      </c>
      <c r="C1617" s="78" t="s">
        <v>3440</v>
      </c>
      <c r="D1617" s="78"/>
    </row>
    <row r="1618" spans="1:5">
      <c r="A1618" s="78" t="s">
        <v>3428</v>
      </c>
      <c r="B1618" s="78" t="s">
        <v>3441</v>
      </c>
      <c r="C1618" s="78" t="s">
        <v>3442</v>
      </c>
      <c r="D1618" s="79">
        <v>100000</v>
      </c>
    </row>
    <row r="1619" spans="1:5" ht="45">
      <c r="A1619" s="78" t="s">
        <v>31</v>
      </c>
      <c r="B1619" s="78" t="s">
        <v>3447</v>
      </c>
      <c r="C1619" s="78" t="s">
        <v>3448</v>
      </c>
      <c r="D1619" s="79">
        <v>75000</v>
      </c>
      <c r="E1619" s="78" t="s">
        <v>314</v>
      </c>
    </row>
    <row r="1620" spans="1:5">
      <c r="A1620" s="78" t="s">
        <v>31</v>
      </c>
      <c r="B1620" s="78" t="s">
        <v>3445</v>
      </c>
      <c r="C1620" s="78" t="s">
        <v>3446</v>
      </c>
      <c r="D1620" s="79">
        <v>45000</v>
      </c>
      <c r="E1620" s="78" t="s">
        <v>313</v>
      </c>
    </row>
    <row r="1621" spans="1:5">
      <c r="A1621" s="78" t="s">
        <v>31</v>
      </c>
      <c r="B1621" s="78" t="s">
        <v>3449</v>
      </c>
      <c r="C1621" s="78" t="s">
        <v>3450</v>
      </c>
      <c r="D1621" s="79">
        <v>2600</v>
      </c>
      <c r="E1621" s="78" t="s">
        <v>313</v>
      </c>
    </row>
    <row r="1622" spans="1:5">
      <c r="A1622" s="78" t="s">
        <v>31</v>
      </c>
      <c r="B1622" s="78" t="s">
        <v>3443</v>
      </c>
      <c r="C1622" s="78" t="s">
        <v>3444</v>
      </c>
      <c r="D1622" s="79">
        <v>2000</v>
      </c>
      <c r="E1622" s="78" t="s">
        <v>312</v>
      </c>
    </row>
    <row r="1623" spans="1:5" ht="45">
      <c r="A1623" s="78" t="s">
        <v>3451</v>
      </c>
      <c r="B1623" s="78" t="s">
        <v>3452</v>
      </c>
      <c r="C1623" s="78" t="s">
        <v>3453</v>
      </c>
      <c r="D1623" s="78"/>
    </row>
    <row r="1624" spans="1:5">
      <c r="A1624" s="78" t="s">
        <v>3451</v>
      </c>
      <c r="B1624" s="78" t="s">
        <v>3452</v>
      </c>
      <c r="C1624" s="78" t="s">
        <v>3454</v>
      </c>
      <c r="D1624" s="79">
        <v>10000</v>
      </c>
    </row>
    <row r="1625" spans="1:5" ht="30">
      <c r="A1625" s="78" t="s">
        <v>3451</v>
      </c>
      <c r="B1625" s="78" t="s">
        <v>3452</v>
      </c>
      <c r="C1625" s="78" t="s">
        <v>3455</v>
      </c>
      <c r="D1625" s="78"/>
    </row>
    <row r="1626" spans="1:5" ht="30">
      <c r="A1626" s="78" t="s">
        <v>3451</v>
      </c>
      <c r="B1626" s="78" t="s">
        <v>3452</v>
      </c>
      <c r="C1626" s="78" t="s">
        <v>1062</v>
      </c>
      <c r="D1626" s="79">
        <v>9000</v>
      </c>
    </row>
    <row r="1627" spans="1:5" ht="30">
      <c r="A1627" s="78" t="s">
        <v>3451</v>
      </c>
      <c r="B1627" s="78" t="s">
        <v>3452</v>
      </c>
      <c r="C1627" s="78" t="s">
        <v>3456</v>
      </c>
      <c r="D1627" s="79">
        <v>1800</v>
      </c>
    </row>
    <row r="1628" spans="1:5" ht="30">
      <c r="A1628" s="78" t="s">
        <v>3451</v>
      </c>
      <c r="B1628" s="78" t="s">
        <v>3452</v>
      </c>
      <c r="C1628" s="78" t="s">
        <v>3457</v>
      </c>
      <c r="D1628" s="79">
        <v>6000</v>
      </c>
    </row>
    <row r="1629" spans="1:5">
      <c r="A1629" s="78" t="s">
        <v>3451</v>
      </c>
      <c r="B1629" s="78" t="s">
        <v>3452</v>
      </c>
      <c r="C1629" s="78" t="s">
        <v>3458</v>
      </c>
      <c r="D1629" s="78"/>
    </row>
    <row r="1630" spans="1:5" ht="30">
      <c r="A1630" s="78" t="s">
        <v>3451</v>
      </c>
      <c r="B1630" s="78" t="s">
        <v>3452</v>
      </c>
      <c r="C1630" s="78" t="s">
        <v>3459</v>
      </c>
      <c r="D1630" s="78"/>
    </row>
    <row r="1631" spans="1:5" ht="30">
      <c r="A1631" s="78" t="s">
        <v>3451</v>
      </c>
      <c r="B1631" s="78" t="s">
        <v>3452</v>
      </c>
      <c r="C1631" s="78" t="s">
        <v>3460</v>
      </c>
      <c r="D1631" s="78"/>
    </row>
    <row r="1632" spans="1:5" ht="30">
      <c r="A1632" s="78" t="s">
        <v>3451</v>
      </c>
      <c r="B1632" s="78" t="s">
        <v>3452</v>
      </c>
      <c r="C1632" s="78" t="s">
        <v>3461</v>
      </c>
      <c r="D1632" s="78"/>
    </row>
    <row r="1633" spans="1:5" ht="30">
      <c r="A1633" s="78" t="s">
        <v>3451</v>
      </c>
      <c r="B1633" s="78" t="s">
        <v>3452</v>
      </c>
      <c r="C1633" s="78" t="s">
        <v>3462</v>
      </c>
      <c r="D1633" s="78">
        <v>400</v>
      </c>
    </row>
    <row r="1634" spans="1:5" ht="30">
      <c r="A1634" s="78" t="s">
        <v>3451</v>
      </c>
      <c r="B1634" s="78" t="s">
        <v>3452</v>
      </c>
      <c r="C1634" s="78" t="s">
        <v>3463</v>
      </c>
      <c r="D1634" s="78"/>
    </row>
    <row r="1635" spans="1:5" ht="30">
      <c r="A1635" s="78" t="s">
        <v>3451</v>
      </c>
      <c r="B1635" s="78" t="s">
        <v>3451</v>
      </c>
      <c r="C1635" s="78" t="s">
        <v>3464</v>
      </c>
      <c r="D1635" s="78"/>
    </row>
    <row r="1636" spans="1:5" ht="30">
      <c r="A1636" s="78" t="s">
        <v>3451</v>
      </c>
      <c r="B1636" s="78" t="s">
        <v>3451</v>
      </c>
      <c r="C1636" s="78" t="s">
        <v>3465</v>
      </c>
      <c r="D1636" s="78"/>
    </row>
    <row r="1637" spans="1:5" ht="30">
      <c r="A1637" s="78" t="s">
        <v>3451</v>
      </c>
      <c r="B1637" s="78" t="s">
        <v>3451</v>
      </c>
      <c r="C1637" s="78" t="s">
        <v>3466</v>
      </c>
      <c r="D1637" s="78"/>
    </row>
    <row r="1638" spans="1:5" ht="30">
      <c r="A1638" s="78" t="s">
        <v>3451</v>
      </c>
      <c r="B1638" s="78" t="s">
        <v>3451</v>
      </c>
      <c r="C1638" s="78" t="s">
        <v>3467</v>
      </c>
      <c r="D1638" s="78">
        <v>400</v>
      </c>
    </row>
    <row r="1639" spans="1:5" ht="30">
      <c r="A1639" s="78" t="s">
        <v>3451</v>
      </c>
      <c r="B1639" s="78" t="s">
        <v>3451</v>
      </c>
      <c r="C1639" s="78" t="s">
        <v>3468</v>
      </c>
      <c r="D1639" s="78"/>
    </row>
    <row r="1640" spans="1:5" ht="30">
      <c r="A1640" s="78" t="s">
        <v>3451</v>
      </c>
      <c r="B1640" s="78" t="s">
        <v>3451</v>
      </c>
      <c r="C1640" s="78" t="s">
        <v>3469</v>
      </c>
      <c r="D1640" s="78"/>
    </row>
    <row r="1641" spans="1:5" ht="30">
      <c r="A1641" s="78" t="s">
        <v>3451</v>
      </c>
      <c r="B1641" s="78" t="s">
        <v>3451</v>
      </c>
      <c r="C1641" s="78" t="s">
        <v>3470</v>
      </c>
      <c r="D1641" s="78"/>
    </row>
    <row r="1642" spans="1:5" ht="30">
      <c r="A1642" s="78" t="s">
        <v>3451</v>
      </c>
      <c r="B1642" s="78" t="s">
        <v>3451</v>
      </c>
      <c r="C1642" s="78" t="s">
        <v>3471</v>
      </c>
      <c r="D1642" s="78"/>
    </row>
    <row r="1643" spans="1:5" ht="30">
      <c r="A1643" s="78" t="s">
        <v>22</v>
      </c>
      <c r="B1643" s="78" t="s">
        <v>744</v>
      </c>
      <c r="C1643" s="78" t="s">
        <v>3477</v>
      </c>
      <c r="D1643" s="79">
        <v>55000</v>
      </c>
      <c r="E1643" s="78" t="s">
        <v>237</v>
      </c>
    </row>
    <row r="1644" spans="1:5" ht="45">
      <c r="A1644" s="78" t="s">
        <v>22</v>
      </c>
      <c r="B1644" s="78" t="s">
        <v>3479</v>
      </c>
      <c r="C1644" s="78" t="s">
        <v>3480</v>
      </c>
      <c r="D1644" s="79">
        <v>190000</v>
      </c>
      <c r="E1644" s="78" t="s">
        <v>237</v>
      </c>
    </row>
    <row r="1645" spans="1:5" ht="30">
      <c r="A1645" s="78" t="s">
        <v>23</v>
      </c>
      <c r="B1645" s="78" t="s">
        <v>741</v>
      </c>
      <c r="C1645" s="78" t="s">
        <v>3474</v>
      </c>
      <c r="D1645" s="79">
        <v>15000</v>
      </c>
      <c r="E1645" s="78" t="s">
        <v>242</v>
      </c>
    </row>
    <row r="1646" spans="1:5" ht="30">
      <c r="A1646" s="78" t="s">
        <v>23</v>
      </c>
      <c r="B1646" s="78" t="s">
        <v>3472</v>
      </c>
      <c r="C1646" s="78" t="s">
        <v>3473</v>
      </c>
      <c r="D1646" s="79">
        <v>46000</v>
      </c>
      <c r="E1646" s="78" t="s">
        <v>240</v>
      </c>
    </row>
    <row r="1647" spans="1:5" ht="45">
      <c r="A1647" s="78" t="s">
        <v>22</v>
      </c>
      <c r="B1647" s="78" t="s">
        <v>3475</v>
      </c>
      <c r="C1647" s="78" t="s">
        <v>3476</v>
      </c>
      <c r="D1647" s="78"/>
    </row>
    <row r="1648" spans="1:5" ht="45">
      <c r="A1648" s="78" t="s">
        <v>22</v>
      </c>
      <c r="B1648" s="78" t="s">
        <v>3478</v>
      </c>
      <c r="C1648" s="78" t="s">
        <v>3476</v>
      </c>
      <c r="D1648" s="78"/>
    </row>
    <row r="1649" spans="1:6" ht="30">
      <c r="A1649" s="78" t="s">
        <v>3481</v>
      </c>
      <c r="B1649" s="78" t="s">
        <v>3482</v>
      </c>
      <c r="C1649" s="78" t="s">
        <v>3483</v>
      </c>
      <c r="D1649" s="79">
        <v>12000</v>
      </c>
      <c r="F1649" s="80">
        <f>D1649/982700</f>
        <v>1.2211254706421084E-2</v>
      </c>
    </row>
    <row r="1650" spans="1:6" ht="30">
      <c r="A1650" s="78" t="s">
        <v>3481</v>
      </c>
      <c r="B1650" s="78" t="s">
        <v>3484</v>
      </c>
      <c r="C1650" s="78" t="s">
        <v>3485</v>
      </c>
      <c r="D1650" s="79">
        <v>5000</v>
      </c>
      <c r="F1650" s="80">
        <f>D1650/982700</f>
        <v>5.0880227943421183E-3</v>
      </c>
    </row>
    <row r="1651" spans="1:6" ht="30">
      <c r="A1651" s="78" t="s">
        <v>3481</v>
      </c>
      <c r="B1651" s="78" t="s">
        <v>3486</v>
      </c>
      <c r="C1651" s="78" t="s">
        <v>3487</v>
      </c>
      <c r="D1651" s="78"/>
    </row>
    <row r="1652" spans="1:6" ht="45">
      <c r="A1652" s="78" t="s">
        <v>3481</v>
      </c>
      <c r="B1652" s="78" t="s">
        <v>3488</v>
      </c>
      <c r="C1652" s="78" t="s">
        <v>3489</v>
      </c>
      <c r="D1652" s="78"/>
    </row>
    <row r="1653" spans="1:6" ht="45">
      <c r="A1653" s="78" t="s">
        <v>3481</v>
      </c>
      <c r="B1653" s="78" t="s">
        <v>3490</v>
      </c>
      <c r="C1653" s="78" t="s">
        <v>3491</v>
      </c>
      <c r="D1653" s="78"/>
    </row>
    <row r="1654" spans="1:6" ht="45">
      <c r="A1654" s="78" t="s">
        <v>3481</v>
      </c>
      <c r="B1654" s="78" t="s">
        <v>3492</v>
      </c>
      <c r="C1654" s="78" t="s">
        <v>3493</v>
      </c>
      <c r="D1654" s="78"/>
    </row>
    <row r="1655" spans="1:6" ht="30">
      <c r="A1655" s="78" t="s">
        <v>3481</v>
      </c>
      <c r="B1655" s="78" t="s">
        <v>3494</v>
      </c>
      <c r="C1655" s="78" t="s">
        <v>3495</v>
      </c>
      <c r="D1655" s="78"/>
    </row>
    <row r="1656" spans="1:6" ht="45">
      <c r="A1656" s="78" t="s">
        <v>3481</v>
      </c>
      <c r="B1656" s="78" t="s">
        <v>3496</v>
      </c>
      <c r="C1656" s="78" t="s">
        <v>3497</v>
      </c>
      <c r="D1656" s="78"/>
    </row>
    <row r="1657" spans="1:6">
      <c r="A1657" s="78" t="s">
        <v>3481</v>
      </c>
      <c r="B1657" s="78" t="s">
        <v>3498</v>
      </c>
      <c r="C1657" s="78" t="s">
        <v>3499</v>
      </c>
      <c r="D1657" s="79">
        <v>30000</v>
      </c>
      <c r="F1657" s="80">
        <f>D1657/982700</f>
        <v>3.0528136766052712E-2</v>
      </c>
    </row>
    <row r="1658" spans="1:6" ht="45">
      <c r="A1658" s="78" t="s">
        <v>3481</v>
      </c>
      <c r="B1658" s="78" t="s">
        <v>3500</v>
      </c>
      <c r="C1658" s="78" t="s">
        <v>3501</v>
      </c>
      <c r="D1658" s="79">
        <v>18000</v>
      </c>
      <c r="F1658" s="80">
        <f>D1658/982700</f>
        <v>1.8316882059631626E-2</v>
      </c>
    </row>
    <row r="1659" spans="1:6" ht="30">
      <c r="A1659" s="78" t="s">
        <v>3481</v>
      </c>
      <c r="B1659" s="78" t="s">
        <v>3502</v>
      </c>
      <c r="C1659" s="78" t="s">
        <v>3503</v>
      </c>
      <c r="D1659" s="79">
        <v>9000</v>
      </c>
      <c r="F1659" s="80">
        <f>D1659/982700</f>
        <v>9.1584410298158128E-3</v>
      </c>
    </row>
    <row r="1660" spans="1:6" ht="30">
      <c r="A1660" s="78" t="s">
        <v>3481</v>
      </c>
      <c r="B1660" s="78" t="s">
        <v>3504</v>
      </c>
      <c r="C1660" s="78" t="s">
        <v>3505</v>
      </c>
      <c r="D1660" s="79">
        <v>11000</v>
      </c>
      <c r="F1660" s="80">
        <f>D1660/982700</f>
        <v>1.119365014755266E-2</v>
      </c>
    </row>
    <row r="1661" spans="1:6" ht="30">
      <c r="A1661" s="78" t="s">
        <v>3481</v>
      </c>
      <c r="B1661" s="78" t="s">
        <v>3506</v>
      </c>
      <c r="C1661" s="78" t="s">
        <v>3503</v>
      </c>
      <c r="D1661" s="79">
        <v>290000</v>
      </c>
      <c r="F1661" s="80">
        <f>D1661/982700</f>
        <v>0.29510532207184287</v>
      </c>
    </row>
    <row r="1662" spans="1:6" ht="30">
      <c r="A1662" s="78" t="s">
        <v>3481</v>
      </c>
      <c r="B1662" s="78" t="s">
        <v>3507</v>
      </c>
      <c r="C1662" s="78" t="s">
        <v>3508</v>
      </c>
      <c r="D1662" s="78"/>
    </row>
    <row r="1663" spans="1:6" ht="30">
      <c r="A1663" s="78" t="s">
        <v>3481</v>
      </c>
      <c r="B1663" s="78" t="s">
        <v>3509</v>
      </c>
      <c r="C1663" s="78" t="s">
        <v>3510</v>
      </c>
      <c r="D1663" s="79">
        <v>5000</v>
      </c>
      <c r="F1663" s="80">
        <f>D1663/982700</f>
        <v>5.0880227943421183E-3</v>
      </c>
    </row>
    <row r="1664" spans="1:6">
      <c r="A1664" s="78" t="s">
        <v>3511</v>
      </c>
      <c r="B1664" s="78" t="s">
        <v>3512</v>
      </c>
      <c r="C1664" s="78" t="s">
        <v>3513</v>
      </c>
      <c r="D1664" s="79">
        <v>4860</v>
      </c>
    </row>
    <row r="1665" spans="1:4" ht="30">
      <c r="A1665" s="78" t="s">
        <v>3511</v>
      </c>
      <c r="B1665" s="78" t="s">
        <v>3512</v>
      </c>
      <c r="C1665" s="78" t="s">
        <v>3514</v>
      </c>
      <c r="D1665" s="79">
        <v>10000</v>
      </c>
    </row>
    <row r="1666" spans="1:4">
      <c r="A1666" s="78" t="s">
        <v>3511</v>
      </c>
      <c r="B1666" s="78" t="s">
        <v>3512</v>
      </c>
      <c r="C1666" s="78" t="s">
        <v>3515</v>
      </c>
      <c r="D1666" s="79">
        <v>6000</v>
      </c>
    </row>
    <row r="1667" spans="1:4" ht="45">
      <c r="A1667" s="78" t="s">
        <v>3511</v>
      </c>
      <c r="B1667" s="78" t="s">
        <v>3512</v>
      </c>
      <c r="C1667" s="78" t="s">
        <v>3516</v>
      </c>
      <c r="D1667" s="78"/>
    </row>
    <row r="1668" spans="1:4" ht="30">
      <c r="A1668" s="78" t="s">
        <v>3511</v>
      </c>
      <c r="B1668" s="78" t="s">
        <v>3512</v>
      </c>
      <c r="C1668" s="78" t="s">
        <v>3517</v>
      </c>
      <c r="D1668" s="78"/>
    </row>
    <row r="1669" spans="1:4" ht="30">
      <c r="A1669" s="78" t="s">
        <v>3511</v>
      </c>
      <c r="B1669" s="78" t="s">
        <v>3512</v>
      </c>
      <c r="C1669" s="78" t="s">
        <v>3518</v>
      </c>
      <c r="D1669" s="78"/>
    </row>
    <row r="1670" spans="1:4" ht="30">
      <c r="A1670" s="78" t="s">
        <v>3511</v>
      </c>
      <c r="B1670" s="78" t="s">
        <v>3512</v>
      </c>
      <c r="C1670" s="78" t="s">
        <v>3519</v>
      </c>
      <c r="D1670" s="79">
        <v>9600</v>
      </c>
    </row>
    <row r="1671" spans="1:4" ht="45">
      <c r="A1671" s="78" t="s">
        <v>3511</v>
      </c>
      <c r="B1671" s="78" t="s">
        <v>3512</v>
      </c>
      <c r="C1671" s="78" t="s">
        <v>3520</v>
      </c>
      <c r="D1671" s="78"/>
    </row>
    <row r="1672" spans="1:4" ht="30">
      <c r="A1672" s="78" t="s">
        <v>3511</v>
      </c>
      <c r="B1672" s="78" t="s">
        <v>3521</v>
      </c>
      <c r="C1672" s="78" t="s">
        <v>3522</v>
      </c>
      <c r="D1672" s="79">
        <v>7400</v>
      </c>
    </row>
    <row r="1673" spans="1:4" ht="30">
      <c r="A1673" s="78" t="s">
        <v>3511</v>
      </c>
      <c r="B1673" s="78" t="s">
        <v>3521</v>
      </c>
      <c r="C1673" s="78" t="s">
        <v>3523</v>
      </c>
      <c r="D1673" s="79">
        <v>10800</v>
      </c>
    </row>
    <row r="1674" spans="1:4" ht="30">
      <c r="A1674" s="78" t="s">
        <v>3511</v>
      </c>
      <c r="B1674" s="78" t="s">
        <v>3524</v>
      </c>
      <c r="C1674" s="78" t="s">
        <v>3525</v>
      </c>
      <c r="D1674" s="78"/>
    </row>
    <row r="1675" spans="1:4" ht="30">
      <c r="A1675" s="78" t="s">
        <v>3511</v>
      </c>
      <c r="B1675" s="78" t="s">
        <v>3524</v>
      </c>
      <c r="C1675" s="78" t="s">
        <v>3526</v>
      </c>
      <c r="D1675" s="78"/>
    </row>
    <row r="1676" spans="1:4">
      <c r="A1676" s="78" t="s">
        <v>3511</v>
      </c>
      <c r="B1676" s="78" t="s">
        <v>3527</v>
      </c>
      <c r="C1676" s="78" t="s">
        <v>3528</v>
      </c>
      <c r="D1676" s="78"/>
    </row>
    <row r="1677" spans="1:4" ht="30">
      <c r="A1677" s="78" t="s">
        <v>3511</v>
      </c>
      <c r="B1677" s="78" t="s">
        <v>3527</v>
      </c>
      <c r="C1677" s="78" t="s">
        <v>3529</v>
      </c>
      <c r="D1677" s="78"/>
    </row>
    <row r="1678" spans="1:4" ht="30">
      <c r="A1678" s="78" t="s">
        <v>3511</v>
      </c>
      <c r="B1678" s="78" t="s">
        <v>3527</v>
      </c>
      <c r="C1678" s="78" t="s">
        <v>3530</v>
      </c>
      <c r="D1678" s="79">
        <v>5400</v>
      </c>
    </row>
    <row r="1679" spans="1:4" ht="30">
      <c r="A1679" s="78" t="s">
        <v>3511</v>
      </c>
      <c r="B1679" s="78" t="s">
        <v>3527</v>
      </c>
      <c r="C1679" s="78" t="s">
        <v>3531</v>
      </c>
      <c r="D1679" s="78"/>
    </row>
    <row r="1680" spans="1:4" ht="45">
      <c r="A1680" s="78" t="s">
        <v>3511</v>
      </c>
      <c r="B1680" s="78" t="s">
        <v>3527</v>
      </c>
      <c r="C1680" s="78" t="s">
        <v>3532</v>
      </c>
      <c r="D1680" s="78"/>
    </row>
    <row r="1681" spans="1:4" ht="30">
      <c r="A1681" s="78" t="s">
        <v>3511</v>
      </c>
      <c r="B1681" s="78" t="s">
        <v>3527</v>
      </c>
      <c r="C1681" s="78" t="s">
        <v>3533</v>
      </c>
      <c r="D1681" s="78"/>
    </row>
    <row r="1682" spans="1:4" ht="30">
      <c r="A1682" s="78" t="s">
        <v>3511</v>
      </c>
      <c r="B1682" s="78" t="s">
        <v>3527</v>
      </c>
      <c r="C1682" s="78" t="s">
        <v>3534</v>
      </c>
      <c r="D1682" s="78"/>
    </row>
    <row r="1683" spans="1:4" ht="30">
      <c r="A1683" s="78" t="s">
        <v>3511</v>
      </c>
      <c r="B1683" s="78" t="s">
        <v>3527</v>
      </c>
      <c r="C1683" s="78" t="s">
        <v>3535</v>
      </c>
      <c r="D1683" s="78">
        <v>350</v>
      </c>
    </row>
    <row r="1684" spans="1:4" ht="30">
      <c r="A1684" s="78" t="s">
        <v>3511</v>
      </c>
      <c r="B1684" s="78" t="s">
        <v>3527</v>
      </c>
      <c r="C1684" s="78" t="s">
        <v>3536</v>
      </c>
      <c r="D1684" s="78"/>
    </row>
    <row r="1685" spans="1:4" ht="30">
      <c r="A1685" s="78" t="s">
        <v>3511</v>
      </c>
      <c r="B1685" s="78" t="s">
        <v>3527</v>
      </c>
      <c r="C1685" s="78" t="s">
        <v>3537</v>
      </c>
      <c r="D1685" s="78"/>
    </row>
    <row r="1686" spans="1:4" ht="30">
      <c r="A1686" s="78" t="s">
        <v>3511</v>
      </c>
      <c r="B1686" s="78" t="s">
        <v>3527</v>
      </c>
      <c r="C1686" s="78" t="s">
        <v>3538</v>
      </c>
      <c r="D1686" s="79">
        <v>10800</v>
      </c>
    </row>
    <row r="1687" spans="1:4" ht="30">
      <c r="A1687" s="78" t="s">
        <v>3511</v>
      </c>
      <c r="B1687" s="78" t="s">
        <v>3527</v>
      </c>
      <c r="C1687" s="78" t="s">
        <v>3539</v>
      </c>
      <c r="D1687" s="78"/>
    </row>
    <row r="1688" spans="1:4" ht="30">
      <c r="A1688" s="78" t="s">
        <v>3511</v>
      </c>
      <c r="B1688" s="78" t="s">
        <v>3527</v>
      </c>
      <c r="C1688" s="78" t="s">
        <v>3540</v>
      </c>
      <c r="D1688" s="78"/>
    </row>
    <row r="1689" spans="1:4" ht="30">
      <c r="A1689" s="78" t="s">
        <v>3511</v>
      </c>
      <c r="B1689" s="78" t="s">
        <v>3527</v>
      </c>
      <c r="C1689" s="78" t="s">
        <v>3541</v>
      </c>
      <c r="D1689" s="78"/>
    </row>
    <row r="1690" spans="1:4" ht="30">
      <c r="A1690" s="78" t="s">
        <v>3511</v>
      </c>
      <c r="B1690" s="78" t="s">
        <v>3527</v>
      </c>
      <c r="C1690" s="78" t="s">
        <v>3542</v>
      </c>
      <c r="D1690" s="78"/>
    </row>
    <row r="1691" spans="1:4" ht="45">
      <c r="A1691" s="78" t="s">
        <v>3511</v>
      </c>
      <c r="B1691" s="78" t="s">
        <v>3527</v>
      </c>
      <c r="C1691" s="78" t="s">
        <v>3543</v>
      </c>
      <c r="D1691" s="78"/>
    </row>
    <row r="1692" spans="1:4" ht="30">
      <c r="A1692" s="78" t="s">
        <v>3511</v>
      </c>
      <c r="B1692" s="78" t="s">
        <v>3527</v>
      </c>
      <c r="C1692" s="78" t="s">
        <v>3544</v>
      </c>
      <c r="D1692" s="78"/>
    </row>
    <row r="1693" spans="1:4" ht="30">
      <c r="A1693" s="78" t="s">
        <v>3511</v>
      </c>
      <c r="B1693" s="78" t="s">
        <v>3545</v>
      </c>
      <c r="C1693" s="78" t="s">
        <v>3546</v>
      </c>
      <c r="D1693" s="78"/>
    </row>
    <row r="1694" spans="1:4" ht="30">
      <c r="A1694" s="78" t="s">
        <v>3511</v>
      </c>
      <c r="B1694" s="78" t="s">
        <v>3545</v>
      </c>
      <c r="C1694" s="78" t="s">
        <v>3547</v>
      </c>
      <c r="D1694" s="79">
        <v>7200</v>
      </c>
    </row>
    <row r="1695" spans="1:4" ht="30">
      <c r="A1695" s="78" t="s">
        <v>3511</v>
      </c>
      <c r="B1695" s="78" t="s">
        <v>3548</v>
      </c>
      <c r="C1695" s="78" t="s">
        <v>3549</v>
      </c>
      <c r="D1695" s="79">
        <v>2400</v>
      </c>
    </row>
    <row r="1696" spans="1:4" ht="30">
      <c r="A1696" s="78" t="s">
        <v>3511</v>
      </c>
      <c r="B1696" s="78" t="s">
        <v>3550</v>
      </c>
      <c r="C1696" s="78" t="s">
        <v>3551</v>
      </c>
      <c r="D1696" s="79">
        <v>6000</v>
      </c>
    </row>
    <row r="1697" spans="1:4" ht="30">
      <c r="A1697" s="78" t="s">
        <v>3511</v>
      </c>
      <c r="B1697" s="78" t="s">
        <v>3552</v>
      </c>
      <c r="C1697" s="78" t="s">
        <v>3553</v>
      </c>
      <c r="D1697" s="78"/>
    </row>
    <row r="1698" spans="1:4" ht="30">
      <c r="A1698" s="78" t="s">
        <v>3511</v>
      </c>
      <c r="B1698" s="78" t="s">
        <v>3552</v>
      </c>
      <c r="C1698" s="78" t="s">
        <v>3554</v>
      </c>
      <c r="D1698" s="79">
        <v>1600</v>
      </c>
    </row>
    <row r="1699" spans="1:4" ht="30">
      <c r="A1699" s="78" t="s">
        <v>3511</v>
      </c>
      <c r="B1699" s="78" t="s">
        <v>3552</v>
      </c>
      <c r="C1699" s="78" t="s">
        <v>3555</v>
      </c>
      <c r="D1699" s="78"/>
    </row>
    <row r="1700" spans="1:4" ht="30">
      <c r="A1700" s="78" t="s">
        <v>3511</v>
      </c>
      <c r="B1700" s="78" t="s">
        <v>3552</v>
      </c>
      <c r="C1700" s="78" t="s">
        <v>3556</v>
      </c>
      <c r="D1700" s="78"/>
    </row>
    <row r="1701" spans="1:4" ht="30">
      <c r="A1701" s="78" t="s">
        <v>3511</v>
      </c>
      <c r="B1701" s="78" t="s">
        <v>3552</v>
      </c>
      <c r="C1701" s="78" t="s">
        <v>3557</v>
      </c>
      <c r="D1701" s="79">
        <v>10000</v>
      </c>
    </row>
    <row r="1702" spans="1:4" ht="30">
      <c r="A1702" s="78" t="s">
        <v>3511</v>
      </c>
      <c r="B1702" s="78" t="s">
        <v>3558</v>
      </c>
      <c r="C1702" s="78" t="s">
        <v>3559</v>
      </c>
      <c r="D1702" s="79">
        <v>36000</v>
      </c>
    </row>
    <row r="1703" spans="1:4" ht="45">
      <c r="A1703" s="78" t="s">
        <v>3511</v>
      </c>
      <c r="B1703" s="78" t="s">
        <v>3560</v>
      </c>
      <c r="C1703" s="78" t="s">
        <v>3561</v>
      </c>
      <c r="D1703" s="78"/>
    </row>
    <row r="1704" spans="1:4" ht="45">
      <c r="A1704" s="78" t="s">
        <v>3511</v>
      </c>
      <c r="B1704" s="78" t="s">
        <v>3562</v>
      </c>
      <c r="C1704" s="78" t="s">
        <v>3563</v>
      </c>
      <c r="D1704" s="78"/>
    </row>
    <row r="1705" spans="1:4" ht="30">
      <c r="A1705" s="78" t="s">
        <v>3511</v>
      </c>
      <c r="B1705" s="78" t="s">
        <v>3562</v>
      </c>
      <c r="C1705" s="78" t="s">
        <v>3564</v>
      </c>
      <c r="D1705" s="78"/>
    </row>
    <row r="1706" spans="1:4" ht="30">
      <c r="A1706" s="78" t="s">
        <v>3511</v>
      </c>
      <c r="B1706" s="78" t="s">
        <v>3562</v>
      </c>
      <c r="C1706" s="78" t="s">
        <v>3565</v>
      </c>
      <c r="D1706" s="79">
        <v>6000</v>
      </c>
    </row>
    <row r="1707" spans="1:4" ht="30">
      <c r="A1707" s="78" t="s">
        <v>3511</v>
      </c>
      <c r="B1707" s="78" t="s">
        <v>3566</v>
      </c>
      <c r="C1707" s="78" t="s">
        <v>3567</v>
      </c>
      <c r="D1707" s="78"/>
    </row>
    <row r="1708" spans="1:4" ht="30">
      <c r="A1708" s="78" t="s">
        <v>3511</v>
      </c>
      <c r="B1708" s="78" t="s">
        <v>3566</v>
      </c>
      <c r="C1708" s="78" t="s">
        <v>3568</v>
      </c>
      <c r="D1708" s="78">
        <v>720</v>
      </c>
    </row>
    <row r="1709" spans="1:4" ht="30">
      <c r="A1709" s="78" t="s">
        <v>3511</v>
      </c>
      <c r="B1709" s="78" t="s">
        <v>3569</v>
      </c>
      <c r="C1709" s="78" t="s">
        <v>3570</v>
      </c>
      <c r="D1709" s="78"/>
    </row>
    <row r="1710" spans="1:4" ht="30">
      <c r="A1710" s="78" t="s">
        <v>3511</v>
      </c>
      <c r="B1710" s="78" t="s">
        <v>3569</v>
      </c>
      <c r="C1710" s="78" t="s">
        <v>3571</v>
      </c>
      <c r="D1710" s="78"/>
    </row>
    <row r="1711" spans="1:4" ht="30">
      <c r="A1711" s="78" t="s">
        <v>3511</v>
      </c>
      <c r="B1711" s="78" t="s">
        <v>3569</v>
      </c>
      <c r="C1711" s="78" t="s">
        <v>3572</v>
      </c>
      <c r="D1711" s="79">
        <v>1000</v>
      </c>
    </row>
    <row r="1712" spans="1:4" ht="30">
      <c r="A1712" s="78" t="s">
        <v>3511</v>
      </c>
      <c r="B1712" s="78" t="s">
        <v>3569</v>
      </c>
      <c r="C1712" s="78" t="s">
        <v>3573</v>
      </c>
      <c r="D1712" s="78"/>
    </row>
    <row r="1713" spans="1:4" ht="30">
      <c r="A1713" s="78" t="s">
        <v>3511</v>
      </c>
      <c r="B1713" s="78" t="s">
        <v>3574</v>
      </c>
      <c r="C1713" s="78" t="s">
        <v>3575</v>
      </c>
      <c r="D1713" s="78"/>
    </row>
    <row r="1714" spans="1:4" ht="30">
      <c r="A1714" s="78" t="s">
        <v>3511</v>
      </c>
      <c r="B1714" s="78" t="s">
        <v>3576</v>
      </c>
      <c r="C1714" s="78" t="s">
        <v>3570</v>
      </c>
      <c r="D1714" s="78"/>
    </row>
    <row r="1715" spans="1:4" ht="30">
      <c r="A1715" s="78" t="s">
        <v>3511</v>
      </c>
      <c r="B1715" s="78" t="s">
        <v>3577</v>
      </c>
      <c r="C1715" s="78" t="s">
        <v>3578</v>
      </c>
      <c r="D1715" s="78"/>
    </row>
    <row r="1716" spans="1:4" ht="45">
      <c r="A1716" s="78" t="s">
        <v>3511</v>
      </c>
      <c r="B1716" s="78" t="s">
        <v>3579</v>
      </c>
      <c r="C1716" s="78" t="s">
        <v>3580</v>
      </c>
      <c r="D1716" s="78"/>
    </row>
    <row r="1717" spans="1:4" ht="30">
      <c r="A1717" s="78" t="s">
        <v>3511</v>
      </c>
      <c r="B1717" s="78" t="s">
        <v>3581</v>
      </c>
      <c r="C1717" s="78" t="s">
        <v>3582</v>
      </c>
      <c r="D1717" s="78"/>
    </row>
    <row r="1718" spans="1:4" ht="30">
      <c r="A1718" s="78" t="s">
        <v>3511</v>
      </c>
      <c r="B1718" s="78" t="s">
        <v>3583</v>
      </c>
      <c r="C1718" s="78" t="s">
        <v>3584</v>
      </c>
      <c r="D1718" s="79">
        <v>160000</v>
      </c>
    </row>
    <row r="1719" spans="1:4" ht="30">
      <c r="A1719" s="78" t="s">
        <v>3511</v>
      </c>
      <c r="B1719" s="78" t="s">
        <v>3585</v>
      </c>
      <c r="C1719" s="78" t="s">
        <v>3586</v>
      </c>
      <c r="D1719" s="78"/>
    </row>
    <row r="1720" spans="1:4" ht="30">
      <c r="A1720" s="78" t="s">
        <v>3511</v>
      </c>
      <c r="B1720" s="78" t="s">
        <v>3587</v>
      </c>
      <c r="C1720" s="78" t="s">
        <v>3588</v>
      </c>
      <c r="D1720" s="78"/>
    </row>
    <row r="1721" spans="1:4" ht="30">
      <c r="A1721" s="78" t="s">
        <v>3511</v>
      </c>
      <c r="B1721" s="78" t="s">
        <v>3589</v>
      </c>
      <c r="C1721" s="78" t="s">
        <v>3590</v>
      </c>
      <c r="D1721" s="78"/>
    </row>
    <row r="1722" spans="1:4" ht="30">
      <c r="A1722" s="78" t="s">
        <v>3511</v>
      </c>
      <c r="B1722" s="78" t="s">
        <v>3591</v>
      </c>
      <c r="C1722" s="78" t="s">
        <v>3592</v>
      </c>
      <c r="D1722" s="78"/>
    </row>
    <row r="1723" spans="1:4" ht="30">
      <c r="A1723" s="78" t="s">
        <v>3511</v>
      </c>
      <c r="B1723" s="78" t="s">
        <v>3593</v>
      </c>
      <c r="C1723" s="78" t="s">
        <v>3594</v>
      </c>
      <c r="D1723" s="78"/>
    </row>
    <row r="1724" spans="1:4" ht="45">
      <c r="A1724" s="78" t="s">
        <v>3511</v>
      </c>
      <c r="B1724" s="78" t="s">
        <v>3595</v>
      </c>
      <c r="C1724" s="78" t="s">
        <v>3596</v>
      </c>
      <c r="D1724" s="78"/>
    </row>
    <row r="1725" spans="1:4" ht="30">
      <c r="A1725" s="78" t="s">
        <v>3511</v>
      </c>
      <c r="B1725" s="78" t="s">
        <v>3595</v>
      </c>
      <c r="C1725" s="78" t="s">
        <v>3597</v>
      </c>
      <c r="D1725" s="78"/>
    </row>
    <row r="1726" spans="1:4" ht="30">
      <c r="A1726" s="78" t="s">
        <v>3511</v>
      </c>
      <c r="B1726" s="78" t="s">
        <v>3595</v>
      </c>
      <c r="C1726" s="78" t="s">
        <v>3598</v>
      </c>
      <c r="D1726" s="78"/>
    </row>
    <row r="1727" spans="1:4" ht="30">
      <c r="A1727" s="78" t="s">
        <v>3511</v>
      </c>
      <c r="B1727" s="78" t="s">
        <v>3599</v>
      </c>
      <c r="C1727" s="78" t="s">
        <v>3600</v>
      </c>
      <c r="D1727" s="78"/>
    </row>
    <row r="1728" spans="1:4" ht="30">
      <c r="A1728" s="78" t="s">
        <v>3511</v>
      </c>
      <c r="B1728" s="78" t="s">
        <v>3601</v>
      </c>
      <c r="C1728" s="78" t="s">
        <v>3600</v>
      </c>
      <c r="D1728" s="78"/>
    </row>
    <row r="1729" spans="1:4" ht="30">
      <c r="A1729" s="78" t="s">
        <v>3511</v>
      </c>
      <c r="B1729" s="78" t="s">
        <v>3602</v>
      </c>
      <c r="C1729" s="78" t="s">
        <v>3603</v>
      </c>
      <c r="D1729" s="79">
        <v>7200</v>
      </c>
    </row>
    <row r="1730" spans="1:4" ht="30">
      <c r="A1730" s="78" t="s">
        <v>3511</v>
      </c>
      <c r="B1730" s="78" t="s">
        <v>3602</v>
      </c>
      <c r="C1730" s="78" t="s">
        <v>3604</v>
      </c>
      <c r="D1730" s="79">
        <v>12000</v>
      </c>
    </row>
    <row r="1731" spans="1:4" ht="30">
      <c r="A1731" s="78" t="s">
        <v>3511</v>
      </c>
      <c r="B1731" s="78" t="s">
        <v>3605</v>
      </c>
      <c r="C1731" s="78" t="s">
        <v>3606</v>
      </c>
      <c r="D1731" s="79">
        <v>34000</v>
      </c>
    </row>
    <row r="1732" spans="1:4" ht="30">
      <c r="A1732" s="78" t="s">
        <v>3511</v>
      </c>
      <c r="B1732" s="78" t="s">
        <v>3607</v>
      </c>
      <c r="C1732" s="78" t="s">
        <v>3608</v>
      </c>
      <c r="D1732" s="78"/>
    </row>
    <row r="1733" spans="1:4" ht="45">
      <c r="A1733" s="78" t="s">
        <v>3511</v>
      </c>
      <c r="B1733" s="78" t="s">
        <v>3607</v>
      </c>
      <c r="C1733" s="78" t="s">
        <v>3609</v>
      </c>
      <c r="D1733" s="78"/>
    </row>
    <row r="1734" spans="1:4" ht="45">
      <c r="A1734" s="78" t="s">
        <v>3511</v>
      </c>
      <c r="B1734" s="78" t="s">
        <v>3607</v>
      </c>
      <c r="C1734" s="78" t="s">
        <v>3610</v>
      </c>
      <c r="D1734" s="78"/>
    </row>
    <row r="1735" spans="1:4" ht="30">
      <c r="A1735" s="78" t="s">
        <v>3511</v>
      </c>
      <c r="B1735" s="78" t="s">
        <v>3611</v>
      </c>
      <c r="C1735" s="78" t="s">
        <v>3612</v>
      </c>
      <c r="D1735" s="78"/>
    </row>
    <row r="1736" spans="1:4" ht="30">
      <c r="A1736" s="78" t="s">
        <v>3511</v>
      </c>
      <c r="B1736" s="78" t="s">
        <v>3611</v>
      </c>
      <c r="C1736" s="78" t="s">
        <v>3613</v>
      </c>
      <c r="D1736" s="78"/>
    </row>
    <row r="1737" spans="1:4" ht="30">
      <c r="A1737" s="78" t="s">
        <v>3511</v>
      </c>
      <c r="B1737" s="78" t="s">
        <v>3614</v>
      </c>
      <c r="C1737" s="78" t="s">
        <v>3615</v>
      </c>
      <c r="D1737" s="79">
        <v>7700</v>
      </c>
    </row>
    <row r="1738" spans="1:4" ht="30">
      <c r="A1738" s="78" t="s">
        <v>3511</v>
      </c>
      <c r="B1738" s="78" t="s">
        <v>3616</v>
      </c>
      <c r="C1738" s="78" t="s">
        <v>3617</v>
      </c>
      <c r="D1738" s="79">
        <v>84000</v>
      </c>
    </row>
    <row r="1739" spans="1:4">
      <c r="A1739" s="78" t="s">
        <v>3511</v>
      </c>
      <c r="B1739" s="78" t="s">
        <v>3616</v>
      </c>
      <c r="C1739" s="78" t="s">
        <v>3618</v>
      </c>
      <c r="D1739" s="79">
        <v>30000</v>
      </c>
    </row>
    <row r="1740" spans="1:4" ht="30">
      <c r="A1740" s="78" t="s">
        <v>3511</v>
      </c>
      <c r="B1740" s="78" t="s">
        <v>3619</v>
      </c>
      <c r="C1740" s="78" t="s">
        <v>3620</v>
      </c>
      <c r="D1740" s="79">
        <v>7500</v>
      </c>
    </row>
    <row r="1741" spans="1:4" ht="30">
      <c r="A1741" s="78" t="s">
        <v>3511</v>
      </c>
      <c r="B1741" s="78" t="s">
        <v>3621</v>
      </c>
      <c r="C1741" s="78" t="s">
        <v>3622</v>
      </c>
      <c r="D1741" s="78"/>
    </row>
    <row r="1742" spans="1:4" ht="45">
      <c r="A1742" s="78" t="s">
        <v>3511</v>
      </c>
      <c r="B1742" s="78" t="s">
        <v>3623</v>
      </c>
      <c r="C1742" s="78" t="s">
        <v>3624</v>
      </c>
      <c r="D1742" s="79">
        <v>95000</v>
      </c>
    </row>
    <row r="1743" spans="1:4" ht="60">
      <c r="A1743" s="78" t="s">
        <v>3511</v>
      </c>
      <c r="B1743" s="78" t="s">
        <v>3625</v>
      </c>
      <c r="C1743" s="78" t="s">
        <v>3626</v>
      </c>
      <c r="D1743" s="78"/>
    </row>
    <row r="1744" spans="1:4" ht="30">
      <c r="A1744" s="78" t="s">
        <v>3511</v>
      </c>
      <c r="B1744" s="78" t="s">
        <v>3627</v>
      </c>
      <c r="C1744" s="78" t="s">
        <v>3628</v>
      </c>
      <c r="D1744" s="79">
        <v>430000</v>
      </c>
    </row>
    <row r="1745" spans="1:6">
      <c r="A1745" s="78" t="s">
        <v>3511</v>
      </c>
      <c r="B1745" s="78" t="s">
        <v>3627</v>
      </c>
      <c r="C1745" s="78" t="s">
        <v>3629</v>
      </c>
      <c r="D1745" s="78"/>
    </row>
    <row r="1746" spans="1:6" ht="30">
      <c r="A1746" s="78" t="s">
        <v>3511</v>
      </c>
      <c r="B1746" s="78" t="s">
        <v>3627</v>
      </c>
      <c r="C1746" s="78" t="s">
        <v>3630</v>
      </c>
      <c r="D1746" s="79">
        <v>12500</v>
      </c>
    </row>
    <row r="1747" spans="1:6" ht="30">
      <c r="A1747" s="78" t="s">
        <v>3511</v>
      </c>
      <c r="B1747" s="78" t="s">
        <v>3631</v>
      </c>
      <c r="C1747" s="78" t="s">
        <v>3632</v>
      </c>
      <c r="D1747" s="78"/>
    </row>
    <row r="1748" spans="1:6" ht="30">
      <c r="A1748" s="78" t="s">
        <v>3511</v>
      </c>
      <c r="B1748" s="78" t="s">
        <v>3633</v>
      </c>
      <c r="C1748" s="78" t="s">
        <v>3634</v>
      </c>
      <c r="D1748" s="79">
        <v>9000</v>
      </c>
    </row>
    <row r="1749" spans="1:6" ht="30">
      <c r="A1749" s="78" t="s">
        <v>3511</v>
      </c>
      <c r="B1749" s="78" t="s">
        <v>3635</v>
      </c>
      <c r="C1749" s="78" t="s">
        <v>3628</v>
      </c>
      <c r="D1749" s="79">
        <v>265000</v>
      </c>
    </row>
    <row r="1750" spans="1:6" ht="30">
      <c r="A1750" s="78" t="s">
        <v>3511</v>
      </c>
      <c r="B1750" s="78" t="s">
        <v>3636</v>
      </c>
      <c r="C1750" s="78" t="s">
        <v>3637</v>
      </c>
      <c r="D1750" s="79">
        <v>12000</v>
      </c>
    </row>
    <row r="1751" spans="1:6" ht="30">
      <c r="A1751" s="78" t="s">
        <v>10</v>
      </c>
      <c r="B1751" s="87" t="s">
        <v>3689</v>
      </c>
      <c r="C1751" s="87" t="s">
        <v>3690</v>
      </c>
      <c r="D1751" s="79">
        <v>60000</v>
      </c>
      <c r="E1751" s="78" t="s">
        <v>3691</v>
      </c>
      <c r="F1751" s="80">
        <f t="shared" ref="F1751:F1773" si="6">D1751/1100000</f>
        <v>5.4545454545454543E-2</v>
      </c>
    </row>
    <row r="1752" spans="1:6">
      <c r="A1752" s="78" t="s">
        <v>10</v>
      </c>
      <c r="B1752" s="78" t="s">
        <v>738</v>
      </c>
      <c r="C1752" s="78" t="s">
        <v>2672</v>
      </c>
      <c r="D1752" s="79">
        <v>52000</v>
      </c>
      <c r="E1752" s="78" t="s">
        <v>120</v>
      </c>
      <c r="F1752" s="80">
        <f t="shared" si="6"/>
        <v>4.7272727272727272E-2</v>
      </c>
    </row>
    <row r="1753" spans="1:6" ht="30">
      <c r="A1753" s="78" t="s">
        <v>10</v>
      </c>
      <c r="B1753" s="78" t="s">
        <v>3683</v>
      </c>
      <c r="C1753" s="78" t="s">
        <v>3684</v>
      </c>
      <c r="D1753" s="79">
        <v>23000</v>
      </c>
      <c r="E1753" s="78" t="s">
        <v>120</v>
      </c>
      <c r="F1753" s="80">
        <f t="shared" si="6"/>
        <v>2.0909090909090908E-2</v>
      </c>
    </row>
    <row r="1754" spans="1:6" ht="30">
      <c r="A1754" s="78" t="s">
        <v>10</v>
      </c>
      <c r="B1754" s="78" t="s">
        <v>3683</v>
      </c>
      <c r="C1754" s="78" t="s">
        <v>3685</v>
      </c>
      <c r="D1754" s="79">
        <v>34000</v>
      </c>
      <c r="E1754" s="78" t="s">
        <v>120</v>
      </c>
      <c r="F1754" s="80">
        <f t="shared" si="6"/>
        <v>3.090909090909091E-2</v>
      </c>
    </row>
    <row r="1755" spans="1:6" ht="30">
      <c r="A1755" s="78" t="s">
        <v>10</v>
      </c>
      <c r="B1755" s="78" t="s">
        <v>3683</v>
      </c>
      <c r="C1755" s="78" t="s">
        <v>3686</v>
      </c>
      <c r="D1755" s="79">
        <v>32000</v>
      </c>
      <c r="E1755" s="78" t="s">
        <v>120</v>
      </c>
      <c r="F1755" s="80">
        <f t="shared" si="6"/>
        <v>2.9090909090909091E-2</v>
      </c>
    </row>
    <row r="1756" spans="1:6">
      <c r="A1756" s="78" t="s">
        <v>10</v>
      </c>
      <c r="B1756" s="78" t="s">
        <v>3694</v>
      </c>
      <c r="C1756" s="78" t="s">
        <v>3686</v>
      </c>
      <c r="D1756" s="79">
        <v>60000</v>
      </c>
      <c r="E1756" s="78" t="s">
        <v>120</v>
      </c>
      <c r="F1756" s="80">
        <f t="shared" si="6"/>
        <v>5.4545454545454543E-2</v>
      </c>
    </row>
    <row r="1757" spans="1:6">
      <c r="A1757" s="78" t="s">
        <v>10</v>
      </c>
      <c r="B1757" s="87" t="s">
        <v>3703</v>
      </c>
      <c r="C1757" s="78" t="s">
        <v>3704</v>
      </c>
      <c r="D1757" s="79">
        <v>18000</v>
      </c>
      <c r="E1757" s="87" t="s">
        <v>117</v>
      </c>
      <c r="F1757" s="80">
        <f t="shared" si="6"/>
        <v>1.6363636363636365E-2</v>
      </c>
    </row>
    <row r="1758" spans="1:6">
      <c r="A1758" s="78" t="s">
        <v>10</v>
      </c>
      <c r="B1758" s="78" t="s">
        <v>3674</v>
      </c>
      <c r="C1758" s="78" t="s">
        <v>3675</v>
      </c>
      <c r="D1758" s="79">
        <v>14000</v>
      </c>
      <c r="E1758" s="78" t="s">
        <v>117</v>
      </c>
      <c r="F1758" s="80">
        <f t="shared" si="6"/>
        <v>1.2727272727272728E-2</v>
      </c>
    </row>
    <row r="1759" spans="1:6">
      <c r="A1759" s="78" t="s">
        <v>10</v>
      </c>
      <c r="B1759" s="78" t="s">
        <v>3656</v>
      </c>
      <c r="C1759" s="78" t="s">
        <v>3658</v>
      </c>
      <c r="D1759" s="79">
        <v>53000</v>
      </c>
      <c r="E1759" s="78" t="s">
        <v>118</v>
      </c>
      <c r="F1759" s="80">
        <f t="shared" si="6"/>
        <v>4.818181818181818E-2</v>
      </c>
    </row>
    <row r="1760" spans="1:6" ht="60">
      <c r="A1760" s="78" t="s">
        <v>10</v>
      </c>
      <c r="B1760" s="78" t="s">
        <v>3659</v>
      </c>
      <c r="C1760" s="78" t="s">
        <v>1983</v>
      </c>
      <c r="D1760" s="79">
        <v>70000</v>
      </c>
      <c r="E1760" s="78" t="s">
        <v>118</v>
      </c>
      <c r="F1760" s="80">
        <f t="shared" si="6"/>
        <v>6.363636363636363E-2</v>
      </c>
    </row>
    <row r="1761" spans="1:6">
      <c r="A1761" s="78" t="s">
        <v>10</v>
      </c>
      <c r="B1761" s="78" t="s">
        <v>3666</v>
      </c>
      <c r="C1761" s="78" t="s">
        <v>3658</v>
      </c>
      <c r="D1761" s="79">
        <v>42000</v>
      </c>
      <c r="E1761" s="78" t="s">
        <v>118</v>
      </c>
      <c r="F1761" s="80">
        <f t="shared" si="6"/>
        <v>3.8181818181818185E-2</v>
      </c>
    </row>
    <row r="1762" spans="1:6" ht="45">
      <c r="A1762" s="78" t="s">
        <v>10</v>
      </c>
      <c r="B1762" s="78" t="s">
        <v>3680</v>
      </c>
      <c r="C1762" s="78" t="s">
        <v>1105</v>
      </c>
      <c r="D1762" s="79">
        <v>30000</v>
      </c>
      <c r="E1762" s="78" t="s">
        <v>123</v>
      </c>
      <c r="F1762" s="80">
        <f t="shared" si="6"/>
        <v>2.7272727272727271E-2</v>
      </c>
    </row>
    <row r="1763" spans="1:6" ht="30">
      <c r="A1763" s="78" t="s">
        <v>10</v>
      </c>
      <c r="B1763" s="78" t="s">
        <v>3638</v>
      </c>
      <c r="C1763" s="78" t="s">
        <v>3639</v>
      </c>
      <c r="D1763" s="79">
        <v>42000</v>
      </c>
      <c r="E1763" s="78" t="s">
        <v>129</v>
      </c>
      <c r="F1763" s="80">
        <f t="shared" si="6"/>
        <v>3.8181818181818185E-2</v>
      </c>
    </row>
    <row r="1764" spans="1:6" ht="30">
      <c r="A1764" s="78" t="s">
        <v>10</v>
      </c>
      <c r="B1764" s="78" t="s">
        <v>891</v>
      </c>
      <c r="C1764" s="78" t="s">
        <v>3718</v>
      </c>
      <c r="D1764" s="79">
        <v>20000</v>
      </c>
      <c r="E1764" s="78" t="s">
        <v>129</v>
      </c>
      <c r="F1764" s="80">
        <f t="shared" si="6"/>
        <v>1.8181818181818181E-2</v>
      </c>
    </row>
    <row r="1765" spans="1:6" ht="45">
      <c r="A1765" s="78" t="s">
        <v>10</v>
      </c>
      <c r="B1765" s="78" t="s">
        <v>3671</v>
      </c>
      <c r="C1765" s="78" t="s">
        <v>3672</v>
      </c>
      <c r="D1765" s="79">
        <v>15000</v>
      </c>
      <c r="E1765" s="78" t="s">
        <v>124</v>
      </c>
      <c r="F1765" s="80">
        <f t="shared" si="6"/>
        <v>1.3636363636363636E-2</v>
      </c>
    </row>
    <row r="1766" spans="1:6" ht="30">
      <c r="A1766" s="78" t="s">
        <v>10</v>
      </c>
      <c r="B1766" s="78" t="s">
        <v>3711</v>
      </c>
      <c r="C1766" s="78" t="s">
        <v>3712</v>
      </c>
      <c r="D1766" s="79">
        <v>42000</v>
      </c>
      <c r="E1766" s="78" t="s">
        <v>126</v>
      </c>
      <c r="F1766" s="80">
        <f t="shared" si="6"/>
        <v>3.8181818181818185E-2</v>
      </c>
    </row>
    <row r="1767" spans="1:6" ht="75">
      <c r="A1767" s="78" t="s">
        <v>10</v>
      </c>
      <c r="B1767" s="78" t="s">
        <v>3711</v>
      </c>
      <c r="C1767" s="78" t="s">
        <v>3713</v>
      </c>
      <c r="D1767" s="79">
        <v>120000</v>
      </c>
      <c r="E1767" s="78" t="s">
        <v>126</v>
      </c>
      <c r="F1767" s="80">
        <f t="shared" si="6"/>
        <v>0.10909090909090909</v>
      </c>
    </row>
    <row r="1768" spans="1:6" ht="30">
      <c r="A1768" s="78" t="s">
        <v>10</v>
      </c>
      <c r="B1768" s="78" t="s">
        <v>3714</v>
      </c>
      <c r="C1768" s="78" t="s">
        <v>3715</v>
      </c>
      <c r="D1768" s="79">
        <v>30000</v>
      </c>
      <c r="E1768" s="78" t="s">
        <v>126</v>
      </c>
      <c r="F1768" s="80">
        <f t="shared" si="6"/>
        <v>2.7272727272727271E-2</v>
      </c>
    </row>
    <row r="1769" spans="1:6" ht="45">
      <c r="A1769" s="78" t="s">
        <v>10</v>
      </c>
      <c r="B1769" s="78" t="s">
        <v>3648</v>
      </c>
      <c r="C1769" s="78" t="s">
        <v>1068</v>
      </c>
      <c r="D1769" s="79">
        <v>90000</v>
      </c>
      <c r="E1769" s="78" t="s">
        <v>127</v>
      </c>
      <c r="F1769" s="80">
        <f t="shared" si="6"/>
        <v>8.1818181818181818E-2</v>
      </c>
    </row>
    <row r="1770" spans="1:6" ht="30">
      <c r="A1770" s="78" t="s">
        <v>10</v>
      </c>
      <c r="B1770" s="78" t="s">
        <v>3649</v>
      </c>
      <c r="C1770" s="78" t="s">
        <v>3653</v>
      </c>
      <c r="D1770" s="79">
        <v>60000</v>
      </c>
      <c r="E1770" s="78" t="s">
        <v>125</v>
      </c>
      <c r="F1770" s="80">
        <f t="shared" si="6"/>
        <v>5.4545454545454543E-2</v>
      </c>
    </row>
    <row r="1771" spans="1:6" ht="30">
      <c r="A1771" s="78" t="s">
        <v>10</v>
      </c>
      <c r="B1771" s="78" t="s">
        <v>3649</v>
      </c>
      <c r="C1771" s="78" t="s">
        <v>3655</v>
      </c>
      <c r="D1771" s="79">
        <v>35000</v>
      </c>
      <c r="E1771" s="78" t="s">
        <v>125</v>
      </c>
      <c r="F1771" s="80">
        <f t="shared" si="6"/>
        <v>3.1818181818181815E-2</v>
      </c>
    </row>
    <row r="1772" spans="1:6" ht="60">
      <c r="A1772" s="78" t="s">
        <v>10</v>
      </c>
      <c r="B1772" s="78" t="s">
        <v>3709</v>
      </c>
      <c r="C1772" s="78" t="s">
        <v>3710</v>
      </c>
      <c r="D1772" s="79">
        <v>150000</v>
      </c>
      <c r="E1772" s="78" t="s">
        <v>122</v>
      </c>
      <c r="F1772" s="80">
        <f t="shared" si="6"/>
        <v>0.13636363636363635</v>
      </c>
    </row>
    <row r="1773" spans="1:6">
      <c r="A1773" s="78" t="s">
        <v>10</v>
      </c>
      <c r="B1773" s="78" t="s">
        <v>3699</v>
      </c>
      <c r="C1773" s="78" t="s">
        <v>3700</v>
      </c>
      <c r="D1773" s="79">
        <v>8000</v>
      </c>
      <c r="E1773" s="78" t="s">
        <v>130</v>
      </c>
      <c r="F1773" s="80">
        <f t="shared" si="6"/>
        <v>7.2727272727272727E-3</v>
      </c>
    </row>
    <row r="1774" spans="1:6" ht="30">
      <c r="A1774" s="78" t="s">
        <v>10</v>
      </c>
      <c r="B1774" s="78" t="s">
        <v>3640</v>
      </c>
      <c r="C1774" s="78" t="s">
        <v>3641</v>
      </c>
      <c r="D1774" s="78"/>
    </row>
    <row r="1775" spans="1:6">
      <c r="A1775" s="78" t="s">
        <v>10</v>
      </c>
      <c r="B1775" s="78" t="s">
        <v>3642</v>
      </c>
      <c r="C1775" s="78" t="s">
        <v>3643</v>
      </c>
      <c r="D1775" s="78"/>
    </row>
    <row r="1776" spans="1:6" ht="45">
      <c r="A1776" s="78" t="s">
        <v>10</v>
      </c>
      <c r="B1776" s="78" t="s">
        <v>3644</v>
      </c>
      <c r="C1776" s="78" t="s">
        <v>3645</v>
      </c>
      <c r="D1776" s="78"/>
    </row>
    <row r="1777" spans="1:4" ht="30">
      <c r="A1777" s="78" t="s">
        <v>10</v>
      </c>
      <c r="B1777" s="78" t="s">
        <v>3646</v>
      </c>
      <c r="C1777" s="78" t="s">
        <v>3643</v>
      </c>
      <c r="D1777" s="78"/>
    </row>
    <row r="1778" spans="1:4">
      <c r="A1778" s="78" t="s">
        <v>10</v>
      </c>
      <c r="B1778" s="78" t="s">
        <v>738</v>
      </c>
      <c r="C1778" s="78" t="s">
        <v>3647</v>
      </c>
      <c r="D1778" s="78"/>
    </row>
    <row r="1779" spans="1:4" ht="30">
      <c r="A1779" s="78" t="s">
        <v>10</v>
      </c>
      <c r="B1779" s="78" t="s">
        <v>3649</v>
      </c>
      <c r="C1779" s="78" t="s">
        <v>3650</v>
      </c>
      <c r="D1779" s="78"/>
    </row>
    <row r="1780" spans="1:4" ht="60">
      <c r="A1780" s="78" t="s">
        <v>10</v>
      </c>
      <c r="B1780" s="78" t="s">
        <v>3649</v>
      </c>
      <c r="C1780" s="78" t="s">
        <v>3651</v>
      </c>
      <c r="D1780" s="78"/>
    </row>
    <row r="1781" spans="1:4" ht="30">
      <c r="A1781" s="78" t="s">
        <v>10</v>
      </c>
      <c r="B1781" s="78" t="s">
        <v>3649</v>
      </c>
      <c r="C1781" s="78" t="s">
        <v>3652</v>
      </c>
      <c r="D1781" s="78"/>
    </row>
    <row r="1782" spans="1:4" ht="30">
      <c r="A1782" s="78" t="s">
        <v>10</v>
      </c>
      <c r="B1782" s="78" t="s">
        <v>3649</v>
      </c>
      <c r="C1782" s="78" t="s">
        <v>3654</v>
      </c>
      <c r="D1782" s="78"/>
    </row>
    <row r="1783" spans="1:4" ht="75">
      <c r="A1783" s="78" t="s">
        <v>10</v>
      </c>
      <c r="B1783" s="78" t="s">
        <v>3656</v>
      </c>
      <c r="C1783" s="78" t="s">
        <v>3657</v>
      </c>
      <c r="D1783" s="78"/>
    </row>
    <row r="1784" spans="1:4" ht="30">
      <c r="A1784" s="78" t="s">
        <v>10</v>
      </c>
      <c r="B1784" s="78" t="s">
        <v>3660</v>
      </c>
      <c r="C1784" s="78" t="s">
        <v>3661</v>
      </c>
      <c r="D1784" s="78"/>
    </row>
    <row r="1785" spans="1:4">
      <c r="A1785" s="78" t="s">
        <v>10</v>
      </c>
      <c r="B1785" s="78" t="s">
        <v>3662</v>
      </c>
      <c r="C1785" s="78" t="s">
        <v>3663</v>
      </c>
      <c r="D1785" s="78"/>
    </row>
    <row r="1786" spans="1:4" ht="45">
      <c r="A1786" s="78" t="s">
        <v>10</v>
      </c>
      <c r="B1786" s="78" t="s">
        <v>3664</v>
      </c>
      <c r="C1786" s="78" t="s">
        <v>3665</v>
      </c>
      <c r="D1786" s="78"/>
    </row>
    <row r="1787" spans="1:4" ht="30">
      <c r="A1787" s="78" t="s">
        <v>10</v>
      </c>
      <c r="B1787" s="78" t="s">
        <v>3667</v>
      </c>
      <c r="C1787" s="78" t="s">
        <v>3668</v>
      </c>
      <c r="D1787" s="78"/>
    </row>
    <row r="1788" spans="1:4" ht="30">
      <c r="A1788" s="78" t="s">
        <v>10</v>
      </c>
      <c r="B1788" s="78" t="s">
        <v>3667</v>
      </c>
      <c r="C1788" s="78" t="s">
        <v>3669</v>
      </c>
      <c r="D1788" s="78"/>
    </row>
    <row r="1789" spans="1:4" ht="30">
      <c r="A1789" s="78" t="s">
        <v>10</v>
      </c>
      <c r="B1789" s="78" t="s">
        <v>3667</v>
      </c>
      <c r="C1789" s="78" t="s">
        <v>3670</v>
      </c>
      <c r="D1789" s="78"/>
    </row>
    <row r="1790" spans="1:4" ht="60">
      <c r="A1790" s="78" t="s">
        <v>10</v>
      </c>
      <c r="B1790" s="78" t="s">
        <v>3673</v>
      </c>
      <c r="C1790" s="78" t="s">
        <v>3651</v>
      </c>
      <c r="D1790" s="78"/>
    </row>
    <row r="1791" spans="1:4">
      <c r="A1791" s="78" t="s">
        <v>10</v>
      </c>
      <c r="B1791" s="78" t="s">
        <v>3676</v>
      </c>
      <c r="C1791" s="78" t="s">
        <v>3677</v>
      </c>
      <c r="D1791" s="78"/>
    </row>
    <row r="1792" spans="1:4" ht="45">
      <c r="A1792" s="78" t="s">
        <v>10</v>
      </c>
      <c r="B1792" s="78" t="s">
        <v>3678</v>
      </c>
      <c r="C1792" s="78" t="s">
        <v>3679</v>
      </c>
      <c r="D1792" s="78"/>
    </row>
    <row r="1793" spans="1:4" ht="30">
      <c r="A1793" s="78" t="s">
        <v>10</v>
      </c>
      <c r="B1793" s="78" t="s">
        <v>3680</v>
      </c>
      <c r="C1793" s="78" t="s">
        <v>3681</v>
      </c>
      <c r="D1793" s="78"/>
    </row>
    <row r="1794" spans="1:4">
      <c r="A1794" s="78" t="s">
        <v>10</v>
      </c>
      <c r="B1794" s="78" t="s">
        <v>3680</v>
      </c>
      <c r="C1794" s="78" t="s">
        <v>3682</v>
      </c>
      <c r="D1794" s="78"/>
    </row>
    <row r="1795" spans="1:4" ht="30">
      <c r="A1795" s="78" t="s">
        <v>10</v>
      </c>
      <c r="B1795" s="78" t="s">
        <v>3687</v>
      </c>
      <c r="C1795" s="78" t="s">
        <v>3688</v>
      </c>
      <c r="D1795" s="78"/>
    </row>
    <row r="1796" spans="1:4">
      <c r="A1796" s="78" t="s">
        <v>10</v>
      </c>
      <c r="B1796" s="78" t="s">
        <v>3692</v>
      </c>
      <c r="C1796" s="78" t="s">
        <v>3650</v>
      </c>
      <c r="D1796" s="78"/>
    </row>
    <row r="1797" spans="1:4" ht="30">
      <c r="A1797" s="78" t="s">
        <v>10</v>
      </c>
      <c r="B1797" s="78" t="s">
        <v>3693</v>
      </c>
      <c r="C1797" s="78" t="s">
        <v>3681</v>
      </c>
      <c r="D1797" s="78"/>
    </row>
    <row r="1798" spans="1:4" ht="45">
      <c r="A1798" s="78" t="s">
        <v>10</v>
      </c>
      <c r="B1798" s="78" t="s">
        <v>3695</v>
      </c>
      <c r="C1798" s="78" t="s">
        <v>3696</v>
      </c>
      <c r="D1798" s="78"/>
    </row>
    <row r="1799" spans="1:4" ht="30">
      <c r="A1799" s="78" t="s">
        <v>10</v>
      </c>
      <c r="B1799" s="78" t="s">
        <v>3697</v>
      </c>
      <c r="C1799" s="78" t="s">
        <v>3698</v>
      </c>
      <c r="D1799" s="78"/>
    </row>
    <row r="1800" spans="1:4" ht="30">
      <c r="A1800" s="78" t="s">
        <v>10</v>
      </c>
      <c r="B1800" s="78" t="s">
        <v>3701</v>
      </c>
      <c r="C1800" s="78" t="s">
        <v>3702</v>
      </c>
      <c r="D1800" s="78"/>
    </row>
    <row r="1801" spans="1:4" ht="30">
      <c r="A1801" s="78" t="s">
        <v>10</v>
      </c>
      <c r="B1801" s="78" t="s">
        <v>3705</v>
      </c>
      <c r="C1801" s="78" t="s">
        <v>3706</v>
      </c>
      <c r="D1801" s="78"/>
    </row>
    <row r="1802" spans="1:4" ht="30">
      <c r="A1802" s="78" t="s">
        <v>10</v>
      </c>
      <c r="B1802" s="78" t="s">
        <v>3707</v>
      </c>
      <c r="C1802" s="78" t="s">
        <v>3708</v>
      </c>
      <c r="D1802" s="78"/>
    </row>
    <row r="1803" spans="1:4">
      <c r="A1803" s="78" t="s">
        <v>10</v>
      </c>
      <c r="B1803" s="78" t="s">
        <v>3716</v>
      </c>
      <c r="C1803" s="78" t="s">
        <v>3717</v>
      </c>
      <c r="D1803" s="78"/>
    </row>
    <row r="1804" spans="1:4">
      <c r="A1804" s="78" t="s">
        <v>3719</v>
      </c>
      <c r="B1804" s="78" t="s">
        <v>3720</v>
      </c>
      <c r="C1804" s="78" t="s">
        <v>3721</v>
      </c>
      <c r="D1804" s="79">
        <v>1000</v>
      </c>
    </row>
    <row r="1805" spans="1:4" ht="45">
      <c r="A1805" s="78" t="s">
        <v>3719</v>
      </c>
      <c r="B1805" s="78" t="s">
        <v>3720</v>
      </c>
      <c r="C1805" s="78" t="s">
        <v>3722</v>
      </c>
      <c r="D1805" s="78"/>
    </row>
    <row r="1806" spans="1:4" ht="45">
      <c r="A1806" s="78" t="s">
        <v>3719</v>
      </c>
      <c r="B1806" s="78" t="s">
        <v>3720</v>
      </c>
      <c r="C1806" s="78" t="s">
        <v>3723</v>
      </c>
      <c r="D1806" s="78"/>
    </row>
    <row r="1807" spans="1:4" ht="30">
      <c r="A1807" s="78" t="s">
        <v>3719</v>
      </c>
      <c r="B1807" s="78" t="s">
        <v>3724</v>
      </c>
      <c r="C1807" s="78" t="s">
        <v>3725</v>
      </c>
      <c r="D1807" s="79">
        <v>1450</v>
      </c>
    </row>
    <row r="1808" spans="1:4" ht="30">
      <c r="A1808" s="78" t="s">
        <v>3719</v>
      </c>
      <c r="B1808" s="78" t="s">
        <v>3726</v>
      </c>
      <c r="C1808" s="78" t="s">
        <v>3727</v>
      </c>
      <c r="D1808" s="78"/>
    </row>
    <row r="1809" spans="1:5" ht="30">
      <c r="A1809" s="78" t="s">
        <v>25</v>
      </c>
      <c r="B1809" s="78" t="s">
        <v>3732</v>
      </c>
      <c r="C1809" s="78" t="s">
        <v>3733</v>
      </c>
      <c r="D1809" s="79">
        <v>100000</v>
      </c>
      <c r="E1809" s="78" t="s">
        <v>248</v>
      </c>
    </row>
    <row r="1810" spans="1:5" ht="30">
      <c r="A1810" s="78" t="s">
        <v>25</v>
      </c>
      <c r="B1810" s="78" t="s">
        <v>3736</v>
      </c>
      <c r="C1810" s="78" t="s">
        <v>3733</v>
      </c>
      <c r="D1810" s="79">
        <v>15000</v>
      </c>
      <c r="E1810" s="78" t="s">
        <v>248</v>
      </c>
    </row>
    <row r="1811" spans="1:5" ht="30">
      <c r="A1811" s="78" t="s">
        <v>25</v>
      </c>
      <c r="B1811" s="78" t="s">
        <v>3728</v>
      </c>
      <c r="C1811" s="78" t="s">
        <v>1773</v>
      </c>
      <c r="D1811" s="79">
        <v>90000</v>
      </c>
      <c r="E1811" s="78" t="s">
        <v>252</v>
      </c>
    </row>
    <row r="1812" spans="1:5">
      <c r="A1812" s="78" t="s">
        <v>25</v>
      </c>
      <c r="B1812" s="87" t="s">
        <v>3739</v>
      </c>
      <c r="C1812" s="78" t="s">
        <v>3740</v>
      </c>
      <c r="D1812" s="79">
        <v>35000</v>
      </c>
      <c r="E1812" s="88" t="s">
        <v>252</v>
      </c>
    </row>
    <row r="1813" spans="1:5" ht="45">
      <c r="A1813" s="78" t="s">
        <v>25</v>
      </c>
      <c r="B1813" s="78" t="s">
        <v>3737</v>
      </c>
      <c r="C1813" s="78" t="s">
        <v>3738</v>
      </c>
      <c r="D1813" s="79">
        <v>58000</v>
      </c>
      <c r="E1813" s="78" t="s">
        <v>254</v>
      </c>
    </row>
    <row r="1814" spans="1:5" ht="30">
      <c r="A1814" s="78" t="s">
        <v>25</v>
      </c>
      <c r="B1814" s="78" t="s">
        <v>3729</v>
      </c>
      <c r="C1814" s="78" t="s">
        <v>3730</v>
      </c>
      <c r="D1814" s="78"/>
    </row>
    <row r="1815" spans="1:5" ht="30">
      <c r="A1815" s="78" t="s">
        <v>25</v>
      </c>
      <c r="B1815" s="78" t="s">
        <v>3731</v>
      </c>
      <c r="C1815" s="78" t="s">
        <v>1114</v>
      </c>
      <c r="D1815" s="78"/>
    </row>
    <row r="1816" spans="1:5" ht="60">
      <c r="A1816" s="78" t="s">
        <v>25</v>
      </c>
      <c r="B1816" s="78" t="s">
        <v>3734</v>
      </c>
      <c r="C1816" s="78" t="s">
        <v>3735</v>
      </c>
      <c r="D1816" s="78"/>
    </row>
    <row r="1817" spans="1:5" ht="30">
      <c r="A1817" s="78" t="s">
        <v>3741</v>
      </c>
      <c r="B1817" s="78" t="s">
        <v>3747</v>
      </c>
      <c r="C1817" s="78" t="s">
        <v>3748</v>
      </c>
      <c r="D1817" s="79">
        <v>70000</v>
      </c>
      <c r="E1817" s="78" t="s">
        <v>305</v>
      </c>
    </row>
    <row r="1818" spans="1:5">
      <c r="A1818" s="78" t="s">
        <v>3741</v>
      </c>
      <c r="B1818" s="78" t="s">
        <v>3772</v>
      </c>
      <c r="C1818" s="78" t="s">
        <v>1273</v>
      </c>
      <c r="D1818" s="79">
        <v>130000</v>
      </c>
      <c r="E1818" s="78" t="s">
        <v>305</v>
      </c>
    </row>
    <row r="1819" spans="1:5" ht="30">
      <c r="A1819" s="78" t="s">
        <v>3741</v>
      </c>
      <c r="B1819" s="78" t="s">
        <v>3774</v>
      </c>
      <c r="C1819" s="78" t="s">
        <v>3748</v>
      </c>
      <c r="D1819" s="79">
        <v>110000</v>
      </c>
      <c r="E1819" s="78" t="s">
        <v>305</v>
      </c>
    </row>
    <row r="1820" spans="1:5" ht="30">
      <c r="A1820" s="78" t="s">
        <v>3741</v>
      </c>
      <c r="B1820" s="78" t="s">
        <v>3753</v>
      </c>
      <c r="C1820" s="78" t="s">
        <v>3754</v>
      </c>
      <c r="D1820" s="79">
        <v>21000</v>
      </c>
      <c r="E1820" s="78" t="s">
        <v>309</v>
      </c>
    </row>
    <row r="1821" spans="1:5" ht="60">
      <c r="A1821" s="78" t="s">
        <v>3741</v>
      </c>
      <c r="B1821" s="78" t="s">
        <v>3764</v>
      </c>
      <c r="C1821" s="78" t="s">
        <v>3765</v>
      </c>
      <c r="D1821" s="79">
        <v>15000</v>
      </c>
      <c r="E1821" s="78" t="s">
        <v>309</v>
      </c>
    </row>
    <row r="1822" spans="1:5" ht="30">
      <c r="A1822" s="78" t="s">
        <v>3741</v>
      </c>
      <c r="B1822" s="78" t="s">
        <v>3742</v>
      </c>
      <c r="C1822" s="78" t="s">
        <v>3743</v>
      </c>
      <c r="D1822" s="78"/>
    </row>
    <row r="1823" spans="1:5">
      <c r="A1823" s="78" t="s">
        <v>3741</v>
      </c>
      <c r="B1823" s="78" t="s">
        <v>3744</v>
      </c>
      <c r="C1823" s="78" t="s">
        <v>3745</v>
      </c>
      <c r="D1823" s="78"/>
    </row>
    <row r="1824" spans="1:5" ht="30">
      <c r="A1824" s="78" t="s">
        <v>3741</v>
      </c>
      <c r="B1824" s="78" t="s">
        <v>3744</v>
      </c>
      <c r="C1824" s="78" t="s">
        <v>3746</v>
      </c>
      <c r="D1824" s="78"/>
    </row>
    <row r="1825" spans="1:4" ht="45">
      <c r="A1825" s="78" t="s">
        <v>3741</v>
      </c>
      <c r="B1825" s="78" t="s">
        <v>3749</v>
      </c>
      <c r="C1825" s="78" t="s">
        <v>3750</v>
      </c>
      <c r="D1825" s="78"/>
    </row>
    <row r="1826" spans="1:4" ht="30">
      <c r="A1826" s="78" t="s">
        <v>3741</v>
      </c>
      <c r="B1826" s="78" t="s">
        <v>3751</v>
      </c>
      <c r="C1826" s="78" t="s">
        <v>3752</v>
      </c>
      <c r="D1826" s="78"/>
    </row>
    <row r="1827" spans="1:4">
      <c r="A1827" s="78" t="s">
        <v>3741</v>
      </c>
      <c r="B1827" s="78" t="s">
        <v>3755</v>
      </c>
      <c r="C1827" s="78" t="s">
        <v>3756</v>
      </c>
      <c r="D1827" s="78"/>
    </row>
    <row r="1828" spans="1:4" ht="60">
      <c r="A1828" s="78" t="s">
        <v>3741</v>
      </c>
      <c r="B1828" s="78" t="s">
        <v>3757</v>
      </c>
      <c r="C1828" s="78" t="s">
        <v>3758</v>
      </c>
      <c r="D1828" s="78"/>
    </row>
    <row r="1829" spans="1:4" ht="30">
      <c r="A1829" s="78" t="s">
        <v>3741</v>
      </c>
      <c r="B1829" s="78" t="s">
        <v>3759</v>
      </c>
      <c r="C1829" s="78" t="s">
        <v>3743</v>
      </c>
      <c r="D1829" s="78"/>
    </row>
    <row r="1830" spans="1:4" ht="30">
      <c r="A1830" s="78" t="s">
        <v>3741</v>
      </c>
      <c r="B1830" s="78" t="s">
        <v>3760</v>
      </c>
      <c r="C1830" s="78" t="s">
        <v>3761</v>
      </c>
      <c r="D1830" s="78"/>
    </row>
    <row r="1831" spans="1:4" ht="45">
      <c r="A1831" s="78" t="s">
        <v>3741</v>
      </c>
      <c r="B1831" s="78" t="s">
        <v>3762</v>
      </c>
      <c r="C1831" s="78" t="s">
        <v>3763</v>
      </c>
      <c r="D1831" s="78"/>
    </row>
    <row r="1832" spans="1:4" ht="45">
      <c r="A1832" s="78" t="s">
        <v>3741</v>
      </c>
      <c r="B1832" s="78" t="s">
        <v>3766</v>
      </c>
      <c r="C1832" s="78" t="s">
        <v>3767</v>
      </c>
      <c r="D1832" s="78"/>
    </row>
    <row r="1833" spans="1:4" ht="45">
      <c r="A1833" s="78" t="s">
        <v>3741</v>
      </c>
      <c r="B1833" s="78" t="s">
        <v>3768</v>
      </c>
      <c r="C1833" s="78" t="s">
        <v>3769</v>
      </c>
      <c r="D1833" s="78"/>
    </row>
    <row r="1834" spans="1:4" ht="30">
      <c r="A1834" s="78" t="s">
        <v>3741</v>
      </c>
      <c r="B1834" s="78" t="s">
        <v>3770</v>
      </c>
      <c r="C1834" s="78" t="s">
        <v>3771</v>
      </c>
      <c r="D1834" s="78"/>
    </row>
    <row r="1835" spans="1:4" ht="45">
      <c r="A1835" s="78" t="s">
        <v>3741</v>
      </c>
      <c r="B1835" s="78" t="s">
        <v>3773</v>
      </c>
      <c r="C1835" s="78" t="s">
        <v>1465</v>
      </c>
      <c r="D1835" s="78"/>
    </row>
    <row r="1836" spans="1:4" ht="45">
      <c r="A1836" s="78" t="s">
        <v>3741</v>
      </c>
      <c r="B1836" s="78" t="s">
        <v>3775</v>
      </c>
      <c r="C1836" s="78" t="s">
        <v>3776</v>
      </c>
      <c r="D1836" s="78"/>
    </row>
    <row r="1837" spans="1:4" ht="30">
      <c r="A1837" s="78" t="s">
        <v>3741</v>
      </c>
      <c r="B1837" s="78" t="s">
        <v>3777</v>
      </c>
      <c r="C1837" s="78" t="s">
        <v>3743</v>
      </c>
      <c r="D1837" s="78"/>
    </row>
    <row r="1838" spans="1:4">
      <c r="A1838" s="78" t="s">
        <v>3741</v>
      </c>
      <c r="B1838" s="78" t="s">
        <v>3778</v>
      </c>
      <c r="C1838" s="78" t="s">
        <v>3779</v>
      </c>
      <c r="D1838" s="78"/>
    </row>
    <row r="1839" spans="1:4" ht="30">
      <c r="A1839" s="78" t="s">
        <v>3741</v>
      </c>
      <c r="B1839" s="78" t="s">
        <v>3780</v>
      </c>
      <c r="C1839" s="78" t="s">
        <v>3781</v>
      </c>
      <c r="D1839" s="78"/>
    </row>
    <row r="1840" spans="1:4" ht="30">
      <c r="A1840" s="78" t="s">
        <v>3782</v>
      </c>
      <c r="B1840" s="78" t="s">
        <v>3783</v>
      </c>
      <c r="C1840" s="78" t="s">
        <v>3784</v>
      </c>
      <c r="D1840" s="78"/>
    </row>
    <row r="1841" spans="1:4" ht="45">
      <c r="A1841" s="78" t="s">
        <v>3782</v>
      </c>
      <c r="B1841" s="78" t="s">
        <v>3783</v>
      </c>
      <c r="C1841" s="78" t="s">
        <v>3785</v>
      </c>
      <c r="D1841" s="79">
        <v>6000</v>
      </c>
    </row>
    <row r="1842" spans="1:4" ht="45">
      <c r="A1842" s="78" t="s">
        <v>3782</v>
      </c>
      <c r="B1842" s="78" t="s">
        <v>3783</v>
      </c>
      <c r="C1842" s="78" t="s">
        <v>3786</v>
      </c>
      <c r="D1842" s="79">
        <v>3000</v>
      </c>
    </row>
    <row r="1843" spans="1:4" ht="45">
      <c r="A1843" s="78" t="s">
        <v>3782</v>
      </c>
      <c r="B1843" s="78" t="s">
        <v>3783</v>
      </c>
      <c r="C1843" s="78" t="s">
        <v>3787</v>
      </c>
      <c r="D1843" s="79">
        <v>3500</v>
      </c>
    </row>
    <row r="1844" spans="1:4" ht="45">
      <c r="A1844" s="78" t="s">
        <v>3782</v>
      </c>
      <c r="B1844" s="78" t="s">
        <v>3788</v>
      </c>
      <c r="C1844" s="78" t="s">
        <v>3789</v>
      </c>
      <c r="D1844" s="79">
        <v>2500</v>
      </c>
    </row>
    <row r="1845" spans="1:4" ht="45">
      <c r="A1845" s="78" t="s">
        <v>3790</v>
      </c>
      <c r="B1845" s="78" t="s">
        <v>3791</v>
      </c>
      <c r="C1845" s="78" t="s">
        <v>3792</v>
      </c>
      <c r="D1845" s="78"/>
    </row>
    <row r="1846" spans="1:4" ht="45">
      <c r="A1846" s="78" t="s">
        <v>3790</v>
      </c>
      <c r="B1846" s="78" t="s">
        <v>3793</v>
      </c>
      <c r="C1846" s="78" t="s">
        <v>3794</v>
      </c>
      <c r="D1846" s="79">
        <v>40000</v>
      </c>
    </row>
    <row r="1847" spans="1:4">
      <c r="A1847" s="78" t="s">
        <v>3790</v>
      </c>
      <c r="B1847" s="78" t="s">
        <v>3795</v>
      </c>
      <c r="C1847" s="78" t="s">
        <v>3796</v>
      </c>
      <c r="D1847" s="79">
        <v>300000</v>
      </c>
    </row>
    <row r="1848" spans="1:4" ht="30">
      <c r="A1848" s="78" t="s">
        <v>3790</v>
      </c>
      <c r="B1848" s="78" t="s">
        <v>3797</v>
      </c>
      <c r="C1848" s="78" t="s">
        <v>3798</v>
      </c>
      <c r="D1848" s="79">
        <v>1400</v>
      </c>
    </row>
    <row r="1849" spans="1:4" ht="30">
      <c r="A1849" s="78" t="s">
        <v>3790</v>
      </c>
      <c r="B1849" s="78" t="s">
        <v>3797</v>
      </c>
      <c r="C1849" s="78" t="s">
        <v>3799</v>
      </c>
      <c r="D1849" s="79">
        <v>42000</v>
      </c>
    </row>
    <row r="1850" spans="1:4" ht="30">
      <c r="A1850" s="78" t="s">
        <v>3790</v>
      </c>
      <c r="B1850" s="78" t="s">
        <v>3797</v>
      </c>
      <c r="C1850" s="78" t="s">
        <v>3800</v>
      </c>
      <c r="D1850" s="79">
        <v>9600</v>
      </c>
    </row>
    <row r="1851" spans="1:4" ht="60">
      <c r="A1851" s="78" t="s">
        <v>3790</v>
      </c>
      <c r="B1851" s="78" t="s">
        <v>3797</v>
      </c>
      <c r="C1851" s="78" t="s">
        <v>3801</v>
      </c>
      <c r="D1851" s="79">
        <v>143000</v>
      </c>
    </row>
    <row r="1852" spans="1:4" ht="30">
      <c r="A1852" s="78" t="s">
        <v>3790</v>
      </c>
      <c r="B1852" s="78" t="s">
        <v>3797</v>
      </c>
      <c r="C1852" s="78" t="s">
        <v>3802</v>
      </c>
      <c r="D1852" s="79">
        <v>6000</v>
      </c>
    </row>
    <row r="1853" spans="1:4" ht="30">
      <c r="A1853" s="78" t="s">
        <v>3790</v>
      </c>
      <c r="B1853" s="78" t="s">
        <v>3797</v>
      </c>
      <c r="C1853" s="78" t="s">
        <v>3803</v>
      </c>
      <c r="D1853" s="78"/>
    </row>
    <row r="1854" spans="1:4" ht="30">
      <c r="A1854" s="78" t="s">
        <v>3790</v>
      </c>
      <c r="B1854" s="78" t="s">
        <v>3797</v>
      </c>
      <c r="C1854" s="78" t="s">
        <v>3804</v>
      </c>
      <c r="D1854" s="79">
        <v>144000</v>
      </c>
    </row>
    <row r="1855" spans="1:4" ht="45">
      <c r="A1855" s="78" t="s">
        <v>3790</v>
      </c>
      <c r="B1855" s="78" t="s">
        <v>3797</v>
      </c>
      <c r="C1855" s="78" t="s">
        <v>3805</v>
      </c>
      <c r="D1855" s="78"/>
    </row>
    <row r="1856" spans="1:4" ht="30">
      <c r="A1856" s="78" t="s">
        <v>3790</v>
      </c>
      <c r="B1856" s="78" t="s">
        <v>3797</v>
      </c>
      <c r="C1856" s="78" t="s">
        <v>3806</v>
      </c>
      <c r="D1856" s="79">
        <v>7200</v>
      </c>
    </row>
    <row r="1857" spans="1:4" ht="30">
      <c r="A1857" s="78" t="s">
        <v>3790</v>
      </c>
      <c r="B1857" s="78" t="s">
        <v>3797</v>
      </c>
      <c r="C1857" s="78" t="s">
        <v>3807</v>
      </c>
      <c r="D1857" s="79">
        <v>1000</v>
      </c>
    </row>
    <row r="1858" spans="1:4" ht="45">
      <c r="A1858" s="78" t="s">
        <v>3790</v>
      </c>
      <c r="B1858" s="78" t="s">
        <v>3797</v>
      </c>
      <c r="C1858" s="78" t="s">
        <v>3808</v>
      </c>
      <c r="D1858" s="79">
        <v>108000</v>
      </c>
    </row>
    <row r="1859" spans="1:4" ht="30">
      <c r="A1859" s="78" t="s">
        <v>3790</v>
      </c>
      <c r="B1859" s="78" t="s">
        <v>3797</v>
      </c>
      <c r="C1859" s="78" t="s">
        <v>3809</v>
      </c>
      <c r="D1859" s="78"/>
    </row>
    <row r="1860" spans="1:4" ht="30">
      <c r="A1860" s="78" t="s">
        <v>3790</v>
      </c>
      <c r="B1860" s="78" t="s">
        <v>3797</v>
      </c>
      <c r="C1860" s="78" t="s">
        <v>3810</v>
      </c>
      <c r="D1860" s="78"/>
    </row>
    <row r="1861" spans="1:4" ht="45">
      <c r="A1861" s="78" t="s">
        <v>3790</v>
      </c>
      <c r="B1861" s="78" t="s">
        <v>3797</v>
      </c>
      <c r="C1861" s="78" t="s">
        <v>3811</v>
      </c>
      <c r="D1861" s="78"/>
    </row>
    <row r="1862" spans="1:4" ht="30">
      <c r="A1862" s="78" t="s">
        <v>3790</v>
      </c>
      <c r="B1862" s="78" t="s">
        <v>3797</v>
      </c>
      <c r="C1862" s="78" t="s">
        <v>3812</v>
      </c>
      <c r="D1862" s="78"/>
    </row>
    <row r="1863" spans="1:4" ht="30">
      <c r="A1863" s="78" t="s">
        <v>3790</v>
      </c>
      <c r="B1863" s="78" t="s">
        <v>3797</v>
      </c>
      <c r="C1863" s="78" t="s">
        <v>3813</v>
      </c>
      <c r="D1863" s="79">
        <v>2400</v>
      </c>
    </row>
    <row r="1864" spans="1:4" ht="30">
      <c r="A1864" s="78" t="s">
        <v>3790</v>
      </c>
      <c r="B1864" s="78" t="s">
        <v>3797</v>
      </c>
      <c r="C1864" s="78" t="s">
        <v>3814</v>
      </c>
      <c r="D1864" s="78"/>
    </row>
    <row r="1865" spans="1:4" ht="60">
      <c r="A1865" s="78" t="s">
        <v>3790</v>
      </c>
      <c r="B1865" s="78" t="s">
        <v>3797</v>
      </c>
      <c r="C1865" s="78" t="s">
        <v>3815</v>
      </c>
      <c r="D1865" s="79">
        <v>60000</v>
      </c>
    </row>
    <row r="1866" spans="1:4" ht="30">
      <c r="A1866" s="78" t="s">
        <v>3790</v>
      </c>
      <c r="B1866" s="78" t="s">
        <v>3797</v>
      </c>
      <c r="C1866" s="78" t="s">
        <v>3816</v>
      </c>
      <c r="D1866" s="79">
        <v>60000</v>
      </c>
    </row>
    <row r="1867" spans="1:4" ht="30">
      <c r="A1867" s="78" t="s">
        <v>3790</v>
      </c>
      <c r="B1867" s="78" t="s">
        <v>3797</v>
      </c>
      <c r="C1867" s="78" t="s">
        <v>3817</v>
      </c>
      <c r="D1867" s="79">
        <v>48000</v>
      </c>
    </row>
    <row r="1868" spans="1:4" ht="30">
      <c r="A1868" s="78" t="s">
        <v>3790</v>
      </c>
      <c r="B1868" s="78" t="s">
        <v>3797</v>
      </c>
      <c r="C1868" s="78" t="s">
        <v>3818</v>
      </c>
      <c r="D1868" s="78"/>
    </row>
    <row r="1869" spans="1:4" ht="30">
      <c r="A1869" s="78" t="s">
        <v>3790</v>
      </c>
      <c r="B1869" s="78" t="s">
        <v>3797</v>
      </c>
      <c r="C1869" s="78" t="s">
        <v>3819</v>
      </c>
      <c r="D1869" s="79">
        <v>20000</v>
      </c>
    </row>
    <row r="1870" spans="1:4" ht="45">
      <c r="A1870" s="78" t="s">
        <v>3790</v>
      </c>
      <c r="B1870" s="78" t="s">
        <v>3820</v>
      </c>
      <c r="C1870" s="78" t="s">
        <v>2726</v>
      </c>
      <c r="D1870" s="79">
        <v>6000</v>
      </c>
    </row>
    <row r="1871" spans="1:4" ht="30">
      <c r="A1871" s="78" t="s">
        <v>3790</v>
      </c>
      <c r="B1871" s="78" t="s">
        <v>3821</v>
      </c>
      <c r="C1871" s="78" t="s">
        <v>3822</v>
      </c>
      <c r="D1871" s="79">
        <v>3200</v>
      </c>
    </row>
    <row r="1872" spans="1:4" ht="45">
      <c r="A1872" s="78" t="s">
        <v>3790</v>
      </c>
      <c r="B1872" s="78" t="s">
        <v>3821</v>
      </c>
      <c r="C1872" s="78" t="s">
        <v>3823</v>
      </c>
      <c r="D1872" s="78"/>
    </row>
    <row r="1873" spans="1:4" ht="30">
      <c r="A1873" s="78" t="s">
        <v>3790</v>
      </c>
      <c r="B1873" s="78" t="s">
        <v>3821</v>
      </c>
      <c r="C1873" s="78" t="s">
        <v>3824</v>
      </c>
      <c r="D1873" s="79">
        <v>3500</v>
      </c>
    </row>
    <row r="1874" spans="1:4" ht="30">
      <c r="A1874" s="78" t="s">
        <v>3790</v>
      </c>
      <c r="B1874" s="78" t="s">
        <v>3821</v>
      </c>
      <c r="C1874" s="78" t="s">
        <v>3825</v>
      </c>
      <c r="D1874" s="78"/>
    </row>
    <row r="1875" spans="1:4" ht="30">
      <c r="A1875" s="78" t="s">
        <v>3790</v>
      </c>
      <c r="B1875" s="78" t="s">
        <v>3821</v>
      </c>
      <c r="C1875" s="78" t="s">
        <v>3826</v>
      </c>
      <c r="D1875" s="79">
        <v>4900</v>
      </c>
    </row>
    <row r="1876" spans="1:4" ht="30">
      <c r="A1876" s="78" t="s">
        <v>3790</v>
      </c>
      <c r="B1876" s="78" t="s">
        <v>3827</v>
      </c>
      <c r="C1876" s="78" t="s">
        <v>3828</v>
      </c>
      <c r="D1876" s="79">
        <v>2000</v>
      </c>
    </row>
    <row r="1877" spans="1:4" ht="30">
      <c r="A1877" s="78" t="s">
        <v>3790</v>
      </c>
      <c r="B1877" s="78" t="s">
        <v>3827</v>
      </c>
      <c r="C1877" s="78" t="s">
        <v>3828</v>
      </c>
      <c r="D1877" s="79">
        <v>2000</v>
      </c>
    </row>
    <row r="1878" spans="1:4" ht="30">
      <c r="A1878" s="78" t="s">
        <v>3790</v>
      </c>
      <c r="B1878" s="78" t="s">
        <v>3829</v>
      </c>
      <c r="C1878" s="78" t="s">
        <v>3830</v>
      </c>
      <c r="D1878" s="79">
        <v>2500</v>
      </c>
    </row>
    <row r="1879" spans="1:4" ht="30">
      <c r="A1879" s="78" t="s">
        <v>3790</v>
      </c>
      <c r="B1879" s="78" t="s">
        <v>3829</v>
      </c>
      <c r="C1879" s="78" t="s">
        <v>3830</v>
      </c>
      <c r="D1879" s="79">
        <v>2500</v>
      </c>
    </row>
    <row r="1880" spans="1:4" ht="45">
      <c r="A1880" s="78" t="s">
        <v>3790</v>
      </c>
      <c r="B1880" s="78" t="s">
        <v>3831</v>
      </c>
      <c r="C1880" s="78" t="s">
        <v>3832</v>
      </c>
      <c r="D1880" s="78"/>
    </row>
    <row r="1881" spans="1:4" ht="45">
      <c r="A1881" s="78" t="s">
        <v>3790</v>
      </c>
      <c r="B1881" s="78" t="s">
        <v>3833</v>
      </c>
      <c r="C1881" s="78" t="s">
        <v>3834</v>
      </c>
      <c r="D1881" s="78"/>
    </row>
    <row r="1882" spans="1:4" ht="30">
      <c r="A1882" s="78" t="s">
        <v>3790</v>
      </c>
      <c r="B1882" s="78" t="s">
        <v>3833</v>
      </c>
      <c r="C1882" s="78" t="s">
        <v>3835</v>
      </c>
      <c r="D1882" s="79">
        <v>2000</v>
      </c>
    </row>
    <row r="1883" spans="1:4" ht="30">
      <c r="A1883" s="78" t="s">
        <v>3790</v>
      </c>
      <c r="B1883" s="78" t="s">
        <v>3833</v>
      </c>
      <c r="C1883" s="78" t="s">
        <v>3836</v>
      </c>
      <c r="D1883" s="79">
        <v>6600</v>
      </c>
    </row>
    <row r="1884" spans="1:4" ht="45">
      <c r="A1884" s="78" t="s">
        <v>3790</v>
      </c>
      <c r="B1884" s="78" t="s">
        <v>3833</v>
      </c>
      <c r="C1884" s="78" t="s">
        <v>3837</v>
      </c>
      <c r="D1884" s="78"/>
    </row>
    <row r="1885" spans="1:4" ht="45">
      <c r="A1885" s="78" t="s">
        <v>3790</v>
      </c>
      <c r="B1885" s="78" t="s">
        <v>3833</v>
      </c>
      <c r="C1885" s="78" t="s">
        <v>3838</v>
      </c>
      <c r="D1885" s="78"/>
    </row>
    <row r="1886" spans="1:4" ht="30">
      <c r="A1886" s="78" t="s">
        <v>3790</v>
      </c>
      <c r="B1886" s="78" t="s">
        <v>3833</v>
      </c>
      <c r="C1886" s="78" t="s">
        <v>3839</v>
      </c>
      <c r="D1886" s="79">
        <v>4500</v>
      </c>
    </row>
    <row r="1887" spans="1:4" ht="45">
      <c r="A1887" s="78" t="s">
        <v>3790</v>
      </c>
      <c r="B1887" s="78" t="s">
        <v>3833</v>
      </c>
      <c r="C1887" s="78" t="s">
        <v>3840</v>
      </c>
      <c r="D1887" s="78"/>
    </row>
    <row r="1888" spans="1:4" ht="30">
      <c r="A1888" s="78" t="s">
        <v>3790</v>
      </c>
      <c r="B1888" s="78" t="s">
        <v>3833</v>
      </c>
      <c r="C1888" s="78" t="s">
        <v>3841</v>
      </c>
      <c r="D1888" s="78"/>
    </row>
    <row r="1889" spans="1:4" ht="30">
      <c r="A1889" s="78" t="s">
        <v>3790</v>
      </c>
      <c r="B1889" s="78" t="s">
        <v>3833</v>
      </c>
      <c r="C1889" s="78" t="s">
        <v>3842</v>
      </c>
      <c r="D1889" s="78"/>
    </row>
    <row r="1890" spans="1:4" ht="30">
      <c r="A1890" s="78" t="s">
        <v>3790</v>
      </c>
      <c r="B1890" s="78" t="s">
        <v>3833</v>
      </c>
      <c r="C1890" s="78" t="s">
        <v>3843</v>
      </c>
      <c r="D1890" s="78"/>
    </row>
    <row r="1891" spans="1:4" ht="45">
      <c r="A1891" s="78" t="s">
        <v>3790</v>
      </c>
      <c r="B1891" s="78" t="s">
        <v>3833</v>
      </c>
      <c r="C1891" s="78" t="s">
        <v>3844</v>
      </c>
      <c r="D1891" s="78"/>
    </row>
    <row r="1892" spans="1:4" ht="30">
      <c r="A1892" s="78" t="s">
        <v>3790</v>
      </c>
      <c r="B1892" s="78" t="s">
        <v>3833</v>
      </c>
      <c r="C1892" s="78" t="s">
        <v>3845</v>
      </c>
      <c r="D1892" s="78"/>
    </row>
    <row r="1893" spans="1:4" ht="60">
      <c r="A1893" s="78" t="s">
        <v>3790</v>
      </c>
      <c r="B1893" s="78" t="s">
        <v>3833</v>
      </c>
      <c r="C1893" s="78" t="s">
        <v>3846</v>
      </c>
      <c r="D1893" s="78"/>
    </row>
    <row r="1894" spans="1:4" ht="30">
      <c r="A1894" s="78" t="s">
        <v>3790</v>
      </c>
      <c r="B1894" s="78" t="s">
        <v>3833</v>
      </c>
      <c r="C1894" s="78" t="s">
        <v>3847</v>
      </c>
      <c r="D1894" s="78"/>
    </row>
    <row r="1895" spans="1:4" ht="30">
      <c r="A1895" s="78" t="s">
        <v>3790</v>
      </c>
      <c r="B1895" s="78" t="s">
        <v>3833</v>
      </c>
      <c r="C1895" s="78" t="s">
        <v>3848</v>
      </c>
      <c r="D1895" s="78"/>
    </row>
    <row r="1896" spans="1:4" ht="45">
      <c r="A1896" s="78" t="s">
        <v>3790</v>
      </c>
      <c r="B1896" s="78" t="s">
        <v>3833</v>
      </c>
      <c r="C1896" s="78" t="s">
        <v>3849</v>
      </c>
      <c r="D1896" s="78"/>
    </row>
    <row r="1897" spans="1:4" ht="30">
      <c r="A1897" s="78" t="s">
        <v>3790</v>
      </c>
      <c r="B1897" s="78" t="s">
        <v>3833</v>
      </c>
      <c r="C1897" s="78" t="s">
        <v>3850</v>
      </c>
      <c r="D1897" s="79">
        <v>8000</v>
      </c>
    </row>
    <row r="1898" spans="1:4" ht="45">
      <c r="A1898" s="78" t="s">
        <v>3790</v>
      </c>
      <c r="B1898" s="78" t="s">
        <v>3833</v>
      </c>
      <c r="C1898" s="78" t="s">
        <v>3851</v>
      </c>
      <c r="D1898" s="78"/>
    </row>
    <row r="1899" spans="1:4" ht="45">
      <c r="A1899" s="78" t="s">
        <v>3790</v>
      </c>
      <c r="B1899" s="78" t="s">
        <v>3833</v>
      </c>
      <c r="C1899" s="78" t="s">
        <v>3852</v>
      </c>
      <c r="D1899" s="78"/>
    </row>
    <row r="1900" spans="1:4" ht="30">
      <c r="A1900" s="78" t="s">
        <v>3790</v>
      </c>
      <c r="B1900" s="78" t="s">
        <v>3833</v>
      </c>
      <c r="C1900" s="78" t="s">
        <v>3853</v>
      </c>
      <c r="D1900" s="78"/>
    </row>
    <row r="1901" spans="1:4" ht="30">
      <c r="A1901" s="78" t="s">
        <v>3790</v>
      </c>
      <c r="B1901" s="78" t="s">
        <v>3833</v>
      </c>
      <c r="C1901" s="78" t="s">
        <v>3854</v>
      </c>
      <c r="D1901" s="78"/>
    </row>
    <row r="1902" spans="1:4" ht="30">
      <c r="A1902" s="78" t="s">
        <v>3790</v>
      </c>
      <c r="B1902" s="78" t="s">
        <v>3833</v>
      </c>
      <c r="C1902" s="78" t="s">
        <v>3855</v>
      </c>
      <c r="D1902" s="79">
        <v>3000</v>
      </c>
    </row>
    <row r="1903" spans="1:4" ht="30">
      <c r="A1903" s="78" t="s">
        <v>3790</v>
      </c>
      <c r="B1903" s="78" t="s">
        <v>3833</v>
      </c>
      <c r="C1903" s="78" t="s">
        <v>3856</v>
      </c>
      <c r="D1903" s="79">
        <v>15000</v>
      </c>
    </row>
    <row r="1904" spans="1:4" ht="30">
      <c r="A1904" s="78" t="s">
        <v>3790</v>
      </c>
      <c r="B1904" s="78" t="s">
        <v>3833</v>
      </c>
      <c r="C1904" s="78" t="s">
        <v>3857</v>
      </c>
      <c r="D1904" s="79">
        <v>2100</v>
      </c>
    </row>
    <row r="1905" spans="1:4" ht="30">
      <c r="A1905" s="78" t="s">
        <v>3790</v>
      </c>
      <c r="B1905" s="78" t="s">
        <v>3833</v>
      </c>
      <c r="C1905" s="78" t="s">
        <v>3858</v>
      </c>
      <c r="D1905" s="79">
        <v>2000</v>
      </c>
    </row>
    <row r="1906" spans="1:4" ht="30">
      <c r="A1906" s="78" t="s">
        <v>3790</v>
      </c>
      <c r="B1906" s="78" t="s">
        <v>3859</v>
      </c>
      <c r="C1906" s="78" t="s">
        <v>3860</v>
      </c>
      <c r="D1906" s="79">
        <v>2500</v>
      </c>
    </row>
    <row r="1907" spans="1:4" ht="30">
      <c r="A1907" s="78" t="s">
        <v>3790</v>
      </c>
      <c r="B1907" s="78" t="s">
        <v>3859</v>
      </c>
      <c r="C1907" s="78" t="s">
        <v>3861</v>
      </c>
      <c r="D1907" s="78"/>
    </row>
    <row r="1908" spans="1:4">
      <c r="A1908" s="78" t="s">
        <v>3790</v>
      </c>
      <c r="B1908" s="78" t="s">
        <v>3859</v>
      </c>
      <c r="C1908" s="78" t="s">
        <v>3862</v>
      </c>
      <c r="D1908" s="79">
        <v>12000</v>
      </c>
    </row>
    <row r="1909" spans="1:4" ht="30">
      <c r="A1909" s="78" t="s">
        <v>3790</v>
      </c>
      <c r="B1909" s="78" t="s">
        <v>3859</v>
      </c>
      <c r="C1909" s="78" t="s">
        <v>3863</v>
      </c>
      <c r="D1909" s="79">
        <v>12000</v>
      </c>
    </row>
    <row r="1910" spans="1:4" ht="30">
      <c r="A1910" s="78" t="s">
        <v>3790</v>
      </c>
      <c r="B1910" s="78" t="s">
        <v>3859</v>
      </c>
      <c r="C1910" s="78" t="s">
        <v>3864</v>
      </c>
      <c r="D1910" s="79">
        <v>5000</v>
      </c>
    </row>
    <row r="1911" spans="1:4" ht="30">
      <c r="A1911" s="78" t="s">
        <v>3790</v>
      </c>
      <c r="B1911" s="78" t="s">
        <v>3859</v>
      </c>
      <c r="C1911" s="78" t="s">
        <v>3865</v>
      </c>
      <c r="D1911" s="78"/>
    </row>
    <row r="1912" spans="1:4" ht="30">
      <c r="A1912" s="78" t="s">
        <v>3790</v>
      </c>
      <c r="B1912" s="78" t="s">
        <v>3859</v>
      </c>
      <c r="C1912" s="78" t="s">
        <v>3866</v>
      </c>
      <c r="D1912" s="78">
        <v>600</v>
      </c>
    </row>
    <row r="1913" spans="1:4" ht="30">
      <c r="A1913" s="78" t="s">
        <v>3790</v>
      </c>
      <c r="B1913" s="78" t="s">
        <v>3859</v>
      </c>
      <c r="C1913" s="78" t="s">
        <v>3867</v>
      </c>
      <c r="D1913" s="79">
        <v>6000</v>
      </c>
    </row>
    <row r="1914" spans="1:4" ht="30">
      <c r="A1914" s="78" t="s">
        <v>3790</v>
      </c>
      <c r="B1914" s="78" t="s">
        <v>3859</v>
      </c>
      <c r="C1914" s="78" t="s">
        <v>3868</v>
      </c>
      <c r="D1914" s="79">
        <v>3500</v>
      </c>
    </row>
    <row r="1915" spans="1:4" ht="30">
      <c r="A1915" s="78" t="s">
        <v>3790</v>
      </c>
      <c r="B1915" s="78" t="s">
        <v>3859</v>
      </c>
      <c r="C1915" s="78" t="s">
        <v>3869</v>
      </c>
      <c r="D1915" s="79">
        <v>3000</v>
      </c>
    </row>
    <row r="1916" spans="1:4" ht="30">
      <c r="A1916" s="78" t="s">
        <v>3790</v>
      </c>
      <c r="B1916" s="78" t="s">
        <v>3859</v>
      </c>
      <c r="C1916" s="78" t="s">
        <v>3870</v>
      </c>
      <c r="D1916" s="79">
        <v>5000</v>
      </c>
    </row>
    <row r="1917" spans="1:4" ht="30">
      <c r="A1917" s="78" t="s">
        <v>3790</v>
      </c>
      <c r="B1917" s="78" t="s">
        <v>3859</v>
      </c>
      <c r="C1917" s="78" t="s">
        <v>3871</v>
      </c>
      <c r="D1917" s="78"/>
    </row>
    <row r="1918" spans="1:4" ht="45">
      <c r="A1918" s="78" t="s">
        <v>3790</v>
      </c>
      <c r="B1918" s="78" t="s">
        <v>3859</v>
      </c>
      <c r="C1918" s="78" t="s">
        <v>3872</v>
      </c>
      <c r="D1918" s="79">
        <v>15000</v>
      </c>
    </row>
    <row r="1919" spans="1:4" ht="30">
      <c r="A1919" s="78" t="s">
        <v>3790</v>
      </c>
      <c r="B1919" s="78" t="s">
        <v>3859</v>
      </c>
      <c r="C1919" s="78" t="s">
        <v>3830</v>
      </c>
      <c r="D1919" s="79">
        <v>2500</v>
      </c>
    </row>
    <row r="1920" spans="1:4" ht="30">
      <c r="A1920" s="78" t="s">
        <v>3790</v>
      </c>
      <c r="B1920" s="78" t="s">
        <v>3859</v>
      </c>
      <c r="C1920" s="78" t="s">
        <v>3873</v>
      </c>
      <c r="D1920" s="78"/>
    </row>
    <row r="1921" spans="1:4">
      <c r="A1921" s="78" t="s">
        <v>3790</v>
      </c>
      <c r="B1921" s="78" t="s">
        <v>3859</v>
      </c>
      <c r="C1921" s="78" t="s">
        <v>3874</v>
      </c>
      <c r="D1921" s="79">
        <v>2400</v>
      </c>
    </row>
    <row r="1922" spans="1:4" ht="30">
      <c r="A1922" s="78" t="s">
        <v>3790</v>
      </c>
      <c r="B1922" s="78" t="s">
        <v>3859</v>
      </c>
      <c r="C1922" s="78" t="s">
        <v>3875</v>
      </c>
      <c r="D1922" s="78"/>
    </row>
    <row r="1923" spans="1:4" ht="45">
      <c r="A1923" s="78" t="s">
        <v>3790</v>
      </c>
      <c r="B1923" s="78" t="s">
        <v>3859</v>
      </c>
      <c r="C1923" s="78" t="s">
        <v>3876</v>
      </c>
      <c r="D1923" s="78"/>
    </row>
    <row r="1924" spans="1:4" ht="30">
      <c r="A1924" s="78" t="s">
        <v>3790</v>
      </c>
      <c r="B1924" s="78" t="s">
        <v>3859</v>
      </c>
      <c r="C1924" s="78" t="s">
        <v>3877</v>
      </c>
      <c r="D1924" s="79">
        <v>4000</v>
      </c>
    </row>
    <row r="1925" spans="1:4" ht="30">
      <c r="A1925" s="78" t="s">
        <v>3790</v>
      </c>
      <c r="B1925" s="78" t="s">
        <v>3878</v>
      </c>
      <c r="C1925" s="78" t="s">
        <v>3879</v>
      </c>
      <c r="D1925" s="79">
        <v>3000</v>
      </c>
    </row>
    <row r="1926" spans="1:4" ht="30">
      <c r="A1926" s="78" t="s">
        <v>3790</v>
      </c>
      <c r="B1926" s="78" t="s">
        <v>3878</v>
      </c>
      <c r="C1926" s="78" t="s">
        <v>3880</v>
      </c>
      <c r="D1926" s="78"/>
    </row>
    <row r="1927" spans="1:4" ht="45">
      <c r="A1927" s="78" t="s">
        <v>3790</v>
      </c>
      <c r="B1927" s="78" t="s">
        <v>3878</v>
      </c>
      <c r="C1927" s="78" t="s">
        <v>3876</v>
      </c>
      <c r="D1927" s="78"/>
    </row>
    <row r="1928" spans="1:4" ht="75">
      <c r="A1928" s="78" t="s">
        <v>3790</v>
      </c>
      <c r="B1928" s="78" t="s">
        <v>3881</v>
      </c>
      <c r="C1928" s="78" t="s">
        <v>3882</v>
      </c>
      <c r="D1928" s="79">
        <v>75000</v>
      </c>
    </row>
    <row r="1929" spans="1:4" ht="45">
      <c r="A1929" s="78" t="s">
        <v>3790</v>
      </c>
      <c r="B1929" s="78" t="s">
        <v>3883</v>
      </c>
      <c r="C1929" s="78" t="s">
        <v>3884</v>
      </c>
      <c r="D1929" s="79">
        <v>75000</v>
      </c>
    </row>
    <row r="1930" spans="1:4" ht="30">
      <c r="A1930" s="78" t="s">
        <v>3790</v>
      </c>
      <c r="B1930" s="78"/>
      <c r="C1930" s="78" t="s">
        <v>3885</v>
      </c>
      <c r="D1930" s="79">
        <v>38000</v>
      </c>
    </row>
    <row r="1931" spans="1:4" ht="30">
      <c r="A1931" s="78" t="s">
        <v>3886</v>
      </c>
      <c r="B1931" s="78" t="s">
        <v>3887</v>
      </c>
      <c r="C1931" s="78" t="s">
        <v>3888</v>
      </c>
      <c r="D1931" s="79">
        <v>18000</v>
      </c>
    </row>
    <row r="1932" spans="1:4" ht="45">
      <c r="A1932" s="78" t="s">
        <v>3889</v>
      </c>
      <c r="B1932" s="78" t="s">
        <v>3890</v>
      </c>
      <c r="C1932" s="78" t="s">
        <v>3891</v>
      </c>
      <c r="D1932" s="78"/>
    </row>
    <row r="1933" spans="1:4" ht="45">
      <c r="A1933" s="78" t="s">
        <v>3889</v>
      </c>
      <c r="B1933" s="78" t="s">
        <v>3892</v>
      </c>
      <c r="C1933" s="78" t="s">
        <v>3893</v>
      </c>
      <c r="D1933" s="79">
        <v>15000</v>
      </c>
    </row>
    <row r="1934" spans="1:4" ht="45">
      <c r="A1934" s="78" t="s">
        <v>3889</v>
      </c>
      <c r="B1934" s="78" t="s">
        <v>3892</v>
      </c>
      <c r="C1934" s="78" t="s">
        <v>3894</v>
      </c>
      <c r="D1934" s="78"/>
    </row>
    <row r="1935" spans="1:4" ht="45">
      <c r="A1935" s="78" t="s">
        <v>3889</v>
      </c>
      <c r="B1935" s="78" t="s">
        <v>3895</v>
      </c>
      <c r="C1935" s="78" t="s">
        <v>3896</v>
      </c>
      <c r="D1935" s="78"/>
    </row>
    <row r="1936" spans="1:4" ht="30">
      <c r="A1936" s="78" t="s">
        <v>3889</v>
      </c>
      <c r="B1936" s="78" t="s">
        <v>3897</v>
      </c>
      <c r="C1936" s="78" t="s">
        <v>3898</v>
      </c>
      <c r="D1936" s="78"/>
    </row>
    <row r="1937" spans="1:4" ht="30">
      <c r="A1937" s="78" t="s">
        <v>3889</v>
      </c>
      <c r="B1937" s="78" t="s">
        <v>3897</v>
      </c>
      <c r="C1937" s="78" t="s">
        <v>3899</v>
      </c>
      <c r="D1937" s="79">
        <v>4500</v>
      </c>
    </row>
    <row r="1938" spans="1:4" ht="30">
      <c r="A1938" s="78" t="s">
        <v>3889</v>
      </c>
      <c r="B1938" s="78" t="s">
        <v>3897</v>
      </c>
      <c r="C1938" s="78" t="s">
        <v>3900</v>
      </c>
      <c r="D1938" s="79">
        <v>3000</v>
      </c>
    </row>
    <row r="1939" spans="1:4" ht="30">
      <c r="A1939" s="78" t="s">
        <v>3889</v>
      </c>
      <c r="B1939" s="78" t="s">
        <v>3897</v>
      </c>
      <c r="C1939" s="78" t="s">
        <v>3901</v>
      </c>
      <c r="D1939" s="79">
        <v>2000</v>
      </c>
    </row>
    <row r="1940" spans="1:4" ht="45">
      <c r="A1940" s="78" t="s">
        <v>3889</v>
      </c>
      <c r="B1940" s="78" t="s">
        <v>3897</v>
      </c>
      <c r="C1940" s="78" t="s">
        <v>3902</v>
      </c>
      <c r="D1940" s="78"/>
    </row>
    <row r="1941" spans="1:4" ht="30">
      <c r="A1941" s="78" t="s">
        <v>3889</v>
      </c>
      <c r="B1941" s="78" t="s">
        <v>3897</v>
      </c>
      <c r="C1941" s="78" t="s">
        <v>3903</v>
      </c>
      <c r="D1941" s="79">
        <v>5000</v>
      </c>
    </row>
    <row r="1942" spans="1:4" ht="30">
      <c r="A1942" s="78" t="s">
        <v>3889</v>
      </c>
      <c r="B1942" s="78" t="s">
        <v>3897</v>
      </c>
      <c r="C1942" s="78" t="s">
        <v>3904</v>
      </c>
      <c r="D1942" s="79">
        <v>2500</v>
      </c>
    </row>
    <row r="1943" spans="1:4" ht="45">
      <c r="A1943" s="78" t="s">
        <v>3889</v>
      </c>
      <c r="B1943" s="78" t="s">
        <v>3905</v>
      </c>
      <c r="C1943" s="78" t="s">
        <v>3906</v>
      </c>
      <c r="D1943" s="79">
        <v>3000</v>
      </c>
    </row>
    <row r="1944" spans="1:4" ht="30">
      <c r="A1944" s="78" t="s">
        <v>3889</v>
      </c>
      <c r="B1944" s="78" t="s">
        <v>3907</v>
      </c>
      <c r="C1944" s="78" t="s">
        <v>3908</v>
      </c>
      <c r="D1944" s="79">
        <v>5000</v>
      </c>
    </row>
    <row r="1945" spans="1:4" ht="60">
      <c r="A1945" s="78" t="s">
        <v>3889</v>
      </c>
      <c r="B1945" s="78" t="s">
        <v>3907</v>
      </c>
      <c r="C1945" s="78" t="s">
        <v>3909</v>
      </c>
      <c r="D1945" s="78"/>
    </row>
    <row r="1946" spans="1:4">
      <c r="A1946" s="78" t="s">
        <v>3889</v>
      </c>
      <c r="B1946" s="78" t="s">
        <v>3907</v>
      </c>
      <c r="C1946" s="78" t="s">
        <v>3910</v>
      </c>
      <c r="D1946" s="78"/>
    </row>
    <row r="1947" spans="1:4" ht="30">
      <c r="A1947" s="78" t="s">
        <v>3889</v>
      </c>
      <c r="B1947" s="78" t="s">
        <v>3907</v>
      </c>
      <c r="C1947" s="78" t="s">
        <v>3911</v>
      </c>
      <c r="D1947" s="79">
        <v>34800</v>
      </c>
    </row>
    <row r="1948" spans="1:4" ht="30">
      <c r="A1948" s="78" t="s">
        <v>3889</v>
      </c>
      <c r="B1948" s="78" t="s">
        <v>3907</v>
      </c>
      <c r="C1948" s="78" t="s">
        <v>3912</v>
      </c>
      <c r="D1948" s="78"/>
    </row>
    <row r="1949" spans="1:4" ht="30">
      <c r="A1949" s="78" t="s">
        <v>3889</v>
      </c>
      <c r="B1949" s="78" t="s">
        <v>3907</v>
      </c>
      <c r="C1949" s="78" t="s">
        <v>3901</v>
      </c>
      <c r="D1949" s="78"/>
    </row>
    <row r="1950" spans="1:4" ht="45">
      <c r="A1950" s="78" t="s">
        <v>3889</v>
      </c>
      <c r="B1950" s="78" t="s">
        <v>3907</v>
      </c>
      <c r="C1950" s="78" t="s">
        <v>3913</v>
      </c>
      <c r="D1950" s="78"/>
    </row>
    <row r="1951" spans="1:4" ht="30">
      <c r="A1951" s="78" t="s">
        <v>3889</v>
      </c>
      <c r="B1951" s="78" t="s">
        <v>3907</v>
      </c>
      <c r="C1951" s="78" t="s">
        <v>3914</v>
      </c>
      <c r="D1951" s="78"/>
    </row>
    <row r="1952" spans="1:4">
      <c r="A1952" s="78" t="s">
        <v>3889</v>
      </c>
      <c r="B1952" s="78" t="s">
        <v>3907</v>
      </c>
      <c r="C1952" s="78" t="s">
        <v>3915</v>
      </c>
      <c r="D1952" s="78"/>
    </row>
    <row r="1953" spans="1:4" ht="30">
      <c r="A1953" s="78" t="s">
        <v>3889</v>
      </c>
      <c r="B1953" s="78" t="s">
        <v>3907</v>
      </c>
      <c r="C1953" s="78" t="s">
        <v>3916</v>
      </c>
      <c r="D1953" s="78"/>
    </row>
    <row r="1954" spans="1:4" ht="30">
      <c r="A1954" s="78" t="s">
        <v>3889</v>
      </c>
      <c r="B1954" s="78" t="s">
        <v>3917</v>
      </c>
      <c r="C1954" s="78" t="s">
        <v>3918</v>
      </c>
      <c r="D1954" s="79">
        <v>36000</v>
      </c>
    </row>
    <row r="1955" spans="1:4" ht="30">
      <c r="A1955" s="78" t="s">
        <v>3889</v>
      </c>
      <c r="B1955" s="78" t="s">
        <v>3919</v>
      </c>
      <c r="C1955" s="78" t="s">
        <v>3920</v>
      </c>
      <c r="D1955" s="78"/>
    </row>
    <row r="1956" spans="1:4" ht="30">
      <c r="A1956" s="78" t="s">
        <v>3889</v>
      </c>
      <c r="B1956" s="78" t="s">
        <v>3921</v>
      </c>
      <c r="C1956" s="78" t="s">
        <v>2718</v>
      </c>
      <c r="D1956" s="79">
        <v>20000</v>
      </c>
    </row>
    <row r="1957" spans="1:4" ht="45">
      <c r="A1957" s="78" t="s">
        <v>3889</v>
      </c>
      <c r="B1957" s="78" t="s">
        <v>3922</v>
      </c>
      <c r="C1957" s="78" t="s">
        <v>3923</v>
      </c>
      <c r="D1957" s="79">
        <v>30000</v>
      </c>
    </row>
    <row r="1958" spans="1:4" ht="30">
      <c r="A1958" s="78" t="s">
        <v>3889</v>
      </c>
      <c r="B1958" s="78" t="s">
        <v>3922</v>
      </c>
      <c r="C1958" s="78" t="s">
        <v>3918</v>
      </c>
      <c r="D1958" s="79">
        <v>54000</v>
      </c>
    </row>
    <row r="1959" spans="1:4" ht="30">
      <c r="A1959" s="78" t="s">
        <v>3889</v>
      </c>
      <c r="B1959" s="78" t="s">
        <v>3922</v>
      </c>
      <c r="C1959" s="78" t="s">
        <v>3924</v>
      </c>
      <c r="D1959" s="79">
        <v>72000</v>
      </c>
    </row>
    <row r="1960" spans="1:4" ht="30">
      <c r="A1960" s="78" t="s">
        <v>3889</v>
      </c>
      <c r="B1960" s="78" t="s">
        <v>3925</v>
      </c>
      <c r="C1960" s="78" t="s">
        <v>3926</v>
      </c>
      <c r="D1960" s="79">
        <v>7000</v>
      </c>
    </row>
    <row r="1961" spans="1:4" ht="30">
      <c r="A1961" s="78" t="s">
        <v>3889</v>
      </c>
      <c r="B1961" s="78" t="s">
        <v>3927</v>
      </c>
      <c r="C1961" s="78" t="s">
        <v>3928</v>
      </c>
      <c r="D1961" s="79">
        <v>28800</v>
      </c>
    </row>
    <row r="1962" spans="1:4" ht="45">
      <c r="A1962" s="78" t="s">
        <v>3889</v>
      </c>
      <c r="B1962" s="78" t="s">
        <v>3929</v>
      </c>
      <c r="C1962" s="78" t="s">
        <v>3930</v>
      </c>
      <c r="D1962" s="79">
        <v>17000</v>
      </c>
    </row>
    <row r="1963" spans="1:4" ht="30">
      <c r="A1963" s="78" t="s">
        <v>3889</v>
      </c>
      <c r="B1963" s="78" t="s">
        <v>3931</v>
      </c>
      <c r="C1963" s="78" t="s">
        <v>3932</v>
      </c>
      <c r="D1963" s="78"/>
    </row>
    <row r="1964" spans="1:4" ht="30">
      <c r="A1964" s="78" t="s">
        <v>3889</v>
      </c>
      <c r="B1964" s="78" t="s">
        <v>3933</v>
      </c>
      <c r="C1964" s="78" t="s">
        <v>3934</v>
      </c>
      <c r="D1964" s="78"/>
    </row>
    <row r="1965" spans="1:4" ht="45">
      <c r="A1965" s="78" t="s">
        <v>3889</v>
      </c>
      <c r="B1965" s="78" t="s">
        <v>3935</v>
      </c>
      <c r="C1965" s="78" t="s">
        <v>3936</v>
      </c>
      <c r="D1965" s="78"/>
    </row>
    <row r="1966" spans="1:4" ht="30">
      <c r="A1966" s="78" t="s">
        <v>3889</v>
      </c>
      <c r="B1966" s="78" t="s">
        <v>3935</v>
      </c>
      <c r="C1966" s="78" t="s">
        <v>3937</v>
      </c>
      <c r="D1966" s="79">
        <v>12000</v>
      </c>
    </row>
    <row r="1967" spans="1:4" ht="30">
      <c r="A1967" s="78" t="s">
        <v>3889</v>
      </c>
      <c r="B1967" s="78" t="s">
        <v>3935</v>
      </c>
      <c r="C1967" s="78" t="s">
        <v>3938</v>
      </c>
      <c r="D1967" s="78"/>
    </row>
    <row r="1968" spans="1:4" ht="45">
      <c r="A1968" s="78" t="s">
        <v>3889</v>
      </c>
      <c r="B1968" s="78" t="s">
        <v>3939</v>
      </c>
      <c r="C1968" s="78" t="s">
        <v>3940</v>
      </c>
      <c r="D1968" s="78"/>
    </row>
    <row r="1969" spans="1:4" ht="30">
      <c r="A1969" s="78" t="s">
        <v>3889</v>
      </c>
      <c r="B1969" s="78" t="s">
        <v>3939</v>
      </c>
      <c r="C1969" s="78" t="s">
        <v>3941</v>
      </c>
      <c r="D1969" s="78"/>
    </row>
    <row r="1970" spans="1:4">
      <c r="A1970" s="78" t="s">
        <v>3889</v>
      </c>
      <c r="B1970" s="78" t="s">
        <v>3942</v>
      </c>
      <c r="C1970" s="78" t="s">
        <v>3943</v>
      </c>
      <c r="D1970" s="79">
        <v>320000</v>
      </c>
    </row>
    <row r="1971" spans="1:4" ht="30">
      <c r="A1971" s="78" t="s">
        <v>3889</v>
      </c>
      <c r="B1971" s="78" t="s">
        <v>3944</v>
      </c>
      <c r="C1971" s="78" t="s">
        <v>3945</v>
      </c>
      <c r="D1971" s="79">
        <v>10000</v>
      </c>
    </row>
    <row r="1972" spans="1:4" ht="45">
      <c r="A1972" s="78" t="s">
        <v>3889</v>
      </c>
      <c r="B1972" s="78" t="s">
        <v>3946</v>
      </c>
      <c r="C1972" s="78" t="s">
        <v>3947</v>
      </c>
      <c r="D1972" s="79">
        <v>3000</v>
      </c>
    </row>
    <row r="1973" spans="1:4" ht="45">
      <c r="A1973" s="78" t="s">
        <v>3889</v>
      </c>
      <c r="B1973" s="78" t="s">
        <v>3948</v>
      </c>
      <c r="C1973" s="78" t="s">
        <v>3913</v>
      </c>
      <c r="D1973" s="79">
        <v>25000</v>
      </c>
    </row>
    <row r="1974" spans="1:4" ht="30">
      <c r="A1974" s="78" t="s">
        <v>3889</v>
      </c>
      <c r="B1974" s="78" t="s">
        <v>3948</v>
      </c>
      <c r="C1974" s="78" t="s">
        <v>3949</v>
      </c>
      <c r="D1974" s="79">
        <v>14000</v>
      </c>
    </row>
    <row r="1975" spans="1:4" ht="30">
      <c r="A1975" s="78" t="s">
        <v>3889</v>
      </c>
      <c r="B1975" s="78" t="s">
        <v>3950</v>
      </c>
      <c r="C1975" s="78" t="s">
        <v>3951</v>
      </c>
      <c r="D1975" s="79">
        <v>14500</v>
      </c>
    </row>
    <row r="1976" spans="1:4" ht="45">
      <c r="A1976" s="78" t="s">
        <v>3889</v>
      </c>
      <c r="B1976" s="78" t="s">
        <v>3952</v>
      </c>
      <c r="C1976" s="78" t="s">
        <v>3953</v>
      </c>
      <c r="D1976" s="78"/>
    </row>
    <row r="1977" spans="1:4" ht="45">
      <c r="A1977" s="78" t="s">
        <v>3954</v>
      </c>
      <c r="B1977" s="78" t="s">
        <v>3955</v>
      </c>
      <c r="C1977" s="78" t="s">
        <v>3956</v>
      </c>
      <c r="D1977" s="79">
        <v>3000</v>
      </c>
    </row>
    <row r="1978" spans="1:4" ht="45">
      <c r="A1978" s="78" t="s">
        <v>3957</v>
      </c>
      <c r="B1978" s="78" t="s">
        <v>3958</v>
      </c>
      <c r="C1978" s="78" t="s">
        <v>3959</v>
      </c>
      <c r="D1978" s="78"/>
    </row>
    <row r="1979" spans="1:4" ht="30">
      <c r="A1979" s="78" t="s">
        <v>3957</v>
      </c>
      <c r="B1979" s="78" t="s">
        <v>3960</v>
      </c>
      <c r="C1979" s="78" t="s">
        <v>3961</v>
      </c>
      <c r="D1979" s="79">
        <v>12000</v>
      </c>
    </row>
    <row r="1980" spans="1:4" ht="45">
      <c r="A1980" s="78" t="s">
        <v>3957</v>
      </c>
      <c r="B1980" s="78" t="s">
        <v>3960</v>
      </c>
      <c r="C1980" s="78" t="s">
        <v>3962</v>
      </c>
      <c r="D1980" s="79">
        <v>65000</v>
      </c>
    </row>
    <row r="1981" spans="1:4">
      <c r="A1981" s="78" t="s">
        <v>3957</v>
      </c>
      <c r="B1981" s="78" t="s">
        <v>3963</v>
      </c>
      <c r="C1981" s="78" t="s">
        <v>3964</v>
      </c>
      <c r="D1981" s="78"/>
    </row>
    <row r="1982" spans="1:4" ht="45">
      <c r="A1982" s="78" t="s">
        <v>3957</v>
      </c>
      <c r="B1982" s="78" t="s">
        <v>3965</v>
      </c>
      <c r="C1982" s="78" t="s">
        <v>3966</v>
      </c>
      <c r="D1982" s="79">
        <v>1700</v>
      </c>
    </row>
    <row r="1983" spans="1:4" ht="30">
      <c r="A1983" s="78" t="s">
        <v>3957</v>
      </c>
      <c r="B1983" s="78" t="s">
        <v>3967</v>
      </c>
      <c r="C1983" s="78" t="s">
        <v>3968</v>
      </c>
      <c r="D1983" s="78"/>
    </row>
    <row r="1984" spans="1:4" ht="60">
      <c r="A1984" s="78" t="s">
        <v>3957</v>
      </c>
      <c r="B1984" s="78" t="s">
        <v>3969</v>
      </c>
      <c r="C1984" s="78" t="s">
        <v>3970</v>
      </c>
      <c r="D1984" s="78"/>
    </row>
    <row r="1985" spans="1:4" ht="45">
      <c r="A1985" s="78" t="s">
        <v>3957</v>
      </c>
      <c r="B1985" s="78" t="s">
        <v>3971</v>
      </c>
      <c r="C1985" s="78" t="s">
        <v>3972</v>
      </c>
      <c r="D1985" s="79">
        <v>110000</v>
      </c>
    </row>
    <row r="1986" spans="1:4" ht="45">
      <c r="A1986" s="78" t="s">
        <v>3957</v>
      </c>
      <c r="B1986" s="78" t="s">
        <v>3971</v>
      </c>
      <c r="C1986" s="78" t="s">
        <v>3973</v>
      </c>
      <c r="D1986" s="79">
        <v>6000</v>
      </c>
    </row>
    <row r="1987" spans="1:4" ht="30">
      <c r="A1987" s="78" t="s">
        <v>3957</v>
      </c>
      <c r="B1987" s="78" t="s">
        <v>3974</v>
      </c>
      <c r="C1987" s="78" t="s">
        <v>3975</v>
      </c>
      <c r="D1987" s="78"/>
    </row>
    <row r="1988" spans="1:4" ht="45">
      <c r="A1988" s="78" t="s">
        <v>3957</v>
      </c>
      <c r="B1988" s="78" t="s">
        <v>3976</v>
      </c>
      <c r="C1988" s="78" t="s">
        <v>3977</v>
      </c>
      <c r="D1988" s="79">
        <v>5000</v>
      </c>
    </row>
    <row r="1989" spans="1:4" ht="30">
      <c r="A1989" s="78" t="s">
        <v>3957</v>
      </c>
      <c r="B1989" s="78" t="s">
        <v>3976</v>
      </c>
      <c r="C1989" s="78" t="s">
        <v>3978</v>
      </c>
      <c r="D1989" s="78"/>
    </row>
    <row r="1990" spans="1:4" ht="45">
      <c r="A1990" s="78" t="s">
        <v>3957</v>
      </c>
      <c r="B1990" s="78" t="s">
        <v>3976</v>
      </c>
      <c r="C1990" s="78" t="s">
        <v>3979</v>
      </c>
      <c r="D1990" s="79">
        <v>6500</v>
      </c>
    </row>
    <row r="1991" spans="1:4" ht="75">
      <c r="A1991" s="78" t="s">
        <v>3957</v>
      </c>
      <c r="B1991" s="78" t="s">
        <v>3976</v>
      </c>
      <c r="C1991" s="78" t="s">
        <v>3980</v>
      </c>
      <c r="D1991" s="79">
        <v>110000</v>
      </c>
    </row>
    <row r="1992" spans="1:4" ht="45">
      <c r="A1992" s="78" t="s">
        <v>3957</v>
      </c>
      <c r="B1992" s="78" t="s">
        <v>3976</v>
      </c>
      <c r="C1992" s="78" t="s">
        <v>3981</v>
      </c>
      <c r="D1992" s="79">
        <v>10500</v>
      </c>
    </row>
    <row r="1993" spans="1:4" ht="30">
      <c r="A1993" s="78" t="s">
        <v>3957</v>
      </c>
      <c r="B1993" s="78" t="s">
        <v>3976</v>
      </c>
      <c r="C1993" s="78" t="s">
        <v>3982</v>
      </c>
      <c r="D1993" s="79">
        <v>67000</v>
      </c>
    </row>
    <row r="1994" spans="1:4" ht="60">
      <c r="A1994" s="78" t="s">
        <v>3957</v>
      </c>
      <c r="B1994" s="78" t="s">
        <v>3976</v>
      </c>
      <c r="C1994" s="78" t="s">
        <v>3983</v>
      </c>
      <c r="D1994" s="78"/>
    </row>
    <row r="1995" spans="1:4" ht="30">
      <c r="A1995" s="78" t="s">
        <v>3957</v>
      </c>
      <c r="B1995" s="78" t="s">
        <v>3976</v>
      </c>
      <c r="C1995" s="78" t="s">
        <v>3984</v>
      </c>
      <c r="D1995" s="78"/>
    </row>
    <row r="1996" spans="1:4" ht="60">
      <c r="A1996" s="78" t="s">
        <v>3957</v>
      </c>
      <c r="B1996" s="78" t="s">
        <v>3976</v>
      </c>
      <c r="C1996" s="78" t="s">
        <v>3985</v>
      </c>
      <c r="D1996" s="78"/>
    </row>
    <row r="1997" spans="1:4">
      <c r="A1997" s="78" t="s">
        <v>3957</v>
      </c>
      <c r="B1997" s="78" t="s">
        <v>3976</v>
      </c>
      <c r="C1997" s="78" t="s">
        <v>3986</v>
      </c>
      <c r="D1997" s="79">
        <v>3500</v>
      </c>
    </row>
    <row r="1998" spans="1:4" ht="45">
      <c r="A1998" s="78" t="s">
        <v>3957</v>
      </c>
      <c r="B1998" s="78" t="s">
        <v>3976</v>
      </c>
      <c r="C1998" s="78" t="s">
        <v>3987</v>
      </c>
      <c r="D1998" s="79">
        <v>30000</v>
      </c>
    </row>
    <row r="1999" spans="1:4" ht="30">
      <c r="A1999" s="78" t="s">
        <v>3957</v>
      </c>
      <c r="B1999" s="78" t="s">
        <v>3976</v>
      </c>
      <c r="C1999" s="78" t="s">
        <v>3988</v>
      </c>
      <c r="D1999" s="79">
        <v>20000</v>
      </c>
    </row>
    <row r="2000" spans="1:4" ht="30">
      <c r="A2000" s="78" t="s">
        <v>3957</v>
      </c>
      <c r="B2000" s="78" t="s">
        <v>3976</v>
      </c>
      <c r="C2000" s="78" t="s">
        <v>3989</v>
      </c>
      <c r="D2000" s="78"/>
    </row>
    <row r="2001" spans="1:4" ht="45">
      <c r="A2001" s="78" t="s">
        <v>3957</v>
      </c>
      <c r="B2001" s="78" t="s">
        <v>3976</v>
      </c>
      <c r="C2001" s="78" t="s">
        <v>3990</v>
      </c>
      <c r="D2001" s="78"/>
    </row>
    <row r="2002" spans="1:4" ht="45">
      <c r="A2002" s="78" t="s">
        <v>3957</v>
      </c>
      <c r="B2002" s="78" t="s">
        <v>3976</v>
      </c>
      <c r="C2002" s="78" t="s">
        <v>3991</v>
      </c>
      <c r="D2002" s="78"/>
    </row>
    <row r="2003" spans="1:4">
      <c r="A2003" s="78" t="s">
        <v>3957</v>
      </c>
      <c r="B2003" s="78" t="s">
        <v>3976</v>
      </c>
      <c r="C2003" s="78" t="s">
        <v>3992</v>
      </c>
      <c r="D2003" s="79">
        <v>8000</v>
      </c>
    </row>
    <row r="2004" spans="1:4" ht="30">
      <c r="A2004" s="78" t="s">
        <v>3957</v>
      </c>
      <c r="B2004" s="78" t="s">
        <v>3993</v>
      </c>
      <c r="C2004" s="78" t="s">
        <v>3994</v>
      </c>
      <c r="D2004" s="79">
        <v>45000</v>
      </c>
    </row>
    <row r="2005" spans="1:4" ht="30">
      <c r="A2005" s="78" t="s">
        <v>3957</v>
      </c>
      <c r="B2005" s="78" t="s">
        <v>3993</v>
      </c>
      <c r="C2005" s="78" t="s">
        <v>3995</v>
      </c>
      <c r="D2005" s="78"/>
    </row>
    <row r="2006" spans="1:4" ht="45">
      <c r="A2006" s="78" t="s">
        <v>3957</v>
      </c>
      <c r="B2006" s="78" t="s">
        <v>3996</v>
      </c>
      <c r="C2006" s="78" t="s">
        <v>3997</v>
      </c>
      <c r="D2006" s="78"/>
    </row>
    <row r="2007" spans="1:4" ht="30">
      <c r="A2007" s="78" t="s">
        <v>3957</v>
      </c>
      <c r="B2007" s="78" t="s">
        <v>3998</v>
      </c>
      <c r="C2007" s="78" t="s">
        <v>3999</v>
      </c>
      <c r="D2007" s="78"/>
    </row>
    <row r="2008" spans="1:4" ht="45">
      <c r="A2008" s="78" t="s">
        <v>3957</v>
      </c>
      <c r="B2008" s="78" t="s">
        <v>3998</v>
      </c>
      <c r="C2008" s="78" t="s">
        <v>3977</v>
      </c>
      <c r="D2008" s="78"/>
    </row>
    <row r="2009" spans="1:4" ht="45">
      <c r="A2009" s="78" t="s">
        <v>3957</v>
      </c>
      <c r="B2009" s="78" t="s">
        <v>3998</v>
      </c>
      <c r="C2009" s="78" t="s">
        <v>4000</v>
      </c>
      <c r="D2009" s="78"/>
    </row>
    <row r="2010" spans="1:4" ht="45">
      <c r="A2010" s="78" t="s">
        <v>3957</v>
      </c>
      <c r="B2010" s="78" t="s">
        <v>3998</v>
      </c>
      <c r="C2010" s="78" t="s">
        <v>3973</v>
      </c>
      <c r="D2010" s="78"/>
    </row>
    <row r="2011" spans="1:4" ht="45">
      <c r="A2011" s="78" t="s">
        <v>3957</v>
      </c>
      <c r="B2011" s="78" t="s">
        <v>3998</v>
      </c>
      <c r="C2011" s="78" t="s">
        <v>4001</v>
      </c>
      <c r="D2011" s="78"/>
    </row>
    <row r="2012" spans="1:4" ht="45">
      <c r="A2012" s="78" t="s">
        <v>3957</v>
      </c>
      <c r="B2012" s="78" t="s">
        <v>4002</v>
      </c>
      <c r="C2012" s="78" t="s">
        <v>4003</v>
      </c>
      <c r="D2012" s="79">
        <v>54000</v>
      </c>
    </row>
    <row r="2013" spans="1:4" ht="30">
      <c r="A2013" s="78" t="s">
        <v>3957</v>
      </c>
      <c r="B2013" s="78" t="s">
        <v>4002</v>
      </c>
      <c r="C2013" s="78" t="s">
        <v>4004</v>
      </c>
      <c r="D2013" s="78"/>
    </row>
    <row r="2014" spans="1:4" ht="45">
      <c r="A2014" s="78" t="s">
        <v>3957</v>
      </c>
      <c r="B2014" s="78" t="s">
        <v>4002</v>
      </c>
      <c r="C2014" s="78" t="s">
        <v>4005</v>
      </c>
      <c r="D2014" s="79">
        <v>60000</v>
      </c>
    </row>
    <row r="2015" spans="1:4" ht="45">
      <c r="A2015" s="78" t="s">
        <v>3957</v>
      </c>
      <c r="B2015" s="78" t="s">
        <v>4002</v>
      </c>
      <c r="C2015" s="78" t="s">
        <v>4006</v>
      </c>
      <c r="D2015" s="79">
        <v>110000</v>
      </c>
    </row>
    <row r="2016" spans="1:4" ht="45">
      <c r="A2016" s="78" t="s">
        <v>3957</v>
      </c>
      <c r="B2016" s="78" t="s">
        <v>4007</v>
      </c>
      <c r="C2016" s="78" t="s">
        <v>4000</v>
      </c>
      <c r="D2016" s="79">
        <v>5000</v>
      </c>
    </row>
    <row r="2017" spans="1:4" ht="45">
      <c r="A2017" s="78" t="s">
        <v>3957</v>
      </c>
      <c r="B2017" s="78" t="s">
        <v>4008</v>
      </c>
      <c r="C2017" s="78" t="s">
        <v>4009</v>
      </c>
      <c r="D2017" s="78"/>
    </row>
    <row r="2018" spans="1:4" ht="30">
      <c r="A2018" s="78" t="s">
        <v>3957</v>
      </c>
      <c r="B2018" s="78" t="s">
        <v>4010</v>
      </c>
      <c r="C2018" s="78" t="s">
        <v>4011</v>
      </c>
      <c r="D2018" s="79">
        <v>10800</v>
      </c>
    </row>
    <row r="2019" spans="1:4" ht="30">
      <c r="A2019" s="78" t="s">
        <v>3957</v>
      </c>
      <c r="B2019" s="78" t="s">
        <v>4010</v>
      </c>
      <c r="C2019" s="78" t="s">
        <v>4012</v>
      </c>
      <c r="D2019" s="79">
        <v>300000</v>
      </c>
    </row>
    <row r="2020" spans="1:4" ht="30">
      <c r="A2020" s="78" t="s">
        <v>3957</v>
      </c>
      <c r="B2020" s="78" t="s">
        <v>4010</v>
      </c>
      <c r="C2020" s="78" t="s">
        <v>4013</v>
      </c>
      <c r="D2020" s="79">
        <v>72000</v>
      </c>
    </row>
    <row r="2021" spans="1:4" ht="45">
      <c r="A2021" s="78" t="s">
        <v>4014</v>
      </c>
      <c r="B2021" s="78" t="s">
        <v>4015</v>
      </c>
      <c r="C2021" s="78" t="s">
        <v>4016</v>
      </c>
      <c r="D2021" s="78"/>
    </row>
    <row r="2022" spans="1:4">
      <c r="A2022" s="78" t="s">
        <v>4014</v>
      </c>
      <c r="B2022" s="78" t="s">
        <v>4017</v>
      </c>
      <c r="C2022" s="78" t="s">
        <v>4018</v>
      </c>
      <c r="D2022" s="78"/>
    </row>
    <row r="2023" spans="1:4" ht="45">
      <c r="A2023" s="78" t="s">
        <v>4014</v>
      </c>
      <c r="B2023" s="78" t="s">
        <v>4019</v>
      </c>
      <c r="C2023" s="78" t="s">
        <v>3120</v>
      </c>
      <c r="D2023" s="78"/>
    </row>
    <row r="2024" spans="1:4" ht="30">
      <c r="A2024" s="78" t="s">
        <v>4014</v>
      </c>
      <c r="B2024" s="78" t="s">
        <v>4020</v>
      </c>
      <c r="C2024" s="78" t="s">
        <v>4021</v>
      </c>
      <c r="D2024" s="78"/>
    </row>
    <row r="2025" spans="1:4" ht="45">
      <c r="A2025" s="78" t="s">
        <v>4014</v>
      </c>
      <c r="B2025" s="78" t="s">
        <v>4022</v>
      </c>
      <c r="C2025" s="78" t="s">
        <v>4023</v>
      </c>
      <c r="D2025" s="78"/>
    </row>
    <row r="2026" spans="1:4" ht="30">
      <c r="A2026" s="78" t="s">
        <v>4014</v>
      </c>
      <c r="B2026" s="78" t="s">
        <v>4024</v>
      </c>
      <c r="C2026" s="78" t="s">
        <v>4025</v>
      </c>
      <c r="D2026" s="78"/>
    </row>
    <row r="2027" spans="1:4" ht="30">
      <c r="A2027" s="78" t="s">
        <v>4014</v>
      </c>
      <c r="B2027" s="78" t="s">
        <v>4026</v>
      </c>
      <c r="C2027" s="78" t="s">
        <v>1754</v>
      </c>
      <c r="D2027" s="78"/>
    </row>
    <row r="2028" spans="1:4">
      <c r="A2028" s="78" t="s">
        <v>4014</v>
      </c>
      <c r="B2028" s="78" t="s">
        <v>2672</v>
      </c>
      <c r="C2028" s="78" t="s">
        <v>1328</v>
      </c>
      <c r="D2028" s="78"/>
    </row>
    <row r="2029" spans="1:4" ht="30">
      <c r="A2029" s="78" t="s">
        <v>4014</v>
      </c>
      <c r="B2029" s="78" t="s">
        <v>1788</v>
      </c>
      <c r="C2029" s="78" t="s">
        <v>4027</v>
      </c>
      <c r="D2029" s="79">
        <v>54000</v>
      </c>
    </row>
    <row r="2030" spans="1:4" ht="45">
      <c r="A2030" s="78" t="s">
        <v>4014</v>
      </c>
      <c r="B2030" s="78" t="s">
        <v>4028</v>
      </c>
      <c r="C2030" s="78" t="s">
        <v>4029</v>
      </c>
      <c r="D2030" s="78"/>
    </row>
    <row r="2031" spans="1:4" ht="45">
      <c r="A2031" s="78" t="s">
        <v>4014</v>
      </c>
      <c r="B2031" s="78" t="s">
        <v>4028</v>
      </c>
      <c r="C2031" s="78" t="s">
        <v>4030</v>
      </c>
      <c r="D2031" s="79">
        <v>66000</v>
      </c>
    </row>
    <row r="2032" spans="1:4" ht="30">
      <c r="A2032" s="78" t="s">
        <v>4014</v>
      </c>
      <c r="B2032" s="78" t="s">
        <v>4028</v>
      </c>
      <c r="C2032" s="78" t="s">
        <v>4031</v>
      </c>
      <c r="D2032" s="79">
        <v>21000</v>
      </c>
    </row>
    <row r="2033" spans="1:4">
      <c r="A2033" s="78" t="s">
        <v>4014</v>
      </c>
      <c r="B2033" s="78" t="s">
        <v>4032</v>
      </c>
      <c r="C2033" s="78" t="s">
        <v>4033</v>
      </c>
      <c r="D2033" s="78"/>
    </row>
    <row r="2034" spans="1:4" ht="45">
      <c r="A2034" s="78" t="s">
        <v>4014</v>
      </c>
      <c r="B2034" s="78" t="s">
        <v>4034</v>
      </c>
      <c r="C2034" s="78" t="s">
        <v>4035</v>
      </c>
      <c r="D2034" s="78"/>
    </row>
    <row r="2035" spans="1:4">
      <c r="A2035" s="78" t="s">
        <v>4014</v>
      </c>
      <c r="B2035" s="78" t="s">
        <v>1322</v>
      </c>
      <c r="C2035" s="78" t="s">
        <v>4036</v>
      </c>
      <c r="D2035" s="78"/>
    </row>
    <row r="2036" spans="1:4">
      <c r="A2036" s="78" t="s">
        <v>4014</v>
      </c>
      <c r="B2036" s="78" t="s">
        <v>4037</v>
      </c>
      <c r="C2036" s="78" t="s">
        <v>4038</v>
      </c>
      <c r="D2036" s="78"/>
    </row>
    <row r="2037" spans="1:4" ht="45">
      <c r="A2037" s="78" t="s">
        <v>4014</v>
      </c>
      <c r="B2037" s="78" t="s">
        <v>4039</v>
      </c>
      <c r="C2037" s="78" t="s">
        <v>1352</v>
      </c>
      <c r="D2037" s="78"/>
    </row>
    <row r="2038" spans="1:4">
      <c r="A2038" s="78" t="s">
        <v>4014</v>
      </c>
      <c r="B2038" s="78" t="s">
        <v>4040</v>
      </c>
      <c r="C2038" s="78" t="s">
        <v>4041</v>
      </c>
      <c r="D2038" s="78"/>
    </row>
    <row r="2039" spans="1:4" ht="30">
      <c r="A2039" s="78" t="s">
        <v>4014</v>
      </c>
      <c r="B2039" s="78" t="s">
        <v>4040</v>
      </c>
      <c r="C2039" s="78" t="s">
        <v>4042</v>
      </c>
      <c r="D2039" s="78"/>
    </row>
    <row r="2040" spans="1:4">
      <c r="A2040" s="78" t="s">
        <v>4014</v>
      </c>
      <c r="B2040" s="78" t="s">
        <v>4040</v>
      </c>
      <c r="C2040" s="78" t="s">
        <v>4036</v>
      </c>
      <c r="D2040" s="78"/>
    </row>
    <row r="2041" spans="1:4" ht="30">
      <c r="A2041" s="78" t="s">
        <v>4014</v>
      </c>
      <c r="B2041" s="78" t="s">
        <v>4043</v>
      </c>
      <c r="C2041" s="78" t="s">
        <v>4044</v>
      </c>
      <c r="D2041" s="78"/>
    </row>
    <row r="2042" spans="1:4" ht="45">
      <c r="A2042" s="78" t="s">
        <v>4014</v>
      </c>
      <c r="B2042" s="78" t="s">
        <v>4043</v>
      </c>
      <c r="C2042" s="78" t="s">
        <v>4045</v>
      </c>
      <c r="D2042" s="78"/>
    </row>
    <row r="2043" spans="1:4" ht="30">
      <c r="A2043" s="78" t="s">
        <v>4014</v>
      </c>
      <c r="B2043" s="78" t="s">
        <v>4046</v>
      </c>
      <c r="C2043" s="78" t="s">
        <v>2672</v>
      </c>
      <c r="D2043" s="79">
        <v>45300</v>
      </c>
    </row>
    <row r="2044" spans="1:4" ht="75">
      <c r="A2044" s="78" t="s">
        <v>4014</v>
      </c>
      <c r="B2044" s="78" t="s">
        <v>4047</v>
      </c>
      <c r="C2044" s="78" t="s">
        <v>4048</v>
      </c>
      <c r="D2044" s="79">
        <v>24000</v>
      </c>
    </row>
    <row r="2045" spans="1:4" ht="30">
      <c r="A2045" s="78" t="s">
        <v>4014</v>
      </c>
      <c r="B2045" s="78" t="s">
        <v>4049</v>
      </c>
      <c r="C2045" s="78" t="s">
        <v>4050</v>
      </c>
      <c r="D2045" s="78"/>
    </row>
    <row r="2046" spans="1:4" ht="45">
      <c r="A2046" s="78" t="s">
        <v>4014</v>
      </c>
      <c r="B2046" s="78" t="s">
        <v>4051</v>
      </c>
      <c r="C2046" s="78" t="s">
        <v>4052</v>
      </c>
      <c r="D2046" s="79">
        <v>2000</v>
      </c>
    </row>
    <row r="2047" spans="1:4" ht="45">
      <c r="A2047" s="78" t="s">
        <v>4014</v>
      </c>
      <c r="B2047" s="78" t="s">
        <v>4053</v>
      </c>
      <c r="C2047" s="78" t="s">
        <v>1352</v>
      </c>
      <c r="D2047" s="78"/>
    </row>
    <row r="2048" spans="1:4" ht="30">
      <c r="A2048" s="78" t="s">
        <v>4014</v>
      </c>
      <c r="B2048" s="78" t="s">
        <v>4054</v>
      </c>
      <c r="C2048" s="78" t="s">
        <v>4050</v>
      </c>
      <c r="D2048" s="79">
        <v>132500</v>
      </c>
    </row>
    <row r="2049" spans="1:4" ht="45">
      <c r="A2049" s="78" t="s">
        <v>4014</v>
      </c>
      <c r="B2049" s="78" t="s">
        <v>4054</v>
      </c>
      <c r="C2049" s="78" t="s">
        <v>4055</v>
      </c>
      <c r="D2049" s="78"/>
    </row>
    <row r="2050" spans="1:4" ht="45">
      <c r="A2050" s="78" t="s">
        <v>4014</v>
      </c>
      <c r="B2050" s="78" t="s">
        <v>4056</v>
      </c>
      <c r="C2050" s="78" t="s">
        <v>4057</v>
      </c>
      <c r="D2050" s="78"/>
    </row>
    <row r="2051" spans="1:4" ht="30">
      <c r="A2051" s="78" t="s">
        <v>4014</v>
      </c>
      <c r="B2051" s="78" t="s">
        <v>4058</v>
      </c>
      <c r="C2051" s="78" t="s">
        <v>4059</v>
      </c>
      <c r="D2051" s="78"/>
    </row>
    <row r="2052" spans="1:4" ht="45">
      <c r="A2052" s="78" t="s">
        <v>4014</v>
      </c>
      <c r="B2052" s="78" t="s">
        <v>4060</v>
      </c>
      <c r="C2052" s="78" t="s">
        <v>1352</v>
      </c>
      <c r="D2052" s="79">
        <v>94000</v>
      </c>
    </row>
    <row r="2053" spans="1:4" ht="30">
      <c r="A2053" s="78" t="s">
        <v>4014</v>
      </c>
      <c r="B2053" s="78" t="s">
        <v>4060</v>
      </c>
      <c r="C2053" s="78" t="s">
        <v>4061</v>
      </c>
      <c r="D2053" s="78"/>
    </row>
    <row r="2054" spans="1:4" ht="30">
      <c r="A2054" s="78" t="s">
        <v>4014</v>
      </c>
      <c r="B2054" s="78" t="s">
        <v>4062</v>
      </c>
      <c r="C2054" s="78" t="s">
        <v>4063</v>
      </c>
      <c r="D2054" s="78"/>
    </row>
    <row r="2055" spans="1:4" ht="45">
      <c r="A2055" s="78" t="s">
        <v>4014</v>
      </c>
      <c r="B2055" s="78" t="s">
        <v>4064</v>
      </c>
      <c r="C2055" s="78" t="s">
        <v>4065</v>
      </c>
      <c r="D2055" s="78"/>
    </row>
    <row r="2056" spans="1:4" ht="45">
      <c r="A2056" s="78" t="s">
        <v>4014</v>
      </c>
      <c r="B2056" s="78" t="s">
        <v>4066</v>
      </c>
      <c r="C2056" s="78" t="s">
        <v>1352</v>
      </c>
      <c r="D2056" s="78"/>
    </row>
    <row r="2057" spans="1:4" ht="30">
      <c r="A2057" s="78" t="s">
        <v>4014</v>
      </c>
      <c r="B2057" s="78" t="s">
        <v>4067</v>
      </c>
      <c r="C2057" s="78" t="s">
        <v>4068</v>
      </c>
      <c r="D2057" s="79">
        <v>66000</v>
      </c>
    </row>
    <row r="2058" spans="1:4" ht="30">
      <c r="A2058" s="78" t="s">
        <v>4014</v>
      </c>
      <c r="B2058" s="78" t="s">
        <v>4069</v>
      </c>
      <c r="C2058" s="78" t="s">
        <v>4070</v>
      </c>
      <c r="D2058" s="79">
        <v>157000</v>
      </c>
    </row>
    <row r="2059" spans="1:4">
      <c r="A2059" s="78" t="s">
        <v>4014</v>
      </c>
      <c r="B2059" s="78" t="s">
        <v>4071</v>
      </c>
      <c r="C2059" s="78" t="s">
        <v>1336</v>
      </c>
      <c r="D2059" s="79">
        <v>76000</v>
      </c>
    </row>
    <row r="2060" spans="1:4" ht="30">
      <c r="A2060" s="78" t="s">
        <v>4014</v>
      </c>
      <c r="B2060" s="78" t="s">
        <v>4072</v>
      </c>
      <c r="C2060" s="78" t="s">
        <v>4073</v>
      </c>
      <c r="D2060" s="78"/>
    </row>
    <row r="2061" spans="1:4" ht="30">
      <c r="A2061" s="78" t="s">
        <v>4014</v>
      </c>
      <c r="B2061" s="78" t="s">
        <v>4072</v>
      </c>
      <c r="C2061" s="78" t="s">
        <v>4074</v>
      </c>
      <c r="D2061" s="78"/>
    </row>
    <row r="2062" spans="1:4" ht="30">
      <c r="A2062" s="78" t="s">
        <v>4014</v>
      </c>
      <c r="B2062" s="78" t="s">
        <v>4072</v>
      </c>
      <c r="C2062" s="78" t="s">
        <v>4075</v>
      </c>
      <c r="D2062" s="78"/>
    </row>
    <row r="2063" spans="1:4" ht="30">
      <c r="A2063" s="78" t="s">
        <v>4014</v>
      </c>
      <c r="B2063" s="78" t="s">
        <v>4076</v>
      </c>
      <c r="C2063" s="78" t="s">
        <v>2672</v>
      </c>
      <c r="D2063" s="79">
        <v>215000</v>
      </c>
    </row>
    <row r="2064" spans="1:4">
      <c r="A2064" s="78" t="s">
        <v>4014</v>
      </c>
      <c r="B2064" s="78" t="s">
        <v>4077</v>
      </c>
      <c r="C2064" s="78" t="s">
        <v>4078</v>
      </c>
      <c r="D2064" s="79">
        <v>109000</v>
      </c>
    </row>
    <row r="2065" spans="1:4" ht="45">
      <c r="A2065" s="78" t="s">
        <v>4014</v>
      </c>
      <c r="B2065" s="78" t="s">
        <v>4079</v>
      </c>
      <c r="C2065" s="78" t="s">
        <v>4080</v>
      </c>
      <c r="D2065" s="79">
        <v>41000</v>
      </c>
    </row>
    <row r="2066" spans="1:4">
      <c r="A2066" s="78" t="s">
        <v>4014</v>
      </c>
      <c r="B2066" s="78" t="s">
        <v>4081</v>
      </c>
      <c r="C2066" s="78" t="s">
        <v>4082</v>
      </c>
      <c r="D2066" s="78"/>
    </row>
    <row r="2067" spans="1:4" ht="75">
      <c r="A2067" s="78" t="s">
        <v>4014</v>
      </c>
      <c r="B2067" s="78" t="s">
        <v>4083</v>
      </c>
      <c r="C2067" s="78" t="s">
        <v>4084</v>
      </c>
      <c r="D2067" s="79">
        <v>4000</v>
      </c>
    </row>
    <row r="2068" spans="1:4" ht="75">
      <c r="A2068" s="78" t="s">
        <v>4014</v>
      </c>
      <c r="B2068" s="78" t="s">
        <v>4083</v>
      </c>
      <c r="C2068" s="78" t="s">
        <v>4085</v>
      </c>
      <c r="D2068" s="79">
        <v>6000</v>
      </c>
    </row>
    <row r="2069" spans="1:4" ht="30">
      <c r="A2069" s="78" t="s">
        <v>4014</v>
      </c>
      <c r="B2069" s="78" t="s">
        <v>4083</v>
      </c>
      <c r="C2069" s="78" t="s">
        <v>4086</v>
      </c>
      <c r="D2069" s="78"/>
    </row>
    <row r="2070" spans="1:4" ht="45">
      <c r="A2070" s="78" t="s">
        <v>4014</v>
      </c>
      <c r="B2070" s="78" t="s">
        <v>4087</v>
      </c>
      <c r="C2070" s="78" t="s">
        <v>4088</v>
      </c>
      <c r="D2070" s="78"/>
    </row>
    <row r="2071" spans="1:4" ht="30">
      <c r="A2071" s="78" t="s">
        <v>4014</v>
      </c>
      <c r="B2071" s="78" t="s">
        <v>1330</v>
      </c>
      <c r="C2071" s="78" t="s">
        <v>4089</v>
      </c>
      <c r="D2071" s="78"/>
    </row>
    <row r="2072" spans="1:4" ht="30">
      <c r="A2072" s="78" t="s">
        <v>4014</v>
      </c>
      <c r="B2072" s="78" t="s">
        <v>4090</v>
      </c>
      <c r="C2072" s="78" t="s">
        <v>4091</v>
      </c>
      <c r="D2072" s="78"/>
    </row>
    <row r="2073" spans="1:4">
      <c r="A2073" s="78" t="s">
        <v>4014</v>
      </c>
      <c r="B2073" s="78" t="s">
        <v>4090</v>
      </c>
      <c r="C2073" s="78" t="s">
        <v>1754</v>
      </c>
      <c r="D2073" s="78"/>
    </row>
    <row r="2074" spans="1:4" ht="30">
      <c r="A2074" s="78" t="s">
        <v>4014</v>
      </c>
      <c r="B2074" s="78" t="s">
        <v>4092</v>
      </c>
      <c r="C2074" s="78" t="s">
        <v>4093</v>
      </c>
      <c r="D2074" s="79">
        <v>13000</v>
      </c>
    </row>
    <row r="2075" spans="1:4" ht="30">
      <c r="A2075" s="78" t="s">
        <v>4014</v>
      </c>
      <c r="B2075" s="78" t="s">
        <v>4094</v>
      </c>
      <c r="C2075" s="78" t="s">
        <v>4095</v>
      </c>
      <c r="D2075" s="78"/>
    </row>
    <row r="2076" spans="1:4" ht="30">
      <c r="A2076" s="78" t="s">
        <v>4014</v>
      </c>
      <c r="B2076" s="78" t="s">
        <v>4094</v>
      </c>
      <c r="C2076" s="78" t="s">
        <v>4096</v>
      </c>
      <c r="D2076" s="78">
        <v>100</v>
      </c>
    </row>
    <row r="2077" spans="1:4" ht="60">
      <c r="A2077" s="78" t="s">
        <v>4014</v>
      </c>
      <c r="B2077" s="78" t="s">
        <v>4094</v>
      </c>
      <c r="C2077" s="78" t="s">
        <v>4097</v>
      </c>
      <c r="D2077" s="78"/>
    </row>
    <row r="2078" spans="1:4" ht="60">
      <c r="A2078" s="78" t="s">
        <v>4014</v>
      </c>
      <c r="B2078" s="78" t="s">
        <v>4098</v>
      </c>
      <c r="C2078" s="78" t="s">
        <v>4099</v>
      </c>
      <c r="D2078" s="78"/>
    </row>
    <row r="2079" spans="1:4">
      <c r="A2079" s="78" t="s">
        <v>4014</v>
      </c>
      <c r="B2079" s="78" t="s">
        <v>4100</v>
      </c>
      <c r="C2079" s="78" t="s">
        <v>4101</v>
      </c>
      <c r="D2079" s="78"/>
    </row>
    <row r="2080" spans="1:4" ht="45">
      <c r="A2080" s="78" t="s">
        <v>4014</v>
      </c>
      <c r="B2080" s="78" t="s">
        <v>4102</v>
      </c>
      <c r="C2080" s="78" t="s">
        <v>1352</v>
      </c>
      <c r="D2080" s="78"/>
    </row>
    <row r="2081" spans="1:4" ht="30">
      <c r="A2081" s="78" t="s">
        <v>4014</v>
      </c>
      <c r="B2081" s="78" t="s">
        <v>4103</v>
      </c>
      <c r="C2081" s="78" t="s">
        <v>4104</v>
      </c>
      <c r="D2081" s="78"/>
    </row>
    <row r="2082" spans="1:4" ht="45">
      <c r="A2082" s="78" t="s">
        <v>4014</v>
      </c>
      <c r="B2082" s="78" t="s">
        <v>4105</v>
      </c>
      <c r="C2082" s="78" t="s">
        <v>4106</v>
      </c>
      <c r="D2082" s="78"/>
    </row>
    <row r="2083" spans="1:4" ht="45">
      <c r="A2083" s="78" t="s">
        <v>4014</v>
      </c>
      <c r="B2083" s="78" t="s">
        <v>4107</v>
      </c>
      <c r="C2083" s="78" t="s">
        <v>4108</v>
      </c>
      <c r="D2083" s="78"/>
    </row>
    <row r="2084" spans="1:4" ht="75">
      <c r="A2084" s="78" t="s">
        <v>4014</v>
      </c>
      <c r="B2084" s="78" t="s">
        <v>4107</v>
      </c>
      <c r="C2084" s="78" t="s">
        <v>4109</v>
      </c>
      <c r="D2084" s="78"/>
    </row>
    <row r="2085" spans="1:4" ht="30">
      <c r="A2085" s="78" t="s">
        <v>4014</v>
      </c>
      <c r="B2085" s="78" t="s">
        <v>4110</v>
      </c>
      <c r="C2085" s="78" t="s">
        <v>4111</v>
      </c>
      <c r="D2085" s="79">
        <v>20000</v>
      </c>
    </row>
    <row r="2086" spans="1:4" ht="30">
      <c r="A2086" s="78" t="s">
        <v>4014</v>
      </c>
      <c r="B2086" s="78" t="s">
        <v>4112</v>
      </c>
      <c r="C2086" s="78" t="s">
        <v>4113</v>
      </c>
      <c r="D2086" s="79">
        <v>45600</v>
      </c>
    </row>
    <row r="2087" spans="1:4" ht="45">
      <c r="A2087" s="78" t="s">
        <v>4014</v>
      </c>
      <c r="B2087" s="78" t="s">
        <v>4112</v>
      </c>
      <c r="C2087" s="78" t="s">
        <v>4114</v>
      </c>
      <c r="D2087" s="78"/>
    </row>
    <row r="2088" spans="1:4">
      <c r="A2088" s="78" t="s">
        <v>4014</v>
      </c>
      <c r="B2088" s="78" t="s">
        <v>4112</v>
      </c>
      <c r="C2088" s="78" t="s">
        <v>4115</v>
      </c>
      <c r="D2088" s="79">
        <v>54000</v>
      </c>
    </row>
    <row r="2089" spans="1:4">
      <c r="A2089" s="78" t="s">
        <v>4014</v>
      </c>
      <c r="B2089" s="78" t="s">
        <v>4116</v>
      </c>
      <c r="C2089" s="78" t="s">
        <v>4117</v>
      </c>
      <c r="D2089" s="78"/>
    </row>
    <row r="2090" spans="1:4" ht="30">
      <c r="A2090" s="78" t="s">
        <v>4014</v>
      </c>
      <c r="B2090" s="78" t="s">
        <v>4118</v>
      </c>
      <c r="C2090" s="78" t="s">
        <v>4119</v>
      </c>
      <c r="D2090" s="79">
        <v>65000</v>
      </c>
    </row>
    <row r="2091" spans="1:4" ht="30">
      <c r="A2091" s="78" t="s">
        <v>4014</v>
      </c>
      <c r="B2091" s="78" t="s">
        <v>4120</v>
      </c>
      <c r="C2091" s="78" t="s">
        <v>4121</v>
      </c>
      <c r="D2091" s="79">
        <v>27000</v>
      </c>
    </row>
    <row r="2092" spans="1:4" ht="45">
      <c r="A2092" s="78" t="s">
        <v>4014</v>
      </c>
      <c r="B2092" s="78" t="s">
        <v>4120</v>
      </c>
      <c r="C2092" s="78" t="s">
        <v>1352</v>
      </c>
      <c r="D2092" s="78"/>
    </row>
    <row r="2093" spans="1:4" ht="30">
      <c r="A2093" s="78" t="s">
        <v>4014</v>
      </c>
      <c r="B2093" s="78" t="s">
        <v>4122</v>
      </c>
      <c r="C2093" s="78" t="s">
        <v>4123</v>
      </c>
      <c r="D2093" s="78"/>
    </row>
    <row r="2094" spans="1:4" ht="45">
      <c r="A2094" s="78" t="s">
        <v>4014</v>
      </c>
      <c r="B2094" s="78" t="s">
        <v>4124</v>
      </c>
      <c r="C2094" s="78" t="s">
        <v>4125</v>
      </c>
      <c r="D2094" s="78"/>
    </row>
    <row r="2095" spans="1:4" ht="45">
      <c r="A2095" s="78" t="s">
        <v>4014</v>
      </c>
      <c r="B2095" s="78" t="s">
        <v>4124</v>
      </c>
      <c r="C2095" s="78" t="s">
        <v>4126</v>
      </c>
      <c r="D2095" s="78"/>
    </row>
    <row r="2096" spans="1:4" ht="30">
      <c r="A2096" s="78" t="s">
        <v>4014</v>
      </c>
      <c r="B2096" s="78" t="s">
        <v>4124</v>
      </c>
      <c r="C2096" s="78" t="s">
        <v>4127</v>
      </c>
      <c r="D2096" s="78"/>
    </row>
    <row r="2097" spans="1:4" ht="60">
      <c r="A2097" s="78" t="s">
        <v>4014</v>
      </c>
      <c r="B2097" s="78" t="s">
        <v>4128</v>
      </c>
      <c r="C2097" s="78" t="s">
        <v>4129</v>
      </c>
      <c r="D2097" s="78"/>
    </row>
    <row r="2098" spans="1:4" ht="30">
      <c r="A2098" s="78" t="s">
        <v>4014</v>
      </c>
      <c r="B2098" s="78" t="s">
        <v>4130</v>
      </c>
      <c r="C2098" s="78" t="s">
        <v>1754</v>
      </c>
      <c r="D2098" s="78"/>
    </row>
    <row r="2099" spans="1:4" ht="30">
      <c r="A2099" s="78" t="s">
        <v>4014</v>
      </c>
      <c r="B2099" s="78" t="s">
        <v>4131</v>
      </c>
      <c r="C2099" s="78" t="s">
        <v>4132</v>
      </c>
      <c r="D2099" s="78"/>
    </row>
    <row r="2100" spans="1:4" ht="30">
      <c r="A2100" s="78" t="s">
        <v>4014</v>
      </c>
      <c r="B2100" s="78" t="s">
        <v>4133</v>
      </c>
      <c r="C2100" s="78" t="s">
        <v>4134</v>
      </c>
      <c r="D2100" s="78"/>
    </row>
    <row r="2101" spans="1:4" ht="30">
      <c r="A2101" s="78" t="s">
        <v>4014</v>
      </c>
      <c r="B2101" s="78" t="s">
        <v>4133</v>
      </c>
      <c r="C2101" s="78" t="s">
        <v>4135</v>
      </c>
      <c r="D2101" s="79">
        <v>45400</v>
      </c>
    </row>
    <row r="2102" spans="1:4" ht="45">
      <c r="A2102" s="78" t="s">
        <v>4014</v>
      </c>
      <c r="B2102" s="78" t="s">
        <v>4133</v>
      </c>
      <c r="C2102" s="78" t="s">
        <v>4136</v>
      </c>
      <c r="D2102" s="78"/>
    </row>
    <row r="2103" spans="1:4" ht="30">
      <c r="A2103" s="78" t="s">
        <v>4014</v>
      </c>
      <c r="B2103" s="78" t="s">
        <v>4133</v>
      </c>
      <c r="C2103" s="78" t="s">
        <v>4137</v>
      </c>
      <c r="D2103" s="78"/>
    </row>
    <row r="2104" spans="1:4">
      <c r="A2104" s="78" t="s">
        <v>4014</v>
      </c>
      <c r="B2104" s="78" t="s">
        <v>4133</v>
      </c>
      <c r="C2104" s="78" t="s">
        <v>4138</v>
      </c>
      <c r="D2104" s="78"/>
    </row>
    <row r="2105" spans="1:4" ht="45">
      <c r="A2105" s="78" t="s">
        <v>4014</v>
      </c>
      <c r="B2105" s="78" t="s">
        <v>4139</v>
      </c>
      <c r="C2105" s="78" t="s">
        <v>1352</v>
      </c>
      <c r="D2105" s="79">
        <v>45600</v>
      </c>
    </row>
    <row r="2106" spans="1:4" ht="45">
      <c r="A2106" s="78" t="s">
        <v>4014</v>
      </c>
      <c r="B2106" s="78" t="s">
        <v>4139</v>
      </c>
      <c r="C2106" s="78" t="s">
        <v>4140</v>
      </c>
      <c r="D2106" s="78"/>
    </row>
    <row r="2107" spans="1:4" ht="30">
      <c r="A2107" s="78" t="s">
        <v>4014</v>
      </c>
      <c r="B2107" s="78" t="s">
        <v>4139</v>
      </c>
      <c r="C2107" s="78" t="s">
        <v>4141</v>
      </c>
      <c r="D2107" s="78"/>
    </row>
    <row r="2108" spans="1:4" ht="30">
      <c r="A2108" s="78" t="s">
        <v>4014</v>
      </c>
      <c r="B2108" s="78" t="s">
        <v>4139</v>
      </c>
      <c r="C2108" s="78" t="s">
        <v>4142</v>
      </c>
      <c r="D2108" s="78"/>
    </row>
    <row r="2109" spans="1:4" ht="30">
      <c r="A2109" s="78" t="s">
        <v>4014</v>
      </c>
      <c r="B2109" s="78" t="s">
        <v>4143</v>
      </c>
      <c r="C2109" s="78" t="s">
        <v>4144</v>
      </c>
      <c r="D2109" s="78"/>
    </row>
    <row r="2110" spans="1:4" ht="60">
      <c r="A2110" s="78" t="s">
        <v>4014</v>
      </c>
      <c r="B2110" s="78" t="s">
        <v>4145</v>
      </c>
      <c r="C2110" s="78" t="s">
        <v>4146</v>
      </c>
      <c r="D2110" s="78"/>
    </row>
    <row r="2111" spans="1:4" ht="45">
      <c r="A2111" s="78" t="s">
        <v>4014</v>
      </c>
      <c r="B2111" s="78" t="s">
        <v>4147</v>
      </c>
      <c r="C2111" s="78" t="s">
        <v>4114</v>
      </c>
      <c r="D2111" s="79">
        <v>40000</v>
      </c>
    </row>
    <row r="2112" spans="1:4" ht="30">
      <c r="A2112" s="78" t="s">
        <v>4014</v>
      </c>
      <c r="B2112" s="78" t="s">
        <v>4148</v>
      </c>
      <c r="C2112" s="78" t="s">
        <v>4149</v>
      </c>
      <c r="D2112" s="78"/>
    </row>
    <row r="2113" spans="1:4" ht="45">
      <c r="A2113" s="78" t="s">
        <v>4014</v>
      </c>
      <c r="B2113" s="78" t="s">
        <v>4148</v>
      </c>
      <c r="C2113" s="78" t="s">
        <v>4150</v>
      </c>
      <c r="D2113" s="79">
        <v>135000</v>
      </c>
    </row>
    <row r="2114" spans="1:4" ht="45">
      <c r="A2114" s="78" t="s">
        <v>4014</v>
      </c>
      <c r="B2114" s="78" t="s">
        <v>4148</v>
      </c>
      <c r="C2114" s="78" t="s">
        <v>4151</v>
      </c>
      <c r="D2114" s="79">
        <v>40000</v>
      </c>
    </row>
    <row r="2115" spans="1:4" ht="30">
      <c r="A2115" s="78" t="s">
        <v>4014</v>
      </c>
      <c r="B2115" s="78" t="s">
        <v>4148</v>
      </c>
      <c r="C2115" s="78" t="s">
        <v>4152</v>
      </c>
      <c r="D2115" s="78"/>
    </row>
    <row r="2116" spans="1:4" ht="30">
      <c r="A2116" s="78" t="s">
        <v>4014</v>
      </c>
      <c r="B2116" s="78" t="s">
        <v>4153</v>
      </c>
      <c r="C2116" s="78" t="s">
        <v>4154</v>
      </c>
      <c r="D2116" s="79">
        <v>10000</v>
      </c>
    </row>
    <row r="2117" spans="1:4" ht="45">
      <c r="A2117" s="78" t="s">
        <v>4014</v>
      </c>
      <c r="B2117" s="78" t="s">
        <v>4155</v>
      </c>
      <c r="C2117" s="78" t="s">
        <v>4156</v>
      </c>
      <c r="D2117" s="78"/>
    </row>
    <row r="2118" spans="1:4" ht="30">
      <c r="A2118" s="78" t="s">
        <v>4014</v>
      </c>
      <c r="B2118" s="78" t="s">
        <v>4155</v>
      </c>
      <c r="C2118" s="78" t="s">
        <v>4157</v>
      </c>
      <c r="D2118" s="78"/>
    </row>
    <row r="2119" spans="1:4" ht="45">
      <c r="A2119" s="78" t="s">
        <v>4014</v>
      </c>
      <c r="B2119" s="78" t="s">
        <v>4158</v>
      </c>
      <c r="C2119" s="78" t="s">
        <v>1352</v>
      </c>
      <c r="D2119" s="78"/>
    </row>
    <row r="2120" spans="1:4" ht="30">
      <c r="A2120" s="78" t="s">
        <v>4014</v>
      </c>
      <c r="B2120" s="78" t="s">
        <v>4159</v>
      </c>
      <c r="C2120" s="78" t="s">
        <v>1328</v>
      </c>
      <c r="D2120" s="79">
        <v>92000</v>
      </c>
    </row>
    <row r="2121" spans="1:4" ht="45">
      <c r="A2121" s="78" t="s">
        <v>4014</v>
      </c>
      <c r="B2121" s="78" t="s">
        <v>4159</v>
      </c>
      <c r="C2121" s="78" t="s">
        <v>4160</v>
      </c>
      <c r="D2121" s="78"/>
    </row>
    <row r="2122" spans="1:4" ht="45">
      <c r="A2122" s="78" t="s">
        <v>4014</v>
      </c>
      <c r="B2122" s="78" t="s">
        <v>4159</v>
      </c>
      <c r="C2122" s="78" t="s">
        <v>4140</v>
      </c>
      <c r="D2122" s="78"/>
    </row>
    <row r="2123" spans="1:4" ht="45">
      <c r="A2123" s="78" t="s">
        <v>4014</v>
      </c>
      <c r="B2123" s="78" t="s">
        <v>4159</v>
      </c>
      <c r="C2123" s="78" t="s">
        <v>4161</v>
      </c>
      <c r="D2123" s="78"/>
    </row>
    <row r="2124" spans="1:4" ht="45">
      <c r="A2124" s="78" t="s">
        <v>4014</v>
      </c>
      <c r="B2124" s="78" t="s">
        <v>4159</v>
      </c>
      <c r="C2124" s="78" t="s">
        <v>1352</v>
      </c>
      <c r="D2124" s="78"/>
    </row>
    <row r="2125" spans="1:4" ht="60">
      <c r="A2125" s="78" t="s">
        <v>4014</v>
      </c>
      <c r="B2125" s="78" t="s">
        <v>4159</v>
      </c>
      <c r="C2125" s="78" t="s">
        <v>4162</v>
      </c>
      <c r="D2125" s="78"/>
    </row>
    <row r="2126" spans="1:4" ht="30">
      <c r="A2126" s="78" t="s">
        <v>4014</v>
      </c>
      <c r="B2126" s="78" t="s">
        <v>4163</v>
      </c>
      <c r="C2126" s="78" t="s">
        <v>4164</v>
      </c>
      <c r="D2126" s="79">
        <v>50000</v>
      </c>
    </row>
    <row r="2127" spans="1:4" ht="45">
      <c r="A2127" s="78" t="s">
        <v>4014</v>
      </c>
      <c r="B2127" s="78" t="s">
        <v>4163</v>
      </c>
      <c r="C2127" s="78" t="s">
        <v>4165</v>
      </c>
      <c r="D2127" s="78"/>
    </row>
    <row r="2128" spans="1:4" ht="45">
      <c r="A2128" s="78" t="s">
        <v>4014</v>
      </c>
      <c r="B2128" s="78" t="s">
        <v>4163</v>
      </c>
      <c r="C2128" s="78" t="s">
        <v>4166</v>
      </c>
      <c r="D2128" s="78"/>
    </row>
    <row r="2129" spans="1:4" ht="60">
      <c r="A2129" s="78" t="s">
        <v>4014</v>
      </c>
      <c r="B2129" s="78" t="s">
        <v>4167</v>
      </c>
      <c r="C2129" s="78" t="s">
        <v>1352</v>
      </c>
      <c r="D2129" s="79">
        <v>158000</v>
      </c>
    </row>
    <row r="2130" spans="1:4" ht="45">
      <c r="A2130" s="78" t="s">
        <v>4014</v>
      </c>
      <c r="B2130" s="78" t="s">
        <v>4168</v>
      </c>
      <c r="C2130" s="78" t="s">
        <v>4169</v>
      </c>
      <c r="D2130" s="78"/>
    </row>
    <row r="2131" spans="1:4" ht="30">
      <c r="A2131" s="78" t="s">
        <v>4014</v>
      </c>
      <c r="B2131" s="78" t="s">
        <v>4170</v>
      </c>
      <c r="C2131" s="78" t="s">
        <v>4171</v>
      </c>
      <c r="D2131" s="79">
        <v>36000</v>
      </c>
    </row>
    <row r="2132" spans="1:4" ht="45">
      <c r="A2132" s="78" t="s">
        <v>4014</v>
      </c>
      <c r="B2132" s="78" t="s">
        <v>4170</v>
      </c>
      <c r="C2132" s="78" t="s">
        <v>4172</v>
      </c>
      <c r="D2132" s="79">
        <v>40000</v>
      </c>
    </row>
    <row r="2133" spans="1:4" ht="60">
      <c r="A2133" s="78" t="s">
        <v>4014</v>
      </c>
      <c r="B2133" s="78" t="s">
        <v>4170</v>
      </c>
      <c r="C2133" s="78" t="s">
        <v>4173</v>
      </c>
      <c r="D2133" s="78"/>
    </row>
    <row r="2134" spans="1:4" ht="45">
      <c r="A2134" s="78" t="s">
        <v>4014</v>
      </c>
      <c r="B2134" s="78" t="s">
        <v>4170</v>
      </c>
      <c r="C2134" s="78" t="s">
        <v>4174</v>
      </c>
      <c r="D2134" s="78"/>
    </row>
    <row r="2135" spans="1:4" ht="45">
      <c r="A2135" s="78" t="s">
        <v>4014</v>
      </c>
      <c r="B2135" s="78" t="s">
        <v>4170</v>
      </c>
      <c r="C2135" s="78" t="s">
        <v>4175</v>
      </c>
      <c r="D2135" s="78"/>
    </row>
    <row r="2136" spans="1:4" ht="30">
      <c r="A2136" s="78" t="s">
        <v>4014</v>
      </c>
      <c r="B2136" s="78" t="s">
        <v>4170</v>
      </c>
      <c r="C2136" s="78" t="s">
        <v>4176</v>
      </c>
      <c r="D2136" s="78">
        <v>544</v>
      </c>
    </row>
    <row r="2137" spans="1:4" ht="30">
      <c r="A2137" s="78" t="s">
        <v>4014</v>
      </c>
      <c r="B2137" s="78" t="s">
        <v>4177</v>
      </c>
      <c r="C2137" s="78" t="s">
        <v>1068</v>
      </c>
      <c r="D2137" s="79">
        <v>90000</v>
      </c>
    </row>
    <row r="2138" spans="1:4" ht="60">
      <c r="A2138" s="78" t="s">
        <v>4014</v>
      </c>
      <c r="B2138" s="78" t="s">
        <v>4178</v>
      </c>
      <c r="C2138" s="78" t="s">
        <v>4179</v>
      </c>
      <c r="D2138" s="79">
        <v>15000</v>
      </c>
    </row>
    <row r="2139" spans="1:4" ht="30">
      <c r="A2139" s="78" t="s">
        <v>4014</v>
      </c>
      <c r="B2139" s="78" t="s">
        <v>4178</v>
      </c>
      <c r="C2139" s="78" t="s">
        <v>4180</v>
      </c>
      <c r="D2139" s="78"/>
    </row>
    <row r="2140" spans="1:4" ht="45">
      <c r="A2140" s="78" t="s">
        <v>4014</v>
      </c>
      <c r="B2140" s="78" t="s">
        <v>4178</v>
      </c>
      <c r="C2140" s="78" t="s">
        <v>4181</v>
      </c>
      <c r="D2140" s="78"/>
    </row>
    <row r="2141" spans="1:4" ht="45">
      <c r="A2141" s="78" t="s">
        <v>4014</v>
      </c>
      <c r="B2141" s="78" t="s">
        <v>4182</v>
      </c>
      <c r="C2141" s="78" t="s">
        <v>4183</v>
      </c>
      <c r="D2141" s="78"/>
    </row>
    <row r="2142" spans="1:4" ht="30">
      <c r="A2142" s="78" t="s">
        <v>4014</v>
      </c>
      <c r="B2142" s="78" t="s">
        <v>4184</v>
      </c>
      <c r="C2142" s="78" t="s">
        <v>4185</v>
      </c>
      <c r="D2142" s="78"/>
    </row>
    <row r="2143" spans="1:4" ht="30">
      <c r="A2143" s="78" t="s">
        <v>4014</v>
      </c>
      <c r="B2143" s="78" t="s">
        <v>4186</v>
      </c>
      <c r="C2143" s="78" t="s">
        <v>4187</v>
      </c>
      <c r="D2143" s="78"/>
    </row>
    <row r="2144" spans="1:4" ht="45">
      <c r="A2144" s="78" t="s">
        <v>4014</v>
      </c>
      <c r="B2144" s="78" t="s">
        <v>4188</v>
      </c>
      <c r="C2144" s="78" t="s">
        <v>4189</v>
      </c>
      <c r="D2144" s="78"/>
    </row>
    <row r="2145" spans="1:4" ht="45">
      <c r="A2145" s="78" t="s">
        <v>4014</v>
      </c>
      <c r="B2145" s="78" t="s">
        <v>4190</v>
      </c>
      <c r="C2145" s="78" t="s">
        <v>1352</v>
      </c>
      <c r="D2145" s="78"/>
    </row>
    <row r="2146" spans="1:4" ht="45">
      <c r="A2146" s="78" t="s">
        <v>4014</v>
      </c>
      <c r="B2146" s="78" t="s">
        <v>4191</v>
      </c>
      <c r="C2146" s="78" t="s">
        <v>4183</v>
      </c>
      <c r="D2146" s="79">
        <v>200000</v>
      </c>
    </row>
    <row r="2147" spans="1:4" ht="30">
      <c r="A2147" s="78" t="s">
        <v>4014</v>
      </c>
      <c r="B2147" s="78" t="s">
        <v>4192</v>
      </c>
      <c r="C2147" s="78" t="s">
        <v>4193</v>
      </c>
      <c r="D2147" s="78"/>
    </row>
    <row r="2148" spans="1:4" ht="30">
      <c r="A2148" s="78" t="s">
        <v>4014</v>
      </c>
      <c r="B2148" s="78" t="s">
        <v>4192</v>
      </c>
      <c r="C2148" s="78" t="s">
        <v>1068</v>
      </c>
      <c r="D2148" s="78"/>
    </row>
    <row r="2149" spans="1:4" ht="30">
      <c r="A2149" s="78" t="s">
        <v>4014</v>
      </c>
      <c r="B2149" s="78" t="s">
        <v>4194</v>
      </c>
      <c r="C2149" s="78" t="s">
        <v>4195</v>
      </c>
      <c r="D2149" s="78"/>
    </row>
    <row r="2150" spans="1:4" ht="30">
      <c r="A2150" s="78" t="s">
        <v>4014</v>
      </c>
      <c r="B2150" s="78" t="s">
        <v>4196</v>
      </c>
      <c r="C2150" s="78" t="s">
        <v>4197</v>
      </c>
      <c r="D2150" s="78"/>
    </row>
    <row r="2151" spans="1:4" ht="30">
      <c r="A2151" s="78" t="s">
        <v>4014</v>
      </c>
      <c r="B2151" s="78" t="s">
        <v>4198</v>
      </c>
      <c r="C2151" s="78" t="s">
        <v>2672</v>
      </c>
      <c r="D2151" s="78"/>
    </row>
    <row r="2152" spans="1:4" ht="30">
      <c r="A2152" s="78" t="s">
        <v>4014</v>
      </c>
      <c r="B2152" s="78" t="s">
        <v>4198</v>
      </c>
      <c r="C2152" s="78" t="s">
        <v>1274</v>
      </c>
      <c r="D2152" s="79">
        <v>122000</v>
      </c>
    </row>
    <row r="2153" spans="1:4" ht="45">
      <c r="A2153" s="78" t="s">
        <v>4014</v>
      </c>
      <c r="B2153" s="78" t="s">
        <v>4199</v>
      </c>
      <c r="C2153" s="78" t="s">
        <v>4200</v>
      </c>
      <c r="D2153" s="79">
        <v>109000</v>
      </c>
    </row>
    <row r="2154" spans="1:4" ht="60">
      <c r="A2154" s="78" t="s">
        <v>4014</v>
      </c>
      <c r="B2154" s="78" t="s">
        <v>4201</v>
      </c>
      <c r="C2154" s="78" t="s">
        <v>4202</v>
      </c>
      <c r="D2154" s="78"/>
    </row>
    <row r="2155" spans="1:4" ht="30">
      <c r="A2155" s="78" t="s">
        <v>4014</v>
      </c>
      <c r="B2155" s="78" t="s">
        <v>4201</v>
      </c>
      <c r="C2155" s="78" t="s">
        <v>4203</v>
      </c>
      <c r="D2155" s="79">
        <v>4500</v>
      </c>
    </row>
    <row r="2156" spans="1:4" ht="30">
      <c r="A2156" s="78" t="s">
        <v>4014</v>
      </c>
      <c r="B2156" s="78" t="s">
        <v>4201</v>
      </c>
      <c r="C2156" s="78" t="s">
        <v>4204</v>
      </c>
      <c r="D2156" s="78"/>
    </row>
    <row r="2157" spans="1:4" ht="30">
      <c r="A2157" s="78" t="s">
        <v>4014</v>
      </c>
      <c r="B2157" s="78" t="s">
        <v>4205</v>
      </c>
      <c r="C2157" s="78" t="s">
        <v>4050</v>
      </c>
      <c r="D2157" s="78"/>
    </row>
    <row r="2158" spans="1:4" ht="60">
      <c r="A2158" s="78" t="s">
        <v>4014</v>
      </c>
      <c r="B2158" s="78" t="s">
        <v>4206</v>
      </c>
      <c r="C2158" s="78" t="s">
        <v>4207</v>
      </c>
      <c r="D2158" s="79">
        <v>136000</v>
      </c>
    </row>
    <row r="2159" spans="1:4" ht="45">
      <c r="A2159" s="78" t="s">
        <v>4014</v>
      </c>
      <c r="B2159" s="78" t="s">
        <v>2249</v>
      </c>
      <c r="C2159" s="78" t="s">
        <v>4183</v>
      </c>
      <c r="D2159" s="78"/>
    </row>
    <row r="2160" spans="1:4" ht="60">
      <c r="A2160" s="78" t="s">
        <v>4014</v>
      </c>
      <c r="B2160" s="78" t="s">
        <v>4208</v>
      </c>
      <c r="C2160" s="78" t="s">
        <v>4209</v>
      </c>
      <c r="D2160" s="78"/>
    </row>
    <row r="2161" spans="1:4" ht="30">
      <c r="A2161" s="78" t="s">
        <v>4014</v>
      </c>
      <c r="B2161" s="78" t="s">
        <v>4210</v>
      </c>
      <c r="C2161" s="78" t="s">
        <v>4211</v>
      </c>
      <c r="D2161" s="78"/>
    </row>
    <row r="2162" spans="1:4" ht="45">
      <c r="A2162" s="78" t="s">
        <v>4014</v>
      </c>
      <c r="B2162" s="78" t="s">
        <v>4210</v>
      </c>
      <c r="C2162" s="78" t="s">
        <v>4212</v>
      </c>
      <c r="D2162" s="78"/>
    </row>
    <row r="2163" spans="1:4" ht="60">
      <c r="A2163" s="78" t="s">
        <v>4014</v>
      </c>
      <c r="B2163" s="78" t="s">
        <v>4213</v>
      </c>
      <c r="C2163" s="78" t="s">
        <v>4214</v>
      </c>
      <c r="D2163" s="79">
        <v>30000</v>
      </c>
    </row>
    <row r="2164" spans="1:4" ht="30">
      <c r="A2164" s="78" t="s">
        <v>4014</v>
      </c>
      <c r="B2164" s="78" t="s">
        <v>4215</v>
      </c>
      <c r="C2164" s="78" t="s">
        <v>4216</v>
      </c>
      <c r="D2164" s="78"/>
    </row>
    <row r="2165" spans="1:4" ht="30">
      <c r="A2165" s="78" t="s">
        <v>4014</v>
      </c>
      <c r="B2165" s="78" t="s">
        <v>4215</v>
      </c>
      <c r="C2165" s="78" t="s">
        <v>4217</v>
      </c>
      <c r="D2165" s="78"/>
    </row>
    <row r="2166" spans="1:4" ht="45">
      <c r="A2166" s="78" t="s">
        <v>4014</v>
      </c>
      <c r="B2166" s="78" t="s">
        <v>4218</v>
      </c>
      <c r="C2166" s="78" t="s">
        <v>4219</v>
      </c>
      <c r="D2166" s="78"/>
    </row>
    <row r="2167" spans="1:4" ht="30">
      <c r="A2167" s="78" t="s">
        <v>4014</v>
      </c>
      <c r="B2167" s="78" t="s">
        <v>4220</v>
      </c>
      <c r="C2167" s="78" t="s">
        <v>4036</v>
      </c>
      <c r="D2167" s="78"/>
    </row>
    <row r="2168" spans="1:4">
      <c r="A2168" s="78" t="s">
        <v>4014</v>
      </c>
      <c r="B2168" s="78" t="s">
        <v>4221</v>
      </c>
      <c r="C2168" s="78" t="s">
        <v>4222</v>
      </c>
      <c r="D2168" s="78"/>
    </row>
    <row r="2169" spans="1:4" ht="30">
      <c r="A2169" s="78" t="s">
        <v>4014</v>
      </c>
      <c r="B2169" s="78" t="s">
        <v>4221</v>
      </c>
      <c r="C2169" s="78" t="s">
        <v>4223</v>
      </c>
      <c r="D2169" s="78"/>
    </row>
    <row r="2170" spans="1:4" ht="30">
      <c r="A2170" s="78" t="s">
        <v>4014</v>
      </c>
      <c r="B2170" s="78" t="s">
        <v>4224</v>
      </c>
      <c r="C2170" s="78" t="s">
        <v>4225</v>
      </c>
      <c r="D2170" s="78"/>
    </row>
    <row r="2171" spans="1:4" ht="30">
      <c r="A2171" s="78" t="s">
        <v>4014</v>
      </c>
      <c r="B2171" s="78" t="s">
        <v>4226</v>
      </c>
      <c r="C2171" s="78" t="s">
        <v>4141</v>
      </c>
      <c r="D2171" s="78"/>
    </row>
    <row r="2172" spans="1:4" ht="45">
      <c r="A2172" s="78" t="s">
        <v>4014</v>
      </c>
      <c r="B2172" s="78" t="s">
        <v>4226</v>
      </c>
      <c r="C2172" s="78" t="s">
        <v>1352</v>
      </c>
      <c r="D2172" s="78"/>
    </row>
    <row r="2173" spans="1:4" ht="45">
      <c r="A2173" s="78" t="s">
        <v>4014</v>
      </c>
      <c r="B2173" s="78" t="s">
        <v>4227</v>
      </c>
      <c r="C2173" s="78" t="s">
        <v>1352</v>
      </c>
      <c r="D2173" s="79">
        <v>16000</v>
      </c>
    </row>
    <row r="2174" spans="1:4" ht="30">
      <c r="A2174" s="78" t="s">
        <v>4014</v>
      </c>
      <c r="B2174" s="78" t="s">
        <v>4228</v>
      </c>
      <c r="C2174" s="78" t="s">
        <v>4229</v>
      </c>
      <c r="D2174" s="78"/>
    </row>
    <row r="2175" spans="1:4">
      <c r="A2175" s="78" t="s">
        <v>4014</v>
      </c>
      <c r="B2175" s="78" t="s">
        <v>4230</v>
      </c>
      <c r="C2175" s="78" t="s">
        <v>2672</v>
      </c>
      <c r="D2175" s="79">
        <v>18000</v>
      </c>
    </row>
    <row r="2176" spans="1:4" ht="30">
      <c r="A2176" s="78" t="s">
        <v>4014</v>
      </c>
      <c r="B2176" s="78" t="s">
        <v>4231</v>
      </c>
      <c r="C2176" s="78" t="s">
        <v>1273</v>
      </c>
      <c r="D2176" s="79">
        <v>50000</v>
      </c>
    </row>
    <row r="2177" spans="1:4" ht="45">
      <c r="A2177" s="78" t="s">
        <v>4014</v>
      </c>
      <c r="B2177" s="78" t="s">
        <v>4232</v>
      </c>
      <c r="C2177" s="78" t="s">
        <v>4233</v>
      </c>
      <c r="D2177" s="78"/>
    </row>
    <row r="2178" spans="1:4" ht="30">
      <c r="A2178" s="78" t="s">
        <v>4014</v>
      </c>
      <c r="B2178" s="78" t="s">
        <v>4234</v>
      </c>
      <c r="C2178" s="78" t="s">
        <v>1068</v>
      </c>
      <c r="D2178" s="79">
        <v>50000</v>
      </c>
    </row>
    <row r="2179" spans="1:4" ht="30">
      <c r="A2179" s="78" t="s">
        <v>4014</v>
      </c>
      <c r="B2179" s="78" t="s">
        <v>4235</v>
      </c>
      <c r="C2179" s="78" t="s">
        <v>4236</v>
      </c>
      <c r="D2179" s="78"/>
    </row>
    <row r="2180" spans="1:4" ht="45">
      <c r="A2180" s="78" t="s">
        <v>4014</v>
      </c>
      <c r="B2180" s="78" t="s">
        <v>4237</v>
      </c>
      <c r="C2180" s="78" t="s">
        <v>4238</v>
      </c>
      <c r="D2180" s="78"/>
    </row>
    <row r="2181" spans="1:4" ht="45">
      <c r="A2181" s="78" t="s">
        <v>4014</v>
      </c>
      <c r="B2181" s="78" t="s">
        <v>4239</v>
      </c>
      <c r="C2181" s="78" t="s">
        <v>4240</v>
      </c>
      <c r="D2181" s="78"/>
    </row>
    <row r="2182" spans="1:4" ht="30">
      <c r="A2182" s="78" t="s">
        <v>4014</v>
      </c>
      <c r="B2182" s="78" t="s">
        <v>4241</v>
      </c>
      <c r="C2182" s="78" t="s">
        <v>3114</v>
      </c>
      <c r="D2182" s="78"/>
    </row>
    <row r="2183" spans="1:4" ht="30">
      <c r="A2183" s="78" t="s">
        <v>4014</v>
      </c>
      <c r="B2183" s="78" t="s">
        <v>4242</v>
      </c>
      <c r="C2183" s="78" t="s">
        <v>4243</v>
      </c>
      <c r="D2183" s="78"/>
    </row>
    <row r="2184" spans="1:4" ht="30">
      <c r="A2184" s="78" t="s">
        <v>4014</v>
      </c>
      <c r="B2184" s="78" t="s">
        <v>4244</v>
      </c>
      <c r="C2184" s="78" t="s">
        <v>3114</v>
      </c>
      <c r="D2184" s="78"/>
    </row>
    <row r="2185" spans="1:4" ht="30">
      <c r="A2185" s="78" t="s">
        <v>4014</v>
      </c>
      <c r="B2185" s="78" t="s">
        <v>4244</v>
      </c>
      <c r="C2185" s="78" t="s">
        <v>1624</v>
      </c>
      <c r="D2185" s="78"/>
    </row>
    <row r="2186" spans="1:4" ht="30">
      <c r="A2186" s="78" t="s">
        <v>4014</v>
      </c>
      <c r="B2186" s="78" t="s">
        <v>4244</v>
      </c>
      <c r="C2186" s="78" t="s">
        <v>4245</v>
      </c>
      <c r="D2186" s="78"/>
    </row>
    <row r="2187" spans="1:4" ht="30">
      <c r="A2187" s="78" t="s">
        <v>4014</v>
      </c>
      <c r="B2187" s="78" t="s">
        <v>4244</v>
      </c>
      <c r="C2187" s="78" t="s">
        <v>4246</v>
      </c>
      <c r="D2187" s="78"/>
    </row>
    <row r="2188" spans="1:4" ht="30">
      <c r="A2188" s="78" t="s">
        <v>4014</v>
      </c>
      <c r="B2188" s="78" t="s">
        <v>4247</v>
      </c>
      <c r="C2188" s="78" t="s">
        <v>4248</v>
      </c>
      <c r="D2188" s="78"/>
    </row>
    <row r="2189" spans="1:4" ht="45">
      <c r="A2189" s="78" t="s">
        <v>4014</v>
      </c>
      <c r="B2189" s="78" t="s">
        <v>4249</v>
      </c>
      <c r="C2189" s="78" t="s">
        <v>4250</v>
      </c>
      <c r="D2189" s="79">
        <v>132000</v>
      </c>
    </row>
    <row r="2190" spans="1:4" ht="30">
      <c r="A2190" s="78" t="s">
        <v>4014</v>
      </c>
      <c r="B2190" s="78" t="s">
        <v>1057</v>
      </c>
      <c r="C2190" s="78" t="s">
        <v>4075</v>
      </c>
      <c r="D2190" s="78"/>
    </row>
    <row r="2191" spans="1:4" ht="30">
      <c r="A2191" s="78" t="s">
        <v>4014</v>
      </c>
      <c r="B2191" s="78" t="s">
        <v>1057</v>
      </c>
      <c r="C2191" s="78" t="s">
        <v>4251</v>
      </c>
      <c r="D2191" s="78"/>
    </row>
    <row r="2192" spans="1:4" ht="30">
      <c r="A2192" s="78" t="s">
        <v>4014</v>
      </c>
      <c r="B2192" s="78" t="s">
        <v>4252</v>
      </c>
      <c r="C2192" s="78" t="s">
        <v>4253</v>
      </c>
      <c r="D2192" s="78"/>
    </row>
    <row r="2193" spans="1:4">
      <c r="A2193" s="78" t="s">
        <v>4014</v>
      </c>
      <c r="B2193" s="78" t="s">
        <v>4254</v>
      </c>
      <c r="C2193" s="78" t="s">
        <v>1336</v>
      </c>
      <c r="D2193" s="78"/>
    </row>
    <row r="2194" spans="1:4" ht="45">
      <c r="A2194" s="78" t="s">
        <v>4014</v>
      </c>
      <c r="B2194" s="78" t="s">
        <v>4255</v>
      </c>
      <c r="C2194" s="78" t="s">
        <v>4256</v>
      </c>
      <c r="D2194" s="78"/>
    </row>
    <row r="2195" spans="1:4" ht="45">
      <c r="A2195" s="78" t="s">
        <v>4014</v>
      </c>
      <c r="B2195" s="78" t="s">
        <v>4257</v>
      </c>
      <c r="C2195" s="78" t="s">
        <v>4258</v>
      </c>
      <c r="D2195" s="78"/>
    </row>
    <row r="2196" spans="1:4" ht="45">
      <c r="A2196" s="78" t="s">
        <v>4014</v>
      </c>
      <c r="B2196" s="78" t="s">
        <v>4259</v>
      </c>
      <c r="C2196" s="78" t="s">
        <v>4260</v>
      </c>
      <c r="D2196" s="79">
        <v>10000</v>
      </c>
    </row>
    <row r="2197" spans="1:4" ht="45">
      <c r="A2197" s="78" t="s">
        <v>4014</v>
      </c>
      <c r="B2197" s="78" t="s">
        <v>4261</v>
      </c>
      <c r="C2197" s="78" t="s">
        <v>4262</v>
      </c>
      <c r="D2197" s="78"/>
    </row>
    <row r="2198" spans="1:4" ht="45">
      <c r="A2198" s="78" t="s">
        <v>4014</v>
      </c>
      <c r="B2198" s="78" t="s">
        <v>4263</v>
      </c>
      <c r="C2198" s="78" t="s">
        <v>4264</v>
      </c>
      <c r="D2198" s="78"/>
    </row>
    <row r="2199" spans="1:4" ht="45">
      <c r="A2199" s="78" t="s">
        <v>4014</v>
      </c>
      <c r="B2199" s="78" t="s">
        <v>4265</v>
      </c>
      <c r="C2199" s="78" t="s">
        <v>4266</v>
      </c>
      <c r="D2199" s="78"/>
    </row>
    <row r="2200" spans="1:4">
      <c r="A2200" s="78" t="s">
        <v>4014</v>
      </c>
      <c r="B2200" s="78" t="s">
        <v>4265</v>
      </c>
      <c r="C2200" s="78" t="s">
        <v>4222</v>
      </c>
      <c r="D2200" s="79">
        <v>72000</v>
      </c>
    </row>
    <row r="2201" spans="1:4" ht="30">
      <c r="A2201" s="78" t="s">
        <v>4014</v>
      </c>
      <c r="B2201" s="78" t="s">
        <v>4265</v>
      </c>
      <c r="C2201" s="78" t="s">
        <v>4267</v>
      </c>
      <c r="D2201" s="79">
        <v>70000</v>
      </c>
    </row>
    <row r="2202" spans="1:4" ht="30">
      <c r="A2202" s="78" t="s">
        <v>4014</v>
      </c>
      <c r="B2202" s="78" t="s">
        <v>4268</v>
      </c>
      <c r="C2202" s="78" t="s">
        <v>4269</v>
      </c>
      <c r="D2202" s="78"/>
    </row>
    <row r="2203" spans="1:4" ht="45">
      <c r="A2203" s="78" t="s">
        <v>4014</v>
      </c>
      <c r="B2203" s="78" t="s">
        <v>4270</v>
      </c>
      <c r="C2203" s="78" t="s">
        <v>4271</v>
      </c>
      <c r="D2203" s="78"/>
    </row>
    <row r="2204" spans="1:4" ht="30">
      <c r="A2204" s="78" t="s">
        <v>4014</v>
      </c>
      <c r="B2204" s="78" t="s">
        <v>4270</v>
      </c>
      <c r="C2204" s="78" t="s">
        <v>4272</v>
      </c>
      <c r="D2204" s="79">
        <v>100000</v>
      </c>
    </row>
    <row r="2205" spans="1:4" ht="30">
      <c r="A2205" s="78" t="s">
        <v>4014</v>
      </c>
      <c r="B2205" s="78" t="s">
        <v>4273</v>
      </c>
      <c r="C2205" s="78" t="s">
        <v>4233</v>
      </c>
      <c r="D2205" s="79">
        <v>24000</v>
      </c>
    </row>
    <row r="2206" spans="1:4" ht="45">
      <c r="A2206" s="78" t="s">
        <v>4014</v>
      </c>
      <c r="B2206" s="78" t="s">
        <v>4274</v>
      </c>
      <c r="C2206" s="78" t="s">
        <v>4275</v>
      </c>
      <c r="D2206" s="78"/>
    </row>
    <row r="2207" spans="1:4" ht="30">
      <c r="A2207" s="78" t="s">
        <v>4014</v>
      </c>
      <c r="B2207" s="78" t="s">
        <v>4274</v>
      </c>
      <c r="C2207" s="78" t="s">
        <v>4276</v>
      </c>
      <c r="D2207" s="79">
        <v>54000</v>
      </c>
    </row>
    <row r="2208" spans="1:4" ht="45">
      <c r="A2208" s="78" t="s">
        <v>4014</v>
      </c>
      <c r="B2208" s="78" t="s">
        <v>4277</v>
      </c>
      <c r="C2208" s="78" t="s">
        <v>4278</v>
      </c>
      <c r="D2208" s="78"/>
    </row>
    <row r="2209" spans="1:4" ht="30">
      <c r="A2209" s="78" t="s">
        <v>4014</v>
      </c>
      <c r="B2209" s="78" t="s">
        <v>4277</v>
      </c>
      <c r="C2209" s="78" t="s">
        <v>4279</v>
      </c>
      <c r="D2209" s="79">
        <v>11000</v>
      </c>
    </row>
    <row r="2210" spans="1:4" ht="45">
      <c r="A2210" s="78" t="s">
        <v>4014</v>
      </c>
      <c r="B2210" s="78" t="s">
        <v>4277</v>
      </c>
      <c r="C2210" s="78" t="s">
        <v>4280</v>
      </c>
      <c r="D2210" s="78"/>
    </row>
    <row r="2211" spans="1:4" ht="30">
      <c r="A2211" s="78" t="s">
        <v>4014</v>
      </c>
      <c r="B2211" s="78" t="s">
        <v>4281</v>
      </c>
      <c r="C2211" s="78" t="s">
        <v>4282</v>
      </c>
      <c r="D2211" s="78"/>
    </row>
    <row r="2212" spans="1:4" ht="45">
      <c r="A2212" s="78" t="s">
        <v>4014</v>
      </c>
      <c r="B2212" s="78" t="s">
        <v>4283</v>
      </c>
      <c r="C2212" s="78" t="s">
        <v>4284</v>
      </c>
      <c r="D2212" s="78"/>
    </row>
    <row r="2213" spans="1:4" ht="60">
      <c r="A2213" s="78" t="s">
        <v>4014</v>
      </c>
      <c r="B2213" s="78" t="s">
        <v>4285</v>
      </c>
      <c r="C2213" s="78" t="s">
        <v>4286</v>
      </c>
      <c r="D2213" s="78"/>
    </row>
    <row r="2214" spans="1:4">
      <c r="A2214" s="78" t="s">
        <v>4014</v>
      </c>
      <c r="B2214" s="78" t="s">
        <v>4287</v>
      </c>
      <c r="C2214" s="78" t="s">
        <v>4288</v>
      </c>
      <c r="D2214" s="79">
        <v>84000</v>
      </c>
    </row>
    <row r="2215" spans="1:4" ht="30">
      <c r="A2215" s="78" t="s">
        <v>4014</v>
      </c>
      <c r="B2215" s="78" t="s">
        <v>4287</v>
      </c>
      <c r="C2215" s="78" t="s">
        <v>4289</v>
      </c>
      <c r="D2215" s="78"/>
    </row>
    <row r="2216" spans="1:4" ht="45">
      <c r="A2216" s="78" t="s">
        <v>4014</v>
      </c>
      <c r="B2216" s="78" t="s">
        <v>4287</v>
      </c>
      <c r="C2216" s="78" t="s">
        <v>1352</v>
      </c>
      <c r="D2216" s="78"/>
    </row>
    <row r="2217" spans="1:4" ht="45">
      <c r="A2217" s="78" t="s">
        <v>4014</v>
      </c>
      <c r="B2217" s="78" t="s">
        <v>4290</v>
      </c>
      <c r="C2217" s="78" t="s">
        <v>4291</v>
      </c>
      <c r="D2217" s="78"/>
    </row>
    <row r="2218" spans="1:4" ht="45">
      <c r="A2218" s="78" t="s">
        <v>4014</v>
      </c>
      <c r="B2218" s="78" t="s">
        <v>4292</v>
      </c>
      <c r="C2218" s="78" t="s">
        <v>4183</v>
      </c>
      <c r="D2218" s="78"/>
    </row>
    <row r="2219" spans="1:4" ht="30">
      <c r="A2219" s="78" t="s">
        <v>4014</v>
      </c>
      <c r="B2219" s="78" t="s">
        <v>4293</v>
      </c>
      <c r="C2219" s="78" t="s">
        <v>4294</v>
      </c>
      <c r="D2219" s="78">
        <v>762</v>
      </c>
    </row>
    <row r="2220" spans="1:4" ht="45">
      <c r="A2220" s="78" t="s">
        <v>4014</v>
      </c>
      <c r="B2220" s="78" t="s">
        <v>4295</v>
      </c>
      <c r="C2220" s="78" t="s">
        <v>4029</v>
      </c>
      <c r="D2220" s="78"/>
    </row>
    <row r="2221" spans="1:4">
      <c r="A2221" s="78" t="s">
        <v>4014</v>
      </c>
      <c r="B2221" s="78" t="s">
        <v>4296</v>
      </c>
      <c r="C2221" s="78" t="s">
        <v>4018</v>
      </c>
      <c r="D2221" s="78"/>
    </row>
    <row r="2222" spans="1:4" ht="45">
      <c r="A2222" s="78" t="s">
        <v>4014</v>
      </c>
      <c r="B2222" s="78" t="s">
        <v>4297</v>
      </c>
      <c r="C2222" s="78" t="s">
        <v>4298</v>
      </c>
      <c r="D2222" s="78"/>
    </row>
    <row r="2223" spans="1:4" ht="30">
      <c r="A2223" s="78" t="s">
        <v>4014</v>
      </c>
      <c r="B2223" s="78" t="s">
        <v>4299</v>
      </c>
      <c r="C2223" s="78" t="s">
        <v>4300</v>
      </c>
      <c r="D2223" s="79">
        <v>22700</v>
      </c>
    </row>
    <row r="2224" spans="1:4" ht="45">
      <c r="A2224" s="78" t="s">
        <v>4014</v>
      </c>
      <c r="B2224" s="78" t="s">
        <v>4301</v>
      </c>
      <c r="C2224" s="78" t="s">
        <v>4271</v>
      </c>
      <c r="D2224" s="79">
        <v>190000</v>
      </c>
    </row>
    <row r="2225" spans="1:4" ht="30">
      <c r="A2225" s="78" t="s">
        <v>4014</v>
      </c>
      <c r="B2225" s="78" t="s">
        <v>4301</v>
      </c>
      <c r="C2225" s="78" t="s">
        <v>4302</v>
      </c>
      <c r="D2225" s="78"/>
    </row>
    <row r="2226" spans="1:4" ht="45">
      <c r="A2226" s="78" t="s">
        <v>4014</v>
      </c>
      <c r="B2226" s="78" t="s">
        <v>4303</v>
      </c>
      <c r="C2226" s="78" t="s">
        <v>1352</v>
      </c>
      <c r="D2226" s="79">
        <v>63000</v>
      </c>
    </row>
    <row r="2227" spans="1:4" ht="45">
      <c r="A2227" s="78" t="s">
        <v>4014</v>
      </c>
      <c r="B2227" s="78" t="s">
        <v>4304</v>
      </c>
      <c r="C2227" s="78" t="s">
        <v>4305</v>
      </c>
      <c r="D2227" s="78"/>
    </row>
    <row r="2228" spans="1:4" ht="45">
      <c r="A2228" s="78" t="s">
        <v>4014</v>
      </c>
      <c r="B2228" s="78" t="s">
        <v>4306</v>
      </c>
      <c r="C2228" s="78" t="s">
        <v>4291</v>
      </c>
      <c r="D2228" s="78"/>
    </row>
    <row r="2229" spans="1:4" ht="30">
      <c r="A2229" s="78" t="s">
        <v>4014</v>
      </c>
      <c r="B2229" s="78" t="s">
        <v>4307</v>
      </c>
      <c r="C2229" s="78" t="s">
        <v>4308</v>
      </c>
      <c r="D2229" s="78"/>
    </row>
    <row r="2230" spans="1:4" ht="30">
      <c r="A2230" s="78" t="s">
        <v>4014</v>
      </c>
      <c r="B2230" s="78" t="s">
        <v>4309</v>
      </c>
      <c r="C2230" s="78" t="s">
        <v>1273</v>
      </c>
      <c r="D2230" s="79">
        <v>112000</v>
      </c>
    </row>
    <row r="2231" spans="1:4" ht="30">
      <c r="A2231" s="78" t="s">
        <v>4014</v>
      </c>
      <c r="B2231" s="78" t="s">
        <v>4310</v>
      </c>
      <c r="C2231" s="78" t="s">
        <v>4311</v>
      </c>
      <c r="D2231" s="79">
        <v>50000</v>
      </c>
    </row>
    <row r="2232" spans="1:4" ht="45">
      <c r="A2232" s="78" t="s">
        <v>4014</v>
      </c>
      <c r="B2232" s="78" t="s">
        <v>4312</v>
      </c>
      <c r="C2232" s="78" t="s">
        <v>4313</v>
      </c>
      <c r="D2232" s="78"/>
    </row>
    <row r="2233" spans="1:4">
      <c r="A2233" s="78" t="s">
        <v>4014</v>
      </c>
      <c r="B2233" s="78" t="s">
        <v>4314</v>
      </c>
      <c r="C2233" s="78" t="s">
        <v>4315</v>
      </c>
      <c r="D2233" s="78"/>
    </row>
    <row r="2234" spans="1:4" ht="45">
      <c r="A2234" s="78" t="s">
        <v>4014</v>
      </c>
      <c r="B2234" s="78" t="s">
        <v>4316</v>
      </c>
      <c r="C2234" s="78" t="s">
        <v>4317</v>
      </c>
      <c r="D2234" s="79">
        <v>10000</v>
      </c>
    </row>
    <row r="2235" spans="1:4" ht="75">
      <c r="A2235" s="78" t="s">
        <v>4014</v>
      </c>
      <c r="B2235" s="78" t="s">
        <v>4318</v>
      </c>
      <c r="C2235" s="78" t="s">
        <v>4319</v>
      </c>
      <c r="D2235" s="78"/>
    </row>
    <row r="2236" spans="1:4" ht="60">
      <c r="A2236" s="78" t="s">
        <v>4014</v>
      </c>
      <c r="B2236" s="78" t="s">
        <v>4320</v>
      </c>
      <c r="C2236" s="78" t="s">
        <v>4321</v>
      </c>
      <c r="D2236" s="78"/>
    </row>
    <row r="2237" spans="1:4" ht="30">
      <c r="A2237" s="78" t="s">
        <v>4014</v>
      </c>
      <c r="B2237" s="78" t="s">
        <v>4320</v>
      </c>
      <c r="C2237" s="78" t="s">
        <v>4322</v>
      </c>
      <c r="D2237" s="79">
        <v>68000</v>
      </c>
    </row>
    <row r="2238" spans="1:4" ht="60">
      <c r="A2238" s="78" t="s">
        <v>4014</v>
      </c>
      <c r="B2238" s="78" t="s">
        <v>4323</v>
      </c>
      <c r="C2238" s="78" t="s">
        <v>4324</v>
      </c>
      <c r="D2238" s="78"/>
    </row>
    <row r="2239" spans="1:4" ht="30">
      <c r="A2239" s="78" t="s">
        <v>4014</v>
      </c>
      <c r="B2239" s="78" t="s">
        <v>4325</v>
      </c>
      <c r="C2239" s="78" t="s">
        <v>4326</v>
      </c>
      <c r="D2239" s="78"/>
    </row>
    <row r="2240" spans="1:4" ht="45">
      <c r="A2240" s="78" t="s">
        <v>4014</v>
      </c>
      <c r="B2240" s="78" t="s">
        <v>4327</v>
      </c>
      <c r="C2240" s="78" t="s">
        <v>4328</v>
      </c>
      <c r="D2240" s="78"/>
    </row>
    <row r="2241" spans="1:4" ht="30">
      <c r="A2241" s="78" t="s">
        <v>4014</v>
      </c>
      <c r="B2241" s="78" t="s">
        <v>4329</v>
      </c>
      <c r="C2241" s="78" t="s">
        <v>4330</v>
      </c>
      <c r="D2241" s="78"/>
    </row>
    <row r="2242" spans="1:4" ht="45">
      <c r="A2242" s="78" t="s">
        <v>4014</v>
      </c>
      <c r="B2242" s="78" t="s">
        <v>4331</v>
      </c>
      <c r="C2242" s="78" t="s">
        <v>4332</v>
      </c>
      <c r="D2242" s="78"/>
    </row>
    <row r="2243" spans="1:4" ht="45">
      <c r="A2243" s="78" t="s">
        <v>4014</v>
      </c>
      <c r="B2243" s="78" t="s">
        <v>4333</v>
      </c>
      <c r="C2243" s="78" t="s">
        <v>4334</v>
      </c>
      <c r="D2243" s="78"/>
    </row>
    <row r="2244" spans="1:4">
      <c r="A2244" s="78" t="s">
        <v>4014</v>
      </c>
      <c r="B2244" s="78" t="s">
        <v>4335</v>
      </c>
      <c r="C2244" s="78" t="s">
        <v>4336</v>
      </c>
      <c r="D2244" s="78"/>
    </row>
    <row r="2245" spans="1:4" ht="45">
      <c r="A2245" s="78" t="s">
        <v>4014</v>
      </c>
      <c r="B2245" s="78" t="s">
        <v>4337</v>
      </c>
      <c r="C2245" s="78" t="s">
        <v>1352</v>
      </c>
      <c r="D2245" s="78"/>
    </row>
    <row r="2246" spans="1:4">
      <c r="A2246" s="78" t="s">
        <v>4014</v>
      </c>
      <c r="B2246" s="78" t="s">
        <v>4337</v>
      </c>
      <c r="C2246" s="78" t="s">
        <v>4338</v>
      </c>
      <c r="D2246" s="78"/>
    </row>
    <row r="2247" spans="1:4" ht="45">
      <c r="A2247" s="78" t="s">
        <v>4014</v>
      </c>
      <c r="B2247" s="78" t="s">
        <v>4337</v>
      </c>
      <c r="C2247" s="78" t="s">
        <v>4140</v>
      </c>
      <c r="D2247" s="78"/>
    </row>
    <row r="2248" spans="1:4" ht="30">
      <c r="A2248" s="78" t="s">
        <v>4014</v>
      </c>
      <c r="B2248" s="78" t="s">
        <v>4339</v>
      </c>
      <c r="C2248" s="78" t="s">
        <v>4187</v>
      </c>
      <c r="D2248" s="79">
        <v>180000</v>
      </c>
    </row>
    <row r="2249" spans="1:4" ht="30">
      <c r="A2249" s="78" t="s">
        <v>4014</v>
      </c>
      <c r="B2249" s="78" t="s">
        <v>4339</v>
      </c>
      <c r="C2249" s="78" t="s">
        <v>1068</v>
      </c>
      <c r="D2249" s="79">
        <v>90000</v>
      </c>
    </row>
    <row r="2250" spans="1:4" ht="30">
      <c r="A2250" s="78" t="s">
        <v>4014</v>
      </c>
      <c r="B2250" s="78" t="s">
        <v>4339</v>
      </c>
      <c r="C2250" s="78" t="s">
        <v>4340</v>
      </c>
      <c r="D2250" s="78"/>
    </row>
    <row r="2251" spans="1:4" ht="30">
      <c r="A2251" s="78" t="s">
        <v>4014</v>
      </c>
      <c r="B2251" s="78" t="s">
        <v>4341</v>
      </c>
      <c r="C2251" s="78" t="s">
        <v>4342</v>
      </c>
      <c r="D2251" s="78"/>
    </row>
    <row r="2252" spans="1:4" ht="30">
      <c r="A2252" s="78" t="s">
        <v>4014</v>
      </c>
      <c r="B2252" s="78" t="s">
        <v>4343</v>
      </c>
      <c r="C2252" s="78" t="s">
        <v>4344</v>
      </c>
      <c r="D2252" s="79">
        <v>25000</v>
      </c>
    </row>
    <row r="2253" spans="1:4" ht="45">
      <c r="A2253" s="78" t="s">
        <v>4014</v>
      </c>
      <c r="B2253" s="78" t="s">
        <v>4345</v>
      </c>
      <c r="C2253" s="78" t="s">
        <v>4346</v>
      </c>
      <c r="D2253" s="78"/>
    </row>
    <row r="2254" spans="1:4" ht="30">
      <c r="A2254" s="78" t="s">
        <v>4014</v>
      </c>
      <c r="B2254" s="78" t="s">
        <v>4347</v>
      </c>
      <c r="C2254" s="78" t="s">
        <v>4031</v>
      </c>
      <c r="D2254" s="79">
        <v>21000</v>
      </c>
    </row>
    <row r="2255" spans="1:4" ht="45">
      <c r="A2255" s="78" t="s">
        <v>4014</v>
      </c>
      <c r="B2255" s="78" t="s">
        <v>4348</v>
      </c>
      <c r="C2255" s="78" t="s">
        <v>4349</v>
      </c>
      <c r="D2255" s="78"/>
    </row>
    <row r="2256" spans="1:4" ht="45">
      <c r="A2256" s="78" t="s">
        <v>4014</v>
      </c>
      <c r="B2256" s="78" t="s">
        <v>4348</v>
      </c>
      <c r="C2256" s="78" t="s">
        <v>4350</v>
      </c>
      <c r="D2256" s="78"/>
    </row>
    <row r="2257" spans="1:4" ht="30">
      <c r="A2257" s="78" t="s">
        <v>4014</v>
      </c>
      <c r="B2257" s="78" t="s">
        <v>4351</v>
      </c>
      <c r="C2257" s="78" t="s">
        <v>4352</v>
      </c>
      <c r="D2257" s="78">
        <v>68000</v>
      </c>
    </row>
    <row r="2258" spans="1:4" ht="45">
      <c r="A2258" s="78" t="s">
        <v>4014</v>
      </c>
      <c r="B2258" s="78" t="s">
        <v>4353</v>
      </c>
      <c r="C2258" s="78" t="s">
        <v>4354</v>
      </c>
      <c r="D2258" s="78"/>
    </row>
    <row r="2259" spans="1:4" ht="30">
      <c r="A2259" s="78" t="s">
        <v>4014</v>
      </c>
      <c r="B2259" s="78" t="s">
        <v>4355</v>
      </c>
      <c r="C2259" s="78" t="s">
        <v>3736</v>
      </c>
      <c r="D2259" s="79">
        <v>200000</v>
      </c>
    </row>
    <row r="2260" spans="1:4" ht="30">
      <c r="A2260" s="78" t="s">
        <v>4014</v>
      </c>
      <c r="B2260" s="78" t="s">
        <v>4356</v>
      </c>
      <c r="C2260" s="78" t="s">
        <v>4357</v>
      </c>
      <c r="D2260" s="78"/>
    </row>
    <row r="2261" spans="1:4" ht="30">
      <c r="A2261" s="78" t="s">
        <v>4014</v>
      </c>
      <c r="B2261" s="78" t="s">
        <v>4356</v>
      </c>
      <c r="C2261" s="78" t="s">
        <v>4358</v>
      </c>
      <c r="D2261" s="78"/>
    </row>
    <row r="2262" spans="1:4" ht="45">
      <c r="A2262" s="78" t="s">
        <v>4014</v>
      </c>
      <c r="B2262" s="78" t="s">
        <v>4359</v>
      </c>
      <c r="C2262" s="78" t="s">
        <v>4151</v>
      </c>
      <c r="D2262" s="78"/>
    </row>
    <row r="2263" spans="1:4" ht="45">
      <c r="A2263" s="78" t="s">
        <v>4014</v>
      </c>
      <c r="B2263" s="78" t="s">
        <v>4359</v>
      </c>
      <c r="C2263" s="78" t="s">
        <v>4183</v>
      </c>
      <c r="D2263" s="78"/>
    </row>
    <row r="2264" spans="1:4" ht="30">
      <c r="A2264" s="78" t="s">
        <v>4014</v>
      </c>
      <c r="B2264" s="78" t="s">
        <v>4360</v>
      </c>
      <c r="C2264" s="78" t="s">
        <v>4361</v>
      </c>
      <c r="D2264" s="78"/>
    </row>
    <row r="2265" spans="1:4" ht="45">
      <c r="A2265" s="78" t="s">
        <v>4014</v>
      </c>
      <c r="B2265" s="78" t="s">
        <v>4360</v>
      </c>
      <c r="C2265" s="78" t="s">
        <v>4362</v>
      </c>
      <c r="D2265" s="78"/>
    </row>
    <row r="2266" spans="1:4" ht="60">
      <c r="A2266" s="78" t="s">
        <v>4014</v>
      </c>
      <c r="B2266" s="78" t="s">
        <v>4360</v>
      </c>
      <c r="C2266" s="78" t="s">
        <v>4363</v>
      </c>
      <c r="D2266" s="78"/>
    </row>
    <row r="2267" spans="1:4" ht="45">
      <c r="A2267" s="78" t="s">
        <v>4014</v>
      </c>
      <c r="B2267" s="78" t="s">
        <v>4360</v>
      </c>
      <c r="C2267" s="78" t="s">
        <v>4364</v>
      </c>
      <c r="D2267" s="78"/>
    </row>
    <row r="2268" spans="1:4">
      <c r="A2268" s="78" t="s">
        <v>4014</v>
      </c>
      <c r="B2268" s="78" t="s">
        <v>4360</v>
      </c>
      <c r="C2268" s="78" t="s">
        <v>4365</v>
      </c>
      <c r="D2268" s="79">
        <v>25000</v>
      </c>
    </row>
    <row r="2269" spans="1:4" ht="45">
      <c r="A2269" s="78" t="s">
        <v>4014</v>
      </c>
      <c r="B2269" s="78" t="s">
        <v>4360</v>
      </c>
      <c r="C2269" s="78" t="s">
        <v>4305</v>
      </c>
      <c r="D2269" s="78"/>
    </row>
    <row r="2270" spans="1:4" ht="30">
      <c r="A2270" s="78" t="s">
        <v>4014</v>
      </c>
      <c r="B2270" s="78" t="s">
        <v>4366</v>
      </c>
      <c r="C2270" s="78" t="s">
        <v>4367</v>
      </c>
      <c r="D2270" s="78"/>
    </row>
    <row r="2271" spans="1:4" ht="30">
      <c r="A2271" s="78" t="s">
        <v>4014</v>
      </c>
      <c r="B2271" s="78" t="s">
        <v>4368</v>
      </c>
      <c r="C2271" s="78" t="s">
        <v>4061</v>
      </c>
      <c r="D2271" s="78"/>
    </row>
    <row r="2272" spans="1:4" ht="30">
      <c r="A2272" s="78" t="s">
        <v>4014</v>
      </c>
      <c r="B2272" s="78" t="s">
        <v>4368</v>
      </c>
      <c r="C2272" s="78" t="s">
        <v>4369</v>
      </c>
      <c r="D2272" s="78"/>
    </row>
    <row r="2273" spans="1:4" ht="45">
      <c r="A2273" s="78" t="s">
        <v>4014</v>
      </c>
      <c r="B2273" s="78" t="s">
        <v>4370</v>
      </c>
      <c r="C2273" s="78" t="s">
        <v>4371</v>
      </c>
      <c r="D2273" s="78"/>
    </row>
    <row r="2274" spans="1:4" ht="60">
      <c r="A2274" s="78" t="s">
        <v>4014</v>
      </c>
      <c r="B2274" s="78" t="s">
        <v>4372</v>
      </c>
      <c r="C2274" s="78" t="s">
        <v>4373</v>
      </c>
      <c r="D2274" s="78"/>
    </row>
    <row r="2275" spans="1:4" ht="30">
      <c r="A2275" s="78" t="s">
        <v>4014</v>
      </c>
      <c r="B2275" s="78" t="s">
        <v>1345</v>
      </c>
      <c r="C2275" s="78" t="s">
        <v>4374</v>
      </c>
      <c r="D2275" s="78"/>
    </row>
    <row r="2276" spans="1:4" ht="30">
      <c r="A2276" s="78" t="s">
        <v>4014</v>
      </c>
      <c r="B2276" s="78" t="s">
        <v>4375</v>
      </c>
      <c r="C2276" s="78" t="s">
        <v>4376</v>
      </c>
      <c r="D2276" s="78"/>
    </row>
    <row r="2277" spans="1:4" ht="45">
      <c r="A2277" s="78" t="s">
        <v>4014</v>
      </c>
      <c r="B2277" s="78" t="s">
        <v>4377</v>
      </c>
      <c r="C2277" s="78" t="s">
        <v>4126</v>
      </c>
      <c r="D2277" s="78"/>
    </row>
    <row r="2278" spans="1:4" ht="45">
      <c r="A2278" s="78" t="s">
        <v>4014</v>
      </c>
      <c r="B2278" s="78" t="s">
        <v>4377</v>
      </c>
      <c r="C2278" s="78" t="s">
        <v>4378</v>
      </c>
      <c r="D2278" s="79">
        <v>20000</v>
      </c>
    </row>
    <row r="2279" spans="1:4" ht="30">
      <c r="A2279" s="78" t="s">
        <v>4014</v>
      </c>
      <c r="B2279" s="78" t="s">
        <v>4379</v>
      </c>
      <c r="C2279" s="78" t="s">
        <v>1624</v>
      </c>
      <c r="D2279" s="78"/>
    </row>
    <row r="2280" spans="1:4" ht="45">
      <c r="A2280" s="78" t="s">
        <v>4014</v>
      </c>
      <c r="B2280" s="78" t="s">
        <v>4380</v>
      </c>
      <c r="C2280" s="78" t="s">
        <v>4381</v>
      </c>
      <c r="D2280" s="79">
        <v>6000</v>
      </c>
    </row>
    <row r="2281" spans="1:4" ht="30">
      <c r="A2281" s="78" t="s">
        <v>4014</v>
      </c>
      <c r="B2281" s="78" t="s">
        <v>4382</v>
      </c>
      <c r="C2281" s="78" t="s">
        <v>2589</v>
      </c>
      <c r="D2281" s="78"/>
    </row>
    <row r="2282" spans="1:4" ht="30">
      <c r="A2282" s="78" t="s">
        <v>4014</v>
      </c>
      <c r="B2282" s="78" t="s">
        <v>2958</v>
      </c>
      <c r="C2282" s="78" t="s">
        <v>4383</v>
      </c>
      <c r="D2282" s="79">
        <v>35000</v>
      </c>
    </row>
    <row r="2283" spans="1:4" ht="45">
      <c r="A2283" s="78" t="s">
        <v>4014</v>
      </c>
      <c r="B2283" s="78" t="s">
        <v>2958</v>
      </c>
      <c r="C2283" s="78" t="s">
        <v>4384</v>
      </c>
      <c r="D2283" s="79">
        <v>36000</v>
      </c>
    </row>
    <row r="2284" spans="1:4" ht="45">
      <c r="A2284" s="78" t="s">
        <v>4014</v>
      </c>
      <c r="B2284" s="78" t="s">
        <v>4385</v>
      </c>
      <c r="C2284" s="78" t="s">
        <v>4386</v>
      </c>
      <c r="D2284" s="78"/>
    </row>
    <row r="2285" spans="1:4" ht="30">
      <c r="A2285" s="78" t="s">
        <v>4014</v>
      </c>
      <c r="B2285" s="78" t="s">
        <v>4387</v>
      </c>
      <c r="C2285" s="78" t="s">
        <v>4388</v>
      </c>
      <c r="D2285" s="78"/>
    </row>
    <row r="2286" spans="1:4" ht="45">
      <c r="A2286" s="78" t="s">
        <v>4014</v>
      </c>
      <c r="B2286" s="78" t="s">
        <v>4389</v>
      </c>
      <c r="C2286" s="78" t="s">
        <v>1352</v>
      </c>
      <c r="D2286" s="79">
        <v>101500</v>
      </c>
    </row>
    <row r="2287" spans="1:4" ht="75">
      <c r="A2287" s="78" t="s">
        <v>4014</v>
      </c>
      <c r="B2287" s="78" t="s">
        <v>4390</v>
      </c>
      <c r="C2287" s="78" t="s">
        <v>4391</v>
      </c>
      <c r="D2287" s="79">
        <v>136000</v>
      </c>
    </row>
    <row r="2288" spans="1:4" ht="45">
      <c r="A2288" s="78" t="s">
        <v>4014</v>
      </c>
      <c r="B2288" s="78" t="s">
        <v>593</v>
      </c>
      <c r="C2288" s="78" t="s">
        <v>1352</v>
      </c>
      <c r="D2288" s="78"/>
    </row>
    <row r="2289" spans="1:4" ht="60">
      <c r="A2289" s="78" t="s">
        <v>4014</v>
      </c>
      <c r="B2289" s="78" t="s">
        <v>4392</v>
      </c>
      <c r="C2289" s="78" t="s">
        <v>4393</v>
      </c>
      <c r="D2289" s="78"/>
    </row>
    <row r="2290" spans="1:4" ht="30">
      <c r="A2290" s="78" t="s">
        <v>4014</v>
      </c>
      <c r="B2290" s="78" t="s">
        <v>4394</v>
      </c>
      <c r="C2290" s="78" t="s">
        <v>4383</v>
      </c>
      <c r="D2290" s="78"/>
    </row>
    <row r="2291" spans="1:4" ht="30">
      <c r="A2291" s="78" t="s">
        <v>4014</v>
      </c>
      <c r="B2291" s="78" t="s">
        <v>4395</v>
      </c>
      <c r="C2291" s="78" t="s">
        <v>4121</v>
      </c>
      <c r="D2291" s="78"/>
    </row>
    <row r="2292" spans="1:4" ht="30">
      <c r="A2292" s="78" t="s">
        <v>4014</v>
      </c>
      <c r="B2292" s="78" t="s">
        <v>4396</v>
      </c>
      <c r="C2292" s="78" t="s">
        <v>4397</v>
      </c>
      <c r="D2292" s="78"/>
    </row>
    <row r="2293" spans="1:4" ht="45">
      <c r="A2293" s="78" t="s">
        <v>4014</v>
      </c>
      <c r="B2293" s="78" t="s">
        <v>4398</v>
      </c>
      <c r="C2293" s="78" t="s">
        <v>4399</v>
      </c>
      <c r="D2293" s="78"/>
    </row>
    <row r="2294" spans="1:4" ht="30">
      <c r="A2294" s="78" t="s">
        <v>4014</v>
      </c>
      <c r="B2294" s="78" t="s">
        <v>4398</v>
      </c>
      <c r="C2294" s="78" t="s">
        <v>4400</v>
      </c>
      <c r="D2294" s="79">
        <v>358000</v>
      </c>
    </row>
    <row r="2295" spans="1:4" ht="30">
      <c r="A2295" s="78" t="s">
        <v>4014</v>
      </c>
      <c r="B2295" s="78" t="s">
        <v>4398</v>
      </c>
      <c r="C2295" s="78" t="s">
        <v>4401</v>
      </c>
      <c r="D2295" s="79">
        <v>400000</v>
      </c>
    </row>
    <row r="2296" spans="1:4" ht="30">
      <c r="A2296" s="78" t="s">
        <v>4014</v>
      </c>
      <c r="B2296" s="78" t="s">
        <v>4402</v>
      </c>
      <c r="C2296" s="78" t="s">
        <v>4403</v>
      </c>
      <c r="D2296" s="79">
        <v>160000</v>
      </c>
    </row>
    <row r="2297" spans="1:4" ht="60">
      <c r="A2297" s="78" t="s">
        <v>4014</v>
      </c>
      <c r="B2297" s="78" t="s">
        <v>4404</v>
      </c>
      <c r="C2297" s="78" t="s">
        <v>4405</v>
      </c>
      <c r="D2297" s="78"/>
    </row>
    <row r="2298" spans="1:4" ht="45">
      <c r="A2298" s="78" t="s">
        <v>4014</v>
      </c>
      <c r="B2298" s="78" t="s">
        <v>4404</v>
      </c>
      <c r="C2298" s="78" t="s">
        <v>4334</v>
      </c>
      <c r="D2298" s="79">
        <v>27200</v>
      </c>
    </row>
    <row r="2299" spans="1:4" ht="30">
      <c r="A2299" s="78" t="s">
        <v>4014</v>
      </c>
      <c r="B2299" s="78" t="s">
        <v>4404</v>
      </c>
      <c r="C2299" s="78" t="s">
        <v>4406</v>
      </c>
      <c r="D2299" s="79">
        <v>24000</v>
      </c>
    </row>
    <row r="2300" spans="1:4" ht="30">
      <c r="A2300" s="78" t="s">
        <v>4014</v>
      </c>
      <c r="B2300" s="78" t="s">
        <v>4404</v>
      </c>
      <c r="C2300" s="78" t="s">
        <v>4407</v>
      </c>
      <c r="D2300" s="79">
        <v>36000</v>
      </c>
    </row>
    <row r="2301" spans="1:4" ht="30">
      <c r="A2301" s="78" t="s">
        <v>4014</v>
      </c>
      <c r="B2301" s="78" t="s">
        <v>4404</v>
      </c>
      <c r="C2301" s="78" t="s">
        <v>4408</v>
      </c>
      <c r="D2301" s="78"/>
    </row>
    <row r="2302" spans="1:4" ht="45">
      <c r="A2302" s="78" t="s">
        <v>4014</v>
      </c>
      <c r="B2302" s="78" t="s">
        <v>4409</v>
      </c>
      <c r="C2302" s="78" t="s">
        <v>1352</v>
      </c>
      <c r="D2302" s="79">
        <v>100000</v>
      </c>
    </row>
    <row r="2303" spans="1:4" ht="45">
      <c r="A2303" s="78" t="s">
        <v>4014</v>
      </c>
      <c r="B2303" s="78" t="s">
        <v>4410</v>
      </c>
      <c r="C2303" s="78" t="s">
        <v>1352</v>
      </c>
      <c r="D2303" s="79">
        <v>453000</v>
      </c>
    </row>
    <row r="2304" spans="1:4" ht="45">
      <c r="A2304" s="78" t="s">
        <v>4014</v>
      </c>
      <c r="B2304" s="78" t="s">
        <v>4410</v>
      </c>
      <c r="C2304" s="78" t="s">
        <v>4411</v>
      </c>
      <c r="D2304" s="78"/>
    </row>
    <row r="2305" spans="1:4" ht="45">
      <c r="A2305" s="78" t="s">
        <v>4014</v>
      </c>
      <c r="B2305" s="78" t="s">
        <v>4412</v>
      </c>
      <c r="C2305" s="78" t="s">
        <v>4291</v>
      </c>
      <c r="D2305" s="78"/>
    </row>
    <row r="2306" spans="1:4" ht="45">
      <c r="A2306" s="78" t="s">
        <v>4014</v>
      </c>
      <c r="B2306" s="78" t="s">
        <v>4413</v>
      </c>
      <c r="C2306" s="78" t="s">
        <v>4414</v>
      </c>
      <c r="D2306" s="78"/>
    </row>
    <row r="2307" spans="1:4" ht="30">
      <c r="A2307" s="78" t="s">
        <v>4014</v>
      </c>
      <c r="B2307" s="78" t="s">
        <v>4415</v>
      </c>
      <c r="C2307" s="78" t="s">
        <v>4025</v>
      </c>
      <c r="D2307" s="79">
        <v>27300</v>
      </c>
    </row>
    <row r="2308" spans="1:4" ht="90">
      <c r="A2308" s="78" t="s">
        <v>4014</v>
      </c>
      <c r="B2308" s="78" t="s">
        <v>4416</v>
      </c>
      <c r="C2308" s="78" t="s">
        <v>4417</v>
      </c>
      <c r="D2308" s="78"/>
    </row>
    <row r="2309" spans="1:4" ht="45">
      <c r="A2309" s="78" t="s">
        <v>4014</v>
      </c>
      <c r="B2309" s="78" t="s">
        <v>4416</v>
      </c>
      <c r="C2309" s="78" t="s">
        <v>4418</v>
      </c>
      <c r="D2309" s="78"/>
    </row>
    <row r="2310" spans="1:4">
      <c r="A2310" s="78" t="s">
        <v>4014</v>
      </c>
      <c r="B2310" s="78" t="s">
        <v>4419</v>
      </c>
      <c r="C2310" s="78" t="s">
        <v>4420</v>
      </c>
      <c r="D2310" s="78"/>
    </row>
    <row r="2311" spans="1:4" ht="45">
      <c r="A2311" s="78" t="s">
        <v>4014</v>
      </c>
      <c r="B2311" s="78" t="s">
        <v>4421</v>
      </c>
      <c r="C2311" s="78" t="s">
        <v>4422</v>
      </c>
      <c r="D2311" s="79">
        <v>40000</v>
      </c>
    </row>
    <row r="2312" spans="1:4" ht="45">
      <c r="A2312" s="78" t="s">
        <v>4014</v>
      </c>
      <c r="B2312" s="78" t="s">
        <v>4423</v>
      </c>
      <c r="C2312" s="78" t="s">
        <v>4424</v>
      </c>
      <c r="D2312" s="78"/>
    </row>
    <row r="2313" spans="1:4" ht="30">
      <c r="A2313" s="78" t="s">
        <v>4014</v>
      </c>
      <c r="B2313" s="78" t="s">
        <v>4425</v>
      </c>
      <c r="C2313" s="78" t="s">
        <v>4426</v>
      </c>
      <c r="D2313" s="78"/>
    </row>
    <row r="2314" spans="1:4" ht="90">
      <c r="A2314" s="78" t="s">
        <v>4014</v>
      </c>
      <c r="B2314" s="78" t="s">
        <v>4425</v>
      </c>
      <c r="C2314" s="78" t="s">
        <v>4427</v>
      </c>
      <c r="D2314" s="79">
        <v>9500</v>
      </c>
    </row>
    <row r="2315" spans="1:4" ht="45">
      <c r="A2315" s="78" t="s">
        <v>4014</v>
      </c>
      <c r="B2315" s="78" t="s">
        <v>4428</v>
      </c>
      <c r="C2315" s="78" t="s">
        <v>4429</v>
      </c>
      <c r="D2315" s="79">
        <v>13000</v>
      </c>
    </row>
    <row r="2316" spans="1:4" ht="30">
      <c r="A2316" s="78" t="s">
        <v>4014</v>
      </c>
      <c r="B2316" s="78" t="s">
        <v>4430</v>
      </c>
      <c r="C2316" s="78" t="s">
        <v>4431</v>
      </c>
      <c r="D2316" s="79">
        <v>27000</v>
      </c>
    </row>
    <row r="2317" spans="1:4" ht="45">
      <c r="A2317" s="78" t="s">
        <v>4014</v>
      </c>
      <c r="B2317" s="78" t="s">
        <v>4430</v>
      </c>
      <c r="C2317" s="78" t="s">
        <v>4432</v>
      </c>
      <c r="D2317" s="78"/>
    </row>
    <row r="2318" spans="1:4" ht="45">
      <c r="A2318" s="78" t="s">
        <v>4014</v>
      </c>
      <c r="B2318" s="78" t="s">
        <v>4433</v>
      </c>
      <c r="C2318" s="78" t="s">
        <v>4434</v>
      </c>
      <c r="D2318" s="79">
        <v>38550</v>
      </c>
    </row>
    <row r="2319" spans="1:4" ht="45">
      <c r="A2319" s="78" t="s">
        <v>4014</v>
      </c>
      <c r="B2319" s="78" t="s">
        <v>4435</v>
      </c>
      <c r="C2319" s="78" t="s">
        <v>4436</v>
      </c>
      <c r="D2319" s="78"/>
    </row>
    <row r="2320" spans="1:4" ht="45">
      <c r="A2320" s="78" t="s">
        <v>4014</v>
      </c>
      <c r="B2320" s="78" t="s">
        <v>4437</v>
      </c>
      <c r="C2320" s="78" t="s">
        <v>1352</v>
      </c>
      <c r="D2320" s="79">
        <v>27000</v>
      </c>
    </row>
    <row r="2321" spans="1:4" ht="30">
      <c r="A2321" s="78" t="s">
        <v>4014</v>
      </c>
      <c r="B2321" s="78" t="s">
        <v>4438</v>
      </c>
      <c r="C2321" s="78" t="s">
        <v>4439</v>
      </c>
      <c r="D2321" s="78"/>
    </row>
    <row r="2322" spans="1:4" ht="60">
      <c r="A2322" s="78" t="s">
        <v>4014</v>
      </c>
      <c r="B2322" s="78" t="s">
        <v>4440</v>
      </c>
      <c r="C2322" s="78" t="s">
        <v>4441</v>
      </c>
      <c r="D2322" s="78"/>
    </row>
    <row r="2323" spans="1:4" ht="30">
      <c r="A2323" s="78" t="s">
        <v>4014</v>
      </c>
      <c r="B2323" s="78" t="s">
        <v>4440</v>
      </c>
      <c r="C2323" s="78" t="s">
        <v>4050</v>
      </c>
      <c r="D2323" s="78"/>
    </row>
    <row r="2324" spans="1:4" ht="30">
      <c r="A2324" s="78" t="s">
        <v>4014</v>
      </c>
      <c r="B2324" s="78" t="s">
        <v>4442</v>
      </c>
      <c r="C2324" s="78" t="s">
        <v>4443</v>
      </c>
      <c r="D2324" s="78"/>
    </row>
    <row r="2325" spans="1:4" ht="45">
      <c r="A2325" s="78" t="s">
        <v>4014</v>
      </c>
      <c r="B2325" s="78" t="s">
        <v>4444</v>
      </c>
      <c r="C2325" s="78" t="s">
        <v>4140</v>
      </c>
      <c r="D2325" s="78"/>
    </row>
    <row r="2326" spans="1:4" ht="45">
      <c r="A2326" s="78" t="s">
        <v>4014</v>
      </c>
      <c r="B2326" s="78" t="s">
        <v>3040</v>
      </c>
      <c r="C2326" s="78" t="s">
        <v>4445</v>
      </c>
      <c r="D2326" s="78"/>
    </row>
    <row r="2327" spans="1:4" ht="45">
      <c r="A2327" s="78" t="s">
        <v>4014</v>
      </c>
      <c r="B2327" s="78" t="s">
        <v>4446</v>
      </c>
      <c r="C2327" s="78" t="s">
        <v>4447</v>
      </c>
      <c r="D2327" s="78"/>
    </row>
    <row r="2328" spans="1:4" ht="45">
      <c r="A2328" s="78" t="s">
        <v>4014</v>
      </c>
      <c r="B2328" s="78" t="s">
        <v>4448</v>
      </c>
      <c r="C2328" s="78" t="s">
        <v>4449</v>
      </c>
      <c r="D2328" s="78"/>
    </row>
    <row r="2329" spans="1:4" ht="45">
      <c r="A2329" s="78" t="s">
        <v>4014</v>
      </c>
      <c r="B2329" s="78" t="s">
        <v>4450</v>
      </c>
      <c r="C2329" s="78" t="s">
        <v>4451</v>
      </c>
      <c r="D2329" s="79">
        <v>45000</v>
      </c>
    </row>
    <row r="2330" spans="1:4" ht="45">
      <c r="A2330" s="78" t="s">
        <v>4014</v>
      </c>
      <c r="B2330" s="78" t="s">
        <v>4450</v>
      </c>
      <c r="C2330" s="78" t="s">
        <v>4452</v>
      </c>
      <c r="D2330" s="79">
        <v>43000</v>
      </c>
    </row>
    <row r="2331" spans="1:4" ht="30">
      <c r="A2331" s="78" t="s">
        <v>4014</v>
      </c>
      <c r="B2331" s="78" t="s">
        <v>4450</v>
      </c>
      <c r="C2331" s="78" t="s">
        <v>4453</v>
      </c>
      <c r="D2331" s="79">
        <v>54000</v>
      </c>
    </row>
    <row r="2332" spans="1:4" ht="45">
      <c r="A2332" s="78" t="s">
        <v>4014</v>
      </c>
      <c r="B2332" s="78" t="s">
        <v>4454</v>
      </c>
      <c r="C2332" s="78" t="s">
        <v>4455</v>
      </c>
      <c r="D2332" s="78"/>
    </row>
    <row r="2333" spans="1:4" ht="45">
      <c r="A2333" s="78" t="s">
        <v>4014</v>
      </c>
      <c r="B2333" s="78" t="s">
        <v>4456</v>
      </c>
      <c r="C2333" s="78" t="s">
        <v>4429</v>
      </c>
      <c r="D2333" s="79">
        <v>7000</v>
      </c>
    </row>
    <row r="2334" spans="1:4" ht="45">
      <c r="A2334" s="78" t="s">
        <v>4014</v>
      </c>
      <c r="B2334" s="78" t="s">
        <v>4457</v>
      </c>
      <c r="C2334" s="78" t="s">
        <v>4458</v>
      </c>
      <c r="D2334" s="78"/>
    </row>
    <row r="2335" spans="1:4" ht="30">
      <c r="A2335" s="78" t="s">
        <v>4014</v>
      </c>
      <c r="B2335" s="78" t="s">
        <v>4459</v>
      </c>
      <c r="C2335" s="78" t="s">
        <v>1068</v>
      </c>
      <c r="D2335" s="79">
        <v>85000</v>
      </c>
    </row>
    <row r="2336" spans="1:4" ht="30">
      <c r="A2336" s="78" t="s">
        <v>4014</v>
      </c>
      <c r="B2336" s="78" t="s">
        <v>4460</v>
      </c>
      <c r="C2336" s="78" t="s">
        <v>4461</v>
      </c>
      <c r="D2336" s="78"/>
    </row>
    <row r="2337" spans="1:4" ht="45">
      <c r="A2337" s="78" t="s">
        <v>4014</v>
      </c>
      <c r="B2337" s="78" t="s">
        <v>4462</v>
      </c>
      <c r="C2337" s="78" t="s">
        <v>4463</v>
      </c>
      <c r="D2337" s="78"/>
    </row>
    <row r="2338" spans="1:4" ht="30">
      <c r="A2338" s="78" t="s">
        <v>4014</v>
      </c>
      <c r="B2338" s="78" t="s">
        <v>4464</v>
      </c>
      <c r="C2338" s="78" t="s">
        <v>4050</v>
      </c>
      <c r="D2338" s="78"/>
    </row>
    <row r="2339" spans="1:4" ht="45">
      <c r="A2339" s="78" t="s">
        <v>4014</v>
      </c>
      <c r="B2339" s="78" t="s">
        <v>4465</v>
      </c>
      <c r="C2339" s="78" t="s">
        <v>1352</v>
      </c>
      <c r="D2339" s="79">
        <v>145000</v>
      </c>
    </row>
    <row r="2340" spans="1:4" ht="30">
      <c r="A2340" s="78" t="s">
        <v>4014</v>
      </c>
      <c r="B2340" s="78" t="s">
        <v>4465</v>
      </c>
      <c r="C2340" s="78" t="s">
        <v>1274</v>
      </c>
      <c r="D2340" s="78"/>
    </row>
    <row r="2341" spans="1:4" ht="45">
      <c r="A2341" s="78" t="s">
        <v>4014</v>
      </c>
      <c r="B2341" s="78" t="s">
        <v>4466</v>
      </c>
      <c r="C2341" s="78" t="s">
        <v>4467</v>
      </c>
      <c r="D2341" s="78"/>
    </row>
    <row r="2342" spans="1:4" ht="30">
      <c r="A2342" s="78" t="s">
        <v>4014</v>
      </c>
      <c r="B2342" s="78" t="s">
        <v>4468</v>
      </c>
      <c r="C2342" s="78" t="s">
        <v>4469</v>
      </c>
      <c r="D2342" s="78"/>
    </row>
    <row r="2343" spans="1:4" ht="45">
      <c r="A2343" s="78" t="s">
        <v>4014</v>
      </c>
      <c r="B2343" s="78" t="s">
        <v>4470</v>
      </c>
      <c r="C2343" s="78" t="s">
        <v>4471</v>
      </c>
      <c r="D2343" s="79">
        <v>160000</v>
      </c>
    </row>
    <row r="2344" spans="1:4" ht="30">
      <c r="A2344" s="78" t="s">
        <v>4014</v>
      </c>
      <c r="B2344" s="78" t="s">
        <v>4472</v>
      </c>
      <c r="C2344" s="78" t="s">
        <v>4473</v>
      </c>
      <c r="D2344" s="78"/>
    </row>
    <row r="2345" spans="1:4" ht="30">
      <c r="A2345" s="78" t="s">
        <v>4014</v>
      </c>
      <c r="B2345" s="78" t="s">
        <v>4472</v>
      </c>
      <c r="C2345" s="78" t="s">
        <v>4123</v>
      </c>
      <c r="D2345" s="78"/>
    </row>
    <row r="2346" spans="1:4" ht="60">
      <c r="A2346" s="78" t="s">
        <v>4014</v>
      </c>
      <c r="B2346" s="78" t="s">
        <v>4472</v>
      </c>
      <c r="C2346" s="78" t="s">
        <v>4474</v>
      </c>
      <c r="D2346" s="78"/>
    </row>
    <row r="2347" spans="1:4" ht="30">
      <c r="A2347" s="78" t="s">
        <v>4014</v>
      </c>
      <c r="B2347" s="78" t="s">
        <v>4472</v>
      </c>
      <c r="C2347" s="78" t="s">
        <v>4475</v>
      </c>
      <c r="D2347" s="78"/>
    </row>
    <row r="2348" spans="1:4" ht="45">
      <c r="A2348" s="78" t="s">
        <v>4014</v>
      </c>
      <c r="B2348" s="78" t="s">
        <v>4476</v>
      </c>
      <c r="C2348" s="78" t="s">
        <v>4477</v>
      </c>
      <c r="D2348" s="78"/>
    </row>
    <row r="2349" spans="1:4" ht="30">
      <c r="A2349" s="78" t="s">
        <v>4014</v>
      </c>
      <c r="B2349" s="78" t="s">
        <v>4478</v>
      </c>
      <c r="C2349" s="78" t="s">
        <v>1754</v>
      </c>
      <c r="D2349" s="79">
        <v>500000</v>
      </c>
    </row>
    <row r="2350" spans="1:4">
      <c r="A2350" s="78" t="s">
        <v>4014</v>
      </c>
      <c r="B2350" s="78" t="s">
        <v>4479</v>
      </c>
      <c r="C2350" s="78" t="s">
        <v>4480</v>
      </c>
      <c r="D2350" s="79">
        <v>60000</v>
      </c>
    </row>
    <row r="2351" spans="1:4" ht="45">
      <c r="A2351" s="78" t="s">
        <v>4014</v>
      </c>
      <c r="B2351" s="78" t="s">
        <v>4481</v>
      </c>
      <c r="C2351" s="78" t="s">
        <v>4482</v>
      </c>
      <c r="D2351" s="79">
        <v>20000</v>
      </c>
    </row>
    <row r="2352" spans="1:4" ht="30">
      <c r="A2352" s="78" t="s">
        <v>4014</v>
      </c>
      <c r="B2352" s="78" t="s">
        <v>4481</v>
      </c>
      <c r="C2352" s="78" t="s">
        <v>4483</v>
      </c>
      <c r="D2352" s="78"/>
    </row>
    <row r="2353" spans="1:4" ht="45">
      <c r="A2353" s="78" t="s">
        <v>4014</v>
      </c>
      <c r="B2353" s="78" t="s">
        <v>4484</v>
      </c>
      <c r="C2353" s="78" t="s">
        <v>4485</v>
      </c>
      <c r="D2353" s="78"/>
    </row>
    <row r="2354" spans="1:4" ht="45">
      <c r="A2354" s="78" t="s">
        <v>4014</v>
      </c>
      <c r="B2354" s="78" t="s">
        <v>4486</v>
      </c>
      <c r="C2354" s="78" t="s">
        <v>4487</v>
      </c>
      <c r="D2354" s="79">
        <v>117000</v>
      </c>
    </row>
    <row r="2355" spans="1:4" ht="30">
      <c r="A2355" s="78" t="s">
        <v>4014</v>
      </c>
      <c r="B2355" s="78" t="s">
        <v>4486</v>
      </c>
      <c r="C2355" s="78" t="s">
        <v>4420</v>
      </c>
      <c r="D2355" s="79">
        <v>90000</v>
      </c>
    </row>
    <row r="2356" spans="1:4" ht="30">
      <c r="A2356" s="78" t="s">
        <v>4014</v>
      </c>
      <c r="B2356" s="78" t="s">
        <v>4488</v>
      </c>
      <c r="C2356" s="78" t="s">
        <v>4489</v>
      </c>
      <c r="D2356" s="79">
        <v>50000</v>
      </c>
    </row>
    <row r="2357" spans="1:4" ht="30">
      <c r="A2357" s="78" t="s">
        <v>4014</v>
      </c>
      <c r="B2357" s="78" t="s">
        <v>4490</v>
      </c>
      <c r="C2357" s="78" t="s">
        <v>4491</v>
      </c>
      <c r="D2357" s="78"/>
    </row>
    <row r="2358" spans="1:4" ht="30">
      <c r="A2358" s="78" t="s">
        <v>4014</v>
      </c>
      <c r="B2358" s="78" t="s">
        <v>4492</v>
      </c>
      <c r="C2358" s="78" t="s">
        <v>4397</v>
      </c>
      <c r="D2358" s="78"/>
    </row>
    <row r="2359" spans="1:4" ht="45">
      <c r="A2359" s="78" t="s">
        <v>4014</v>
      </c>
      <c r="B2359" s="78" t="s">
        <v>4493</v>
      </c>
      <c r="C2359" s="78" t="s">
        <v>4494</v>
      </c>
      <c r="D2359" s="78"/>
    </row>
    <row r="2360" spans="1:4" ht="45">
      <c r="A2360" s="78" t="s">
        <v>4014</v>
      </c>
      <c r="B2360" s="78" t="s">
        <v>4493</v>
      </c>
      <c r="C2360" s="78" t="s">
        <v>4258</v>
      </c>
      <c r="D2360" s="79">
        <v>59000</v>
      </c>
    </row>
    <row r="2361" spans="1:4" ht="30">
      <c r="A2361" s="78" t="s">
        <v>4014</v>
      </c>
      <c r="B2361" s="78" t="s">
        <v>4495</v>
      </c>
      <c r="C2361" s="78" t="s">
        <v>1328</v>
      </c>
      <c r="D2361" s="78"/>
    </row>
    <row r="2362" spans="1:4" ht="60">
      <c r="A2362" s="78" t="s">
        <v>4014</v>
      </c>
      <c r="B2362" s="78" t="s">
        <v>4496</v>
      </c>
      <c r="C2362" s="78" t="s">
        <v>4497</v>
      </c>
      <c r="D2362" s="79">
        <v>77000</v>
      </c>
    </row>
    <row r="2363" spans="1:4" ht="45">
      <c r="A2363" s="78" t="s">
        <v>4014</v>
      </c>
      <c r="B2363" s="78" t="s">
        <v>4498</v>
      </c>
      <c r="C2363" s="78" t="s">
        <v>1352</v>
      </c>
      <c r="D2363" s="78"/>
    </row>
    <row r="2364" spans="1:4">
      <c r="A2364" s="78" t="s">
        <v>4014</v>
      </c>
      <c r="B2364" s="78" t="s">
        <v>4498</v>
      </c>
      <c r="C2364" s="78" t="s">
        <v>4499</v>
      </c>
      <c r="D2364" s="79">
        <v>18000</v>
      </c>
    </row>
    <row r="2365" spans="1:4" ht="30">
      <c r="A2365" s="78" t="s">
        <v>4014</v>
      </c>
      <c r="B2365" s="78" t="s">
        <v>4500</v>
      </c>
      <c r="C2365" s="78" t="s">
        <v>2672</v>
      </c>
      <c r="D2365" s="78"/>
    </row>
    <row r="2366" spans="1:4" ht="45">
      <c r="A2366" s="78" t="s">
        <v>4014</v>
      </c>
      <c r="B2366" s="78" t="s">
        <v>4501</v>
      </c>
      <c r="C2366" s="78" t="s">
        <v>4502</v>
      </c>
      <c r="D2366" s="78"/>
    </row>
    <row r="2367" spans="1:4" ht="30">
      <c r="A2367" s="78" t="s">
        <v>4014</v>
      </c>
      <c r="B2367" s="78" t="s">
        <v>4503</v>
      </c>
      <c r="C2367" s="78" t="s">
        <v>4195</v>
      </c>
      <c r="D2367" s="79">
        <v>85000</v>
      </c>
    </row>
    <row r="2368" spans="1:4" ht="45">
      <c r="A2368" s="78" t="s">
        <v>4014</v>
      </c>
      <c r="B2368" s="78" t="s">
        <v>4503</v>
      </c>
      <c r="C2368" s="78" t="s">
        <v>4504</v>
      </c>
      <c r="D2368" s="79">
        <v>175000</v>
      </c>
    </row>
    <row r="2369" spans="1:4">
      <c r="A2369" s="78" t="s">
        <v>4014</v>
      </c>
      <c r="B2369" s="78" t="s">
        <v>4505</v>
      </c>
      <c r="C2369" s="78" t="s">
        <v>4506</v>
      </c>
      <c r="D2369" s="78"/>
    </row>
    <row r="2370" spans="1:4" ht="45">
      <c r="A2370" s="78" t="s">
        <v>4014</v>
      </c>
      <c r="B2370" s="78" t="s">
        <v>4507</v>
      </c>
      <c r="C2370" s="78" t="s">
        <v>4508</v>
      </c>
      <c r="D2370" s="78"/>
    </row>
    <row r="2371" spans="1:4">
      <c r="A2371" s="78" t="s">
        <v>4014</v>
      </c>
      <c r="B2371" s="78" t="s">
        <v>4509</v>
      </c>
      <c r="C2371" s="78" t="s">
        <v>4510</v>
      </c>
      <c r="D2371" s="78"/>
    </row>
    <row r="2372" spans="1:4" ht="45">
      <c r="A2372" s="78" t="s">
        <v>4014</v>
      </c>
      <c r="B2372" s="78" t="s">
        <v>4511</v>
      </c>
      <c r="C2372" s="78" t="s">
        <v>4512</v>
      </c>
      <c r="D2372" s="79">
        <v>20000</v>
      </c>
    </row>
    <row r="2373" spans="1:4">
      <c r="A2373" s="78" t="s">
        <v>4014</v>
      </c>
      <c r="B2373" s="78" t="s">
        <v>4513</v>
      </c>
      <c r="C2373" s="78" t="s">
        <v>4514</v>
      </c>
      <c r="D2373" s="78"/>
    </row>
    <row r="2374" spans="1:4" ht="45">
      <c r="A2374" s="78" t="s">
        <v>4014</v>
      </c>
      <c r="B2374" s="78" t="s">
        <v>4515</v>
      </c>
      <c r="C2374" s="78" t="s">
        <v>4516</v>
      </c>
      <c r="D2374" s="78"/>
    </row>
    <row r="2375" spans="1:4" ht="60">
      <c r="A2375" s="78" t="s">
        <v>4014</v>
      </c>
      <c r="B2375" s="78" t="s">
        <v>4517</v>
      </c>
      <c r="C2375" s="78" t="s">
        <v>4518</v>
      </c>
      <c r="D2375" s="78"/>
    </row>
    <row r="2376" spans="1:4" ht="60">
      <c r="A2376" s="78" t="s">
        <v>4014</v>
      </c>
      <c r="B2376" s="78" t="s">
        <v>4519</v>
      </c>
      <c r="C2376" s="78" t="s">
        <v>4520</v>
      </c>
      <c r="D2376" s="78"/>
    </row>
    <row r="2377" spans="1:4" ht="60">
      <c r="A2377" s="78" t="s">
        <v>4014</v>
      </c>
      <c r="B2377" s="78" t="s">
        <v>4521</v>
      </c>
      <c r="C2377" s="78" t="s">
        <v>4522</v>
      </c>
      <c r="D2377" s="79">
        <v>360000</v>
      </c>
    </row>
    <row r="2378" spans="1:4" ht="45">
      <c r="A2378" s="78" t="s">
        <v>4014</v>
      </c>
      <c r="B2378" s="78" t="s">
        <v>4523</v>
      </c>
      <c r="C2378" s="78" t="s">
        <v>4334</v>
      </c>
      <c r="D2378" s="79">
        <v>13600</v>
      </c>
    </row>
    <row r="2379" spans="1:4" ht="30">
      <c r="A2379" s="78" t="s">
        <v>4014</v>
      </c>
      <c r="B2379" s="78" t="s">
        <v>4524</v>
      </c>
      <c r="C2379" s="78" t="s">
        <v>4525</v>
      </c>
      <c r="D2379" s="78"/>
    </row>
    <row r="2380" spans="1:4" ht="45">
      <c r="A2380" s="78" t="s">
        <v>4014</v>
      </c>
      <c r="B2380" s="78" t="s">
        <v>4526</v>
      </c>
      <c r="C2380" s="78" t="s">
        <v>4436</v>
      </c>
      <c r="D2380" s="78"/>
    </row>
    <row r="2381" spans="1:4" ht="45">
      <c r="A2381" s="78" t="s">
        <v>4014</v>
      </c>
      <c r="B2381" s="78" t="s">
        <v>4526</v>
      </c>
      <c r="C2381" s="78" t="s">
        <v>4527</v>
      </c>
      <c r="D2381" s="79">
        <v>20000</v>
      </c>
    </row>
    <row r="2382" spans="1:4" ht="30">
      <c r="A2382" s="78" t="s">
        <v>4014</v>
      </c>
      <c r="B2382" s="78" t="s">
        <v>4528</v>
      </c>
      <c r="C2382" s="78" t="s">
        <v>4529</v>
      </c>
      <c r="D2382" s="78"/>
    </row>
    <row r="2383" spans="1:4" ht="30">
      <c r="A2383" s="78" t="s">
        <v>4014</v>
      </c>
      <c r="B2383" s="78" t="s">
        <v>4530</v>
      </c>
      <c r="C2383" s="78" t="s">
        <v>1754</v>
      </c>
      <c r="D2383" s="78"/>
    </row>
    <row r="2384" spans="1:4" ht="30">
      <c r="A2384" s="78" t="s">
        <v>4014</v>
      </c>
      <c r="B2384" s="78" t="s">
        <v>4531</v>
      </c>
      <c r="C2384" s="78" t="s">
        <v>4532</v>
      </c>
      <c r="D2384" s="78"/>
    </row>
    <row r="2385" spans="1:4" ht="30">
      <c r="A2385" s="78" t="s">
        <v>4014</v>
      </c>
      <c r="B2385" s="78" t="s">
        <v>4533</v>
      </c>
      <c r="C2385" s="78" t="s">
        <v>4534</v>
      </c>
      <c r="D2385" s="78"/>
    </row>
    <row r="2386" spans="1:4" ht="45">
      <c r="A2386" s="78" t="s">
        <v>4014</v>
      </c>
      <c r="B2386" s="78" t="s">
        <v>4535</v>
      </c>
      <c r="C2386" s="78" t="s">
        <v>4536</v>
      </c>
      <c r="D2386" s="78"/>
    </row>
    <row r="2387" spans="1:4" ht="45">
      <c r="A2387" s="78" t="s">
        <v>4014</v>
      </c>
      <c r="B2387" s="78" t="s">
        <v>4537</v>
      </c>
      <c r="C2387" s="78" t="s">
        <v>4538</v>
      </c>
      <c r="D2387" s="79">
        <v>45000</v>
      </c>
    </row>
    <row r="2388" spans="1:4" ht="30">
      <c r="A2388" s="78" t="s">
        <v>4014</v>
      </c>
      <c r="B2388" s="78" t="s">
        <v>4539</v>
      </c>
      <c r="C2388" s="78" t="s">
        <v>4036</v>
      </c>
      <c r="D2388" s="78"/>
    </row>
    <row r="2389" spans="1:4" ht="45">
      <c r="A2389" s="78" t="s">
        <v>4014</v>
      </c>
      <c r="B2389" s="78" t="s">
        <v>4540</v>
      </c>
      <c r="C2389" s="78" t="s">
        <v>4140</v>
      </c>
      <c r="D2389" s="78"/>
    </row>
    <row r="2390" spans="1:4" ht="45">
      <c r="A2390" s="78" t="s">
        <v>4014</v>
      </c>
      <c r="B2390" s="78" t="s">
        <v>4541</v>
      </c>
      <c r="C2390" s="78" t="s">
        <v>4271</v>
      </c>
      <c r="D2390" s="79">
        <v>25000</v>
      </c>
    </row>
    <row r="2391" spans="1:4" ht="45">
      <c r="A2391" s="78" t="s">
        <v>4014</v>
      </c>
      <c r="B2391" s="78" t="s">
        <v>4542</v>
      </c>
      <c r="C2391" s="78" t="s">
        <v>4543</v>
      </c>
      <c r="D2391" s="78"/>
    </row>
    <row r="2392" spans="1:4" ht="45">
      <c r="A2392" s="78" t="s">
        <v>4014</v>
      </c>
      <c r="B2392" s="78" t="s">
        <v>4542</v>
      </c>
      <c r="C2392" s="78" t="s">
        <v>4544</v>
      </c>
      <c r="D2392" s="78"/>
    </row>
    <row r="2393" spans="1:4" ht="30">
      <c r="A2393" s="78" t="s">
        <v>4014</v>
      </c>
      <c r="B2393" s="78" t="s">
        <v>4545</v>
      </c>
      <c r="C2393" s="78" t="s">
        <v>4342</v>
      </c>
      <c r="D2393" s="78"/>
    </row>
    <row r="2394" spans="1:4" ht="45">
      <c r="A2394" s="78" t="s">
        <v>4014</v>
      </c>
      <c r="B2394" s="78" t="s">
        <v>4546</v>
      </c>
      <c r="C2394" s="78" t="s">
        <v>4547</v>
      </c>
      <c r="D2394" s="78"/>
    </row>
    <row r="2395" spans="1:4">
      <c r="A2395" s="78" t="s">
        <v>4014</v>
      </c>
      <c r="B2395" s="78" t="s">
        <v>4548</v>
      </c>
      <c r="C2395" s="78" t="s">
        <v>4036</v>
      </c>
      <c r="D2395" s="78"/>
    </row>
    <row r="2396" spans="1:4" ht="30">
      <c r="A2396" s="78" t="s">
        <v>4014</v>
      </c>
      <c r="B2396" s="78" t="s">
        <v>1079</v>
      </c>
      <c r="C2396" s="78" t="s">
        <v>4549</v>
      </c>
      <c r="D2396" s="78"/>
    </row>
    <row r="2397" spans="1:4" ht="45">
      <c r="A2397" s="78" t="s">
        <v>4014</v>
      </c>
      <c r="B2397" s="78" t="s">
        <v>1079</v>
      </c>
      <c r="C2397" s="78" t="s">
        <v>4550</v>
      </c>
      <c r="D2397" s="79">
        <v>45000</v>
      </c>
    </row>
    <row r="2398" spans="1:4" ht="60">
      <c r="A2398" s="78" t="s">
        <v>4014</v>
      </c>
      <c r="B2398" s="78" t="s">
        <v>1079</v>
      </c>
      <c r="C2398" s="78" t="s">
        <v>4551</v>
      </c>
      <c r="D2398" s="78"/>
    </row>
    <row r="2399" spans="1:4" ht="45">
      <c r="A2399" s="78" t="s">
        <v>4014</v>
      </c>
      <c r="B2399" s="78" t="s">
        <v>1079</v>
      </c>
      <c r="C2399" s="78" t="s">
        <v>4552</v>
      </c>
      <c r="D2399" s="78"/>
    </row>
    <row r="2400" spans="1:4" ht="45">
      <c r="A2400" s="78" t="s">
        <v>4014</v>
      </c>
      <c r="B2400" s="78" t="s">
        <v>4553</v>
      </c>
      <c r="C2400" s="78" t="s">
        <v>1352</v>
      </c>
      <c r="D2400" s="79">
        <v>63000</v>
      </c>
    </row>
    <row r="2401" spans="1:4" ht="30">
      <c r="A2401" s="78" t="s">
        <v>4014</v>
      </c>
      <c r="B2401" s="78" t="s">
        <v>4554</v>
      </c>
      <c r="C2401" s="78" t="s">
        <v>4555</v>
      </c>
      <c r="D2401" s="78"/>
    </row>
    <row r="2402" spans="1:4" ht="60">
      <c r="A2402" s="78" t="s">
        <v>4014</v>
      </c>
      <c r="B2402" s="78" t="s">
        <v>4556</v>
      </c>
      <c r="C2402" s="78" t="s">
        <v>4557</v>
      </c>
      <c r="D2402" s="79">
        <v>75000</v>
      </c>
    </row>
    <row r="2403" spans="1:4" ht="30">
      <c r="A2403" s="78" t="s">
        <v>4014</v>
      </c>
      <c r="B2403" s="78" t="s">
        <v>4558</v>
      </c>
      <c r="C2403" s="78" t="s">
        <v>4559</v>
      </c>
      <c r="D2403" s="78"/>
    </row>
    <row r="2404" spans="1:4" ht="45">
      <c r="A2404" s="78" t="s">
        <v>4014</v>
      </c>
      <c r="B2404" s="78" t="s">
        <v>4558</v>
      </c>
      <c r="C2404" s="78" t="s">
        <v>4140</v>
      </c>
      <c r="D2404" s="79">
        <v>30000</v>
      </c>
    </row>
    <row r="2405" spans="1:4" ht="30">
      <c r="A2405" s="78" t="s">
        <v>4014</v>
      </c>
      <c r="B2405" s="78" t="s">
        <v>4558</v>
      </c>
      <c r="C2405" s="78" t="s">
        <v>4560</v>
      </c>
      <c r="D2405" s="78"/>
    </row>
    <row r="2406" spans="1:4" ht="45">
      <c r="A2406" s="78" t="s">
        <v>4014</v>
      </c>
      <c r="B2406" s="78" t="s">
        <v>4558</v>
      </c>
      <c r="C2406" s="78" t="s">
        <v>4266</v>
      </c>
      <c r="D2406" s="78"/>
    </row>
    <row r="2407" spans="1:4" ht="45">
      <c r="A2407" s="78" t="s">
        <v>4014</v>
      </c>
      <c r="B2407" s="78" t="s">
        <v>4561</v>
      </c>
      <c r="C2407" s="78" t="s">
        <v>4562</v>
      </c>
      <c r="D2407" s="78"/>
    </row>
    <row r="2408" spans="1:4" ht="30">
      <c r="A2408" s="78" t="s">
        <v>4014</v>
      </c>
      <c r="B2408" s="78" t="s">
        <v>4563</v>
      </c>
      <c r="C2408" s="78" t="s">
        <v>4564</v>
      </c>
      <c r="D2408" s="79">
        <v>60000</v>
      </c>
    </row>
    <row r="2409" spans="1:4" ht="30">
      <c r="A2409" s="78" t="s">
        <v>4014</v>
      </c>
      <c r="B2409" s="78" t="s">
        <v>4563</v>
      </c>
      <c r="C2409" s="78" t="s">
        <v>4340</v>
      </c>
      <c r="D2409" s="78"/>
    </row>
    <row r="2410" spans="1:4" ht="30">
      <c r="A2410" s="78" t="s">
        <v>4014</v>
      </c>
      <c r="B2410" s="78" t="s">
        <v>4563</v>
      </c>
      <c r="C2410" s="78" t="s">
        <v>1754</v>
      </c>
      <c r="D2410" s="78"/>
    </row>
    <row r="2411" spans="1:4" ht="45">
      <c r="A2411" s="78" t="s">
        <v>4014</v>
      </c>
      <c r="B2411" s="78" t="s">
        <v>4565</v>
      </c>
      <c r="C2411" s="78" t="s">
        <v>4381</v>
      </c>
      <c r="D2411" s="79">
        <v>6000</v>
      </c>
    </row>
    <row r="2412" spans="1:4" ht="30">
      <c r="A2412" s="78" t="s">
        <v>4014</v>
      </c>
      <c r="B2412" s="78" t="s">
        <v>1365</v>
      </c>
      <c r="C2412" s="78" t="s">
        <v>4566</v>
      </c>
      <c r="D2412" s="78"/>
    </row>
    <row r="2413" spans="1:4" ht="30">
      <c r="A2413" s="78" t="s">
        <v>4014</v>
      </c>
      <c r="B2413" s="78" t="s">
        <v>1365</v>
      </c>
      <c r="C2413" s="78" t="s">
        <v>1624</v>
      </c>
      <c r="D2413" s="79">
        <v>54000</v>
      </c>
    </row>
    <row r="2414" spans="1:4" ht="45">
      <c r="A2414" s="78" t="s">
        <v>4014</v>
      </c>
      <c r="B2414" s="78" t="s">
        <v>1365</v>
      </c>
      <c r="C2414" s="78" t="s">
        <v>1352</v>
      </c>
      <c r="D2414" s="79">
        <v>48000</v>
      </c>
    </row>
    <row r="2415" spans="1:4" ht="30">
      <c r="A2415" s="78" t="s">
        <v>4014</v>
      </c>
      <c r="B2415" s="78" t="s">
        <v>4567</v>
      </c>
      <c r="C2415" s="78" t="s">
        <v>1068</v>
      </c>
      <c r="D2415" s="78"/>
    </row>
    <row r="2416" spans="1:4" ht="30">
      <c r="A2416" s="78" t="s">
        <v>4014</v>
      </c>
      <c r="B2416" s="78" t="s">
        <v>4568</v>
      </c>
      <c r="C2416" s="78" t="s">
        <v>1624</v>
      </c>
      <c r="D2416" s="78"/>
    </row>
    <row r="2417" spans="1:4" ht="45">
      <c r="A2417" s="78" t="s">
        <v>4014</v>
      </c>
      <c r="B2417" s="78" t="s">
        <v>4568</v>
      </c>
      <c r="C2417" s="78" t="s">
        <v>4569</v>
      </c>
      <c r="D2417" s="78"/>
    </row>
    <row r="2418" spans="1:4" ht="45">
      <c r="A2418" s="78" t="s">
        <v>4014</v>
      </c>
      <c r="B2418" s="78" t="s">
        <v>4570</v>
      </c>
      <c r="C2418" s="78" t="s">
        <v>4571</v>
      </c>
      <c r="D2418" s="79">
        <v>10900</v>
      </c>
    </row>
    <row r="2419" spans="1:4" ht="45">
      <c r="A2419" s="78" t="s">
        <v>4014</v>
      </c>
      <c r="B2419" s="78" t="s">
        <v>4572</v>
      </c>
      <c r="C2419" s="78" t="s">
        <v>4573</v>
      </c>
      <c r="D2419" s="78"/>
    </row>
    <row r="2420" spans="1:4" ht="30">
      <c r="A2420" s="78" t="s">
        <v>4014</v>
      </c>
      <c r="B2420" s="78" t="s">
        <v>4574</v>
      </c>
      <c r="C2420" s="78" t="s">
        <v>4575</v>
      </c>
      <c r="D2420" s="78"/>
    </row>
    <row r="2421" spans="1:4" ht="45">
      <c r="A2421" s="78" t="s">
        <v>4014</v>
      </c>
      <c r="B2421" s="78" t="s">
        <v>4576</v>
      </c>
      <c r="C2421" s="78" t="s">
        <v>4577</v>
      </c>
      <c r="D2421" s="78"/>
    </row>
    <row r="2422" spans="1:4">
      <c r="A2422" s="78" t="s">
        <v>4014</v>
      </c>
      <c r="B2422" s="78" t="s">
        <v>4578</v>
      </c>
      <c r="C2422" s="78" t="s">
        <v>1328</v>
      </c>
      <c r="D2422" s="78"/>
    </row>
    <row r="2423" spans="1:4" ht="45">
      <c r="A2423" s="78" t="s">
        <v>4014</v>
      </c>
      <c r="B2423" s="78" t="s">
        <v>4579</v>
      </c>
      <c r="C2423" s="78" t="s">
        <v>4580</v>
      </c>
      <c r="D2423" s="79">
        <v>44000</v>
      </c>
    </row>
    <row r="2424" spans="1:4" ht="60">
      <c r="A2424" s="78" t="s">
        <v>4014</v>
      </c>
      <c r="B2424" s="78" t="s">
        <v>4581</v>
      </c>
      <c r="C2424" s="78" t="s">
        <v>4582</v>
      </c>
      <c r="D2424" s="78"/>
    </row>
    <row r="2425" spans="1:4" ht="45">
      <c r="A2425" s="78" t="s">
        <v>4014</v>
      </c>
      <c r="B2425" s="78" t="s">
        <v>4583</v>
      </c>
      <c r="C2425" s="78" t="s">
        <v>1352</v>
      </c>
      <c r="D2425" s="78"/>
    </row>
    <row r="2426" spans="1:4" ht="45">
      <c r="A2426" s="78" t="s">
        <v>4014</v>
      </c>
      <c r="B2426" s="78" t="s">
        <v>4584</v>
      </c>
      <c r="C2426" s="78" t="s">
        <v>4562</v>
      </c>
      <c r="D2426" s="78"/>
    </row>
    <row r="2427" spans="1:4" ht="30">
      <c r="A2427" s="78" t="s">
        <v>4014</v>
      </c>
      <c r="B2427" s="78" t="s">
        <v>4585</v>
      </c>
      <c r="C2427" s="78" t="s">
        <v>4586</v>
      </c>
      <c r="D2427" s="78"/>
    </row>
    <row r="2428" spans="1:4" ht="30">
      <c r="A2428" s="78" t="s">
        <v>4014</v>
      </c>
      <c r="B2428" s="78" t="s">
        <v>4587</v>
      </c>
      <c r="C2428" s="78" t="s">
        <v>4588</v>
      </c>
      <c r="D2428" s="78"/>
    </row>
    <row r="2429" spans="1:4" ht="30">
      <c r="A2429" s="78" t="s">
        <v>4014</v>
      </c>
      <c r="B2429" s="78" t="s">
        <v>4587</v>
      </c>
      <c r="C2429" s="78" t="s">
        <v>4589</v>
      </c>
      <c r="D2429" s="79">
        <v>132000</v>
      </c>
    </row>
    <row r="2430" spans="1:4" ht="30">
      <c r="A2430" s="78" t="s">
        <v>4014</v>
      </c>
      <c r="B2430" s="78" t="s">
        <v>4590</v>
      </c>
      <c r="C2430" s="78" t="s">
        <v>4591</v>
      </c>
      <c r="D2430" s="78"/>
    </row>
    <row r="2431" spans="1:4" ht="45">
      <c r="A2431" s="78" t="s">
        <v>4014</v>
      </c>
      <c r="B2431" s="78" t="s">
        <v>4592</v>
      </c>
      <c r="C2431" s="78" t="s">
        <v>4593</v>
      </c>
      <c r="D2431" s="78"/>
    </row>
    <row r="2432" spans="1:4" ht="30">
      <c r="A2432" s="78" t="s">
        <v>4014</v>
      </c>
      <c r="B2432" s="78" t="s">
        <v>4594</v>
      </c>
      <c r="C2432" s="78" t="s">
        <v>4595</v>
      </c>
      <c r="D2432" s="79">
        <v>16000</v>
      </c>
    </row>
    <row r="2433" spans="1:4" ht="45">
      <c r="A2433" s="78" t="s">
        <v>4014</v>
      </c>
      <c r="B2433" s="78" t="s">
        <v>4596</v>
      </c>
      <c r="C2433" s="78" t="s">
        <v>4317</v>
      </c>
      <c r="D2433" s="79">
        <v>16000</v>
      </c>
    </row>
    <row r="2434" spans="1:4" ht="30">
      <c r="A2434" s="78" t="s">
        <v>4014</v>
      </c>
      <c r="B2434" s="78" t="s">
        <v>4596</v>
      </c>
      <c r="C2434" s="78" t="s">
        <v>4597</v>
      </c>
      <c r="D2434" s="78"/>
    </row>
    <row r="2435" spans="1:4" ht="45">
      <c r="A2435" s="78" t="s">
        <v>4014</v>
      </c>
      <c r="B2435" s="78" t="s">
        <v>4596</v>
      </c>
      <c r="C2435" s="78" t="s">
        <v>4598</v>
      </c>
      <c r="D2435" s="78"/>
    </row>
    <row r="2436" spans="1:4" ht="45">
      <c r="A2436" s="78" t="s">
        <v>4014</v>
      </c>
      <c r="B2436" s="78" t="s">
        <v>4599</v>
      </c>
      <c r="C2436" s="78" t="s">
        <v>4600</v>
      </c>
      <c r="D2436" s="78"/>
    </row>
    <row r="2437" spans="1:4" ht="45">
      <c r="A2437" s="78" t="s">
        <v>4014</v>
      </c>
      <c r="B2437" s="78" t="s">
        <v>4601</v>
      </c>
      <c r="C2437" s="78" t="s">
        <v>1352</v>
      </c>
      <c r="D2437" s="78"/>
    </row>
    <row r="2438" spans="1:4" ht="30">
      <c r="A2438" s="78" t="s">
        <v>4014</v>
      </c>
      <c r="B2438" s="78" t="s">
        <v>4602</v>
      </c>
      <c r="C2438" s="78" t="s">
        <v>4050</v>
      </c>
      <c r="D2438" s="78"/>
    </row>
    <row r="2439" spans="1:4" ht="30">
      <c r="A2439" s="78" t="s">
        <v>4014</v>
      </c>
      <c r="B2439" s="78" t="s">
        <v>4603</v>
      </c>
      <c r="C2439" s="78" t="s">
        <v>4604</v>
      </c>
      <c r="D2439" s="79">
        <v>43000</v>
      </c>
    </row>
    <row r="2440" spans="1:4" ht="30">
      <c r="A2440" s="78" t="s">
        <v>4014</v>
      </c>
      <c r="B2440" s="78" t="s">
        <v>4605</v>
      </c>
      <c r="C2440" s="78" t="s">
        <v>1624</v>
      </c>
      <c r="D2440" s="79">
        <v>93000</v>
      </c>
    </row>
    <row r="2441" spans="1:4" ht="30">
      <c r="A2441" s="78" t="s">
        <v>4014</v>
      </c>
      <c r="B2441" s="78" t="s">
        <v>4605</v>
      </c>
      <c r="C2441" s="78" t="s">
        <v>4606</v>
      </c>
      <c r="D2441" s="78"/>
    </row>
    <row r="2442" spans="1:4" ht="45">
      <c r="A2442" s="78" t="s">
        <v>4014</v>
      </c>
      <c r="B2442" s="78" t="s">
        <v>4605</v>
      </c>
      <c r="C2442" s="78" t="s">
        <v>4271</v>
      </c>
      <c r="D2442" s="78"/>
    </row>
    <row r="2443" spans="1:4" ht="30">
      <c r="A2443" s="78" t="s">
        <v>4014</v>
      </c>
      <c r="B2443" s="78" t="s">
        <v>4607</v>
      </c>
      <c r="C2443" s="78" t="s">
        <v>4340</v>
      </c>
      <c r="D2443" s="78">
        <v>900</v>
      </c>
    </row>
    <row r="2444" spans="1:4" ht="30">
      <c r="A2444" s="78" t="s">
        <v>4014</v>
      </c>
      <c r="B2444" s="78" t="s">
        <v>4608</v>
      </c>
      <c r="C2444" s="78" t="s">
        <v>4609</v>
      </c>
      <c r="D2444" s="78"/>
    </row>
    <row r="2445" spans="1:4" ht="45">
      <c r="A2445" s="78" t="s">
        <v>4014</v>
      </c>
      <c r="B2445" s="78" t="s">
        <v>4610</v>
      </c>
      <c r="C2445" s="78" t="s">
        <v>4611</v>
      </c>
      <c r="D2445" s="79">
        <v>22000</v>
      </c>
    </row>
    <row r="2446" spans="1:4" ht="45">
      <c r="A2446" s="78" t="s">
        <v>4014</v>
      </c>
      <c r="B2446" s="78" t="s">
        <v>4610</v>
      </c>
      <c r="C2446" s="78" t="s">
        <v>4612</v>
      </c>
      <c r="D2446" s="78"/>
    </row>
    <row r="2447" spans="1:4" ht="45">
      <c r="A2447" s="78" t="s">
        <v>4014</v>
      </c>
      <c r="B2447" s="78" t="s">
        <v>4613</v>
      </c>
      <c r="C2447" s="78" t="s">
        <v>1352</v>
      </c>
      <c r="D2447" s="79">
        <v>91000</v>
      </c>
    </row>
    <row r="2448" spans="1:4" ht="30">
      <c r="A2448" s="78" t="s">
        <v>4014</v>
      </c>
      <c r="B2448" s="78" t="s">
        <v>4614</v>
      </c>
      <c r="C2448" s="78" t="s">
        <v>4615</v>
      </c>
      <c r="D2448" s="78"/>
    </row>
    <row r="2449" spans="1:4" ht="60">
      <c r="A2449" s="78" t="s">
        <v>4014</v>
      </c>
      <c r="B2449" s="78" t="s">
        <v>4614</v>
      </c>
      <c r="C2449" s="78" t="s">
        <v>4616</v>
      </c>
      <c r="D2449" s="79">
        <v>45000</v>
      </c>
    </row>
    <row r="2450" spans="1:4" ht="45">
      <c r="A2450" s="78" t="s">
        <v>4014</v>
      </c>
      <c r="B2450" s="78" t="s">
        <v>4614</v>
      </c>
      <c r="C2450" s="78" t="s">
        <v>4451</v>
      </c>
      <c r="D2450" s="79">
        <v>45000</v>
      </c>
    </row>
    <row r="2451" spans="1:4" ht="30">
      <c r="A2451" s="78" t="s">
        <v>4014</v>
      </c>
      <c r="B2451" s="78" t="s">
        <v>4614</v>
      </c>
      <c r="C2451" s="78" t="s">
        <v>4491</v>
      </c>
      <c r="D2451" s="78"/>
    </row>
    <row r="2452" spans="1:4" ht="45">
      <c r="A2452" s="78" t="s">
        <v>4014</v>
      </c>
      <c r="B2452" s="78" t="s">
        <v>4617</v>
      </c>
      <c r="C2452" s="78" t="s">
        <v>4618</v>
      </c>
      <c r="D2452" s="78"/>
    </row>
    <row r="2453" spans="1:4" ht="45">
      <c r="A2453" s="78" t="s">
        <v>4014</v>
      </c>
      <c r="B2453" s="78" t="s">
        <v>4617</v>
      </c>
      <c r="C2453" s="78" t="s">
        <v>4619</v>
      </c>
      <c r="D2453" s="78"/>
    </row>
    <row r="2454" spans="1:4" ht="60">
      <c r="A2454" s="78" t="s">
        <v>4014</v>
      </c>
      <c r="B2454" s="78" t="s">
        <v>4620</v>
      </c>
      <c r="C2454" s="78" t="s">
        <v>4621</v>
      </c>
      <c r="D2454" s="79">
        <v>20000</v>
      </c>
    </row>
    <row r="2455" spans="1:4" ht="30">
      <c r="A2455" s="78" t="s">
        <v>4014</v>
      </c>
      <c r="B2455" s="78" t="s">
        <v>4622</v>
      </c>
      <c r="C2455" s="78" t="s">
        <v>1336</v>
      </c>
      <c r="D2455" s="79">
        <v>50000</v>
      </c>
    </row>
    <row r="2456" spans="1:4" ht="45">
      <c r="A2456" s="78" t="s">
        <v>4014</v>
      </c>
      <c r="B2456" s="78" t="s">
        <v>4623</v>
      </c>
      <c r="C2456" s="78" t="s">
        <v>4624</v>
      </c>
      <c r="D2456" s="78"/>
    </row>
    <row r="2457" spans="1:4" ht="30">
      <c r="A2457" s="78" t="s">
        <v>4014</v>
      </c>
      <c r="B2457" s="78" t="s">
        <v>4623</v>
      </c>
      <c r="C2457" s="78" t="s">
        <v>4625</v>
      </c>
      <c r="D2457" s="79">
        <v>50000</v>
      </c>
    </row>
    <row r="2458" spans="1:4" ht="30">
      <c r="A2458" s="78" t="s">
        <v>4014</v>
      </c>
      <c r="B2458" s="78" t="s">
        <v>4626</v>
      </c>
      <c r="C2458" s="78" t="s">
        <v>4627</v>
      </c>
      <c r="D2458" s="79">
        <v>300000</v>
      </c>
    </row>
    <row r="2459" spans="1:4" ht="30">
      <c r="A2459" s="78" t="s">
        <v>4014</v>
      </c>
      <c r="B2459" s="78" t="s">
        <v>4626</v>
      </c>
      <c r="C2459" s="78" t="s">
        <v>4628</v>
      </c>
      <c r="D2459" s="79">
        <v>100000</v>
      </c>
    </row>
    <row r="2460" spans="1:4">
      <c r="A2460" s="78" t="s">
        <v>4014</v>
      </c>
      <c r="B2460" s="78" t="s">
        <v>4626</v>
      </c>
      <c r="C2460" s="78" t="s">
        <v>1754</v>
      </c>
      <c r="D2460" s="78"/>
    </row>
    <row r="2461" spans="1:4">
      <c r="A2461" s="78" t="s">
        <v>4014</v>
      </c>
      <c r="B2461" s="78" t="s">
        <v>4629</v>
      </c>
      <c r="C2461" s="78" t="s">
        <v>4630</v>
      </c>
      <c r="D2461" s="78"/>
    </row>
    <row r="2462" spans="1:4" ht="45">
      <c r="A2462" s="78" t="s">
        <v>4014</v>
      </c>
      <c r="B2462" s="78" t="s">
        <v>4631</v>
      </c>
      <c r="C2462" s="78" t="s">
        <v>4632</v>
      </c>
      <c r="D2462" s="79">
        <v>50000</v>
      </c>
    </row>
    <row r="2463" spans="1:4" ht="60">
      <c r="A2463" s="78" t="s">
        <v>4014</v>
      </c>
      <c r="B2463" s="78" t="s">
        <v>4631</v>
      </c>
      <c r="C2463" s="78" t="s">
        <v>4633</v>
      </c>
      <c r="D2463" s="79">
        <v>175000</v>
      </c>
    </row>
    <row r="2464" spans="1:4" ht="30">
      <c r="A2464" s="78" t="s">
        <v>4014</v>
      </c>
      <c r="B2464" s="78" t="s">
        <v>4631</v>
      </c>
      <c r="C2464" s="78" t="s">
        <v>4164</v>
      </c>
      <c r="D2464" s="78"/>
    </row>
    <row r="2465" spans="1:4" ht="60">
      <c r="A2465" s="78" t="s">
        <v>4014</v>
      </c>
      <c r="B2465" s="78" t="s">
        <v>4634</v>
      </c>
      <c r="C2465" s="78" t="s">
        <v>4635</v>
      </c>
      <c r="D2465" s="78"/>
    </row>
    <row r="2466" spans="1:4" ht="45">
      <c r="A2466" s="78" t="s">
        <v>4014</v>
      </c>
      <c r="B2466" s="78" t="s">
        <v>4636</v>
      </c>
      <c r="C2466" s="78" t="s">
        <v>1352</v>
      </c>
      <c r="D2466" s="78"/>
    </row>
    <row r="2467" spans="1:4" ht="45">
      <c r="A2467" s="78" t="s">
        <v>4014</v>
      </c>
      <c r="B2467" s="78" t="s">
        <v>4637</v>
      </c>
      <c r="C2467" s="78" t="s">
        <v>4638</v>
      </c>
      <c r="D2467" s="78"/>
    </row>
    <row r="2468" spans="1:4" ht="45">
      <c r="A2468" s="78" t="s">
        <v>4014</v>
      </c>
      <c r="B2468" s="78" t="s">
        <v>4639</v>
      </c>
      <c r="C2468" s="78" t="s">
        <v>4640</v>
      </c>
      <c r="D2468" s="78"/>
    </row>
    <row r="2469" spans="1:4" ht="30">
      <c r="A2469" s="78" t="s">
        <v>4014</v>
      </c>
      <c r="B2469" s="78" t="s">
        <v>4641</v>
      </c>
      <c r="C2469" s="78" t="s">
        <v>4642</v>
      </c>
      <c r="D2469" s="78"/>
    </row>
    <row r="2470" spans="1:4" ht="45">
      <c r="A2470" s="78" t="s">
        <v>4014</v>
      </c>
      <c r="B2470" s="78" t="s">
        <v>4643</v>
      </c>
      <c r="C2470" s="78" t="s">
        <v>4429</v>
      </c>
      <c r="D2470" s="78"/>
    </row>
    <row r="2471" spans="1:4" ht="45">
      <c r="A2471" s="78" t="s">
        <v>4014</v>
      </c>
      <c r="B2471" s="78" t="s">
        <v>4644</v>
      </c>
      <c r="C2471" s="78" t="s">
        <v>4445</v>
      </c>
      <c r="D2471" s="78"/>
    </row>
    <row r="2472" spans="1:4" ht="30">
      <c r="A2472" s="78" t="s">
        <v>4014</v>
      </c>
      <c r="B2472" s="78" t="s">
        <v>4645</v>
      </c>
      <c r="C2472" s="78" t="s">
        <v>4646</v>
      </c>
      <c r="D2472" s="79">
        <v>24000</v>
      </c>
    </row>
    <row r="2473" spans="1:4" ht="45">
      <c r="A2473" s="78" t="s">
        <v>4014</v>
      </c>
      <c r="B2473" s="78" t="s">
        <v>4645</v>
      </c>
      <c r="C2473" s="78" t="s">
        <v>4647</v>
      </c>
      <c r="D2473" s="79">
        <v>275000</v>
      </c>
    </row>
    <row r="2474" spans="1:4" ht="30">
      <c r="A2474" s="78" t="s">
        <v>4014</v>
      </c>
      <c r="B2474" s="78" t="s">
        <v>4648</v>
      </c>
      <c r="C2474" s="78" t="s">
        <v>4649</v>
      </c>
      <c r="D2474" s="78"/>
    </row>
    <row r="2475" spans="1:4" ht="30">
      <c r="A2475" s="78" t="s">
        <v>4014</v>
      </c>
      <c r="B2475" s="78" t="s">
        <v>4650</v>
      </c>
      <c r="C2475" s="78" t="s">
        <v>4050</v>
      </c>
      <c r="D2475" s="78"/>
    </row>
    <row r="2476" spans="1:4" ht="45">
      <c r="A2476" s="78" t="s">
        <v>4014</v>
      </c>
      <c r="B2476" s="78" t="s">
        <v>4651</v>
      </c>
      <c r="C2476" s="78" t="s">
        <v>4652</v>
      </c>
      <c r="D2476" s="79">
        <v>50000</v>
      </c>
    </row>
    <row r="2477" spans="1:4" ht="30">
      <c r="A2477" s="78" t="s">
        <v>4014</v>
      </c>
      <c r="B2477" s="78" t="s">
        <v>4653</v>
      </c>
      <c r="C2477" s="78" t="s">
        <v>1624</v>
      </c>
      <c r="D2477" s="79">
        <v>16000</v>
      </c>
    </row>
    <row r="2478" spans="1:4" ht="30">
      <c r="A2478" s="78" t="s">
        <v>4014</v>
      </c>
      <c r="B2478" s="78" t="s">
        <v>4654</v>
      </c>
      <c r="C2478" s="78" t="s">
        <v>4655</v>
      </c>
      <c r="D2478" s="78"/>
    </row>
    <row r="2479" spans="1:4" ht="45">
      <c r="A2479" s="78" t="s">
        <v>4014</v>
      </c>
      <c r="B2479" s="78" t="s">
        <v>4654</v>
      </c>
      <c r="C2479" s="78" t="s">
        <v>4364</v>
      </c>
      <c r="D2479" s="78"/>
    </row>
    <row r="2480" spans="1:4" ht="30">
      <c r="A2480" s="78" t="s">
        <v>4014</v>
      </c>
      <c r="B2480" s="78" t="s">
        <v>4654</v>
      </c>
      <c r="C2480" s="78" t="s">
        <v>4656</v>
      </c>
      <c r="D2480" s="78"/>
    </row>
    <row r="2481" spans="1:4" ht="45">
      <c r="A2481" s="78" t="s">
        <v>4014</v>
      </c>
      <c r="B2481" s="78" t="s">
        <v>3415</v>
      </c>
      <c r="C2481" s="78" t="s">
        <v>4657</v>
      </c>
      <c r="D2481" s="78"/>
    </row>
    <row r="2482" spans="1:4" ht="45">
      <c r="A2482" s="78" t="s">
        <v>4014</v>
      </c>
      <c r="B2482" s="78" t="s">
        <v>4658</v>
      </c>
      <c r="C2482" s="78" t="s">
        <v>4659</v>
      </c>
      <c r="D2482" s="78"/>
    </row>
    <row r="2483" spans="1:4" ht="45">
      <c r="A2483" s="78" t="s">
        <v>4014</v>
      </c>
      <c r="B2483" s="78" t="s">
        <v>4658</v>
      </c>
      <c r="C2483" s="78" t="s">
        <v>1352</v>
      </c>
      <c r="D2483" s="79">
        <v>55000</v>
      </c>
    </row>
    <row r="2484" spans="1:4" ht="45">
      <c r="A2484" s="78" t="s">
        <v>4014</v>
      </c>
      <c r="B2484" s="78" t="s">
        <v>4660</v>
      </c>
      <c r="C2484" s="78" t="s">
        <v>4661</v>
      </c>
      <c r="D2484" s="78"/>
    </row>
    <row r="2485" spans="1:4" ht="45">
      <c r="A2485" s="78" t="s">
        <v>4014</v>
      </c>
      <c r="B2485" s="78" t="s">
        <v>4662</v>
      </c>
      <c r="C2485" s="78" t="s">
        <v>4663</v>
      </c>
      <c r="D2485" s="78"/>
    </row>
    <row r="2486" spans="1:4" ht="30">
      <c r="A2486" s="78" t="s">
        <v>4014</v>
      </c>
      <c r="B2486" s="78" t="s">
        <v>4664</v>
      </c>
      <c r="C2486" s="78" t="s">
        <v>4665</v>
      </c>
      <c r="D2486" s="78"/>
    </row>
    <row r="2487" spans="1:4" ht="30">
      <c r="A2487" s="78" t="s">
        <v>4014</v>
      </c>
      <c r="B2487" s="78" t="s">
        <v>4664</v>
      </c>
      <c r="C2487" s="78" t="s">
        <v>4666</v>
      </c>
      <c r="D2487" s="79">
        <v>30000</v>
      </c>
    </row>
    <row r="2488" spans="1:4">
      <c r="A2488" s="78" t="s">
        <v>4014</v>
      </c>
      <c r="B2488" s="78" t="s">
        <v>4667</v>
      </c>
      <c r="C2488" s="78" t="s">
        <v>4668</v>
      </c>
      <c r="D2488" s="79">
        <v>54000</v>
      </c>
    </row>
    <row r="2489" spans="1:4" ht="30">
      <c r="A2489" s="78" t="s">
        <v>4014</v>
      </c>
      <c r="B2489" s="78" t="s">
        <v>4669</v>
      </c>
      <c r="C2489" s="78" t="s">
        <v>4670</v>
      </c>
      <c r="D2489" s="78"/>
    </row>
    <row r="2490" spans="1:4" ht="30">
      <c r="A2490" s="78" t="s">
        <v>4014</v>
      </c>
      <c r="B2490" s="78" t="s">
        <v>4669</v>
      </c>
      <c r="C2490" s="78" t="s">
        <v>4671</v>
      </c>
      <c r="D2490" s="78"/>
    </row>
    <row r="2491" spans="1:4" ht="60">
      <c r="A2491" s="78" t="s">
        <v>4014</v>
      </c>
      <c r="B2491" s="78" t="s">
        <v>4672</v>
      </c>
      <c r="C2491" s="78" t="s">
        <v>4673</v>
      </c>
      <c r="D2491" s="78"/>
    </row>
    <row r="2492" spans="1:4" ht="30">
      <c r="A2492" s="78" t="s">
        <v>4014</v>
      </c>
      <c r="B2492" s="78" t="s">
        <v>4674</v>
      </c>
      <c r="C2492" s="78" t="s">
        <v>4070</v>
      </c>
      <c r="D2492" s="78"/>
    </row>
    <row r="2493" spans="1:4" ht="45">
      <c r="A2493" s="78" t="s">
        <v>4014</v>
      </c>
      <c r="B2493" s="78" t="s">
        <v>4675</v>
      </c>
      <c r="C2493" s="78" t="s">
        <v>4676</v>
      </c>
      <c r="D2493" s="79">
        <v>38200</v>
      </c>
    </row>
    <row r="2494" spans="1:4" ht="30">
      <c r="A2494" s="78" t="s">
        <v>4014</v>
      </c>
      <c r="B2494" s="78" t="s">
        <v>4677</v>
      </c>
      <c r="C2494" s="78" t="s">
        <v>3740</v>
      </c>
      <c r="D2494" s="78"/>
    </row>
    <row r="2495" spans="1:4" ht="30">
      <c r="A2495" s="78" t="s">
        <v>4014</v>
      </c>
      <c r="B2495" s="78" t="s">
        <v>4678</v>
      </c>
      <c r="C2495" s="78" t="s">
        <v>4679</v>
      </c>
      <c r="D2495" s="79">
        <v>22700</v>
      </c>
    </row>
    <row r="2496" spans="1:4" ht="30">
      <c r="A2496" s="78" t="s">
        <v>4014</v>
      </c>
      <c r="B2496" s="78" t="s">
        <v>4680</v>
      </c>
      <c r="C2496" s="78" t="s">
        <v>4050</v>
      </c>
      <c r="D2496" s="78"/>
    </row>
    <row r="2497" spans="1:4" ht="30">
      <c r="A2497" s="78" t="s">
        <v>4014</v>
      </c>
      <c r="B2497" s="78" t="s">
        <v>4680</v>
      </c>
      <c r="C2497" s="78" t="s">
        <v>4681</v>
      </c>
      <c r="D2497" s="79">
        <v>38000</v>
      </c>
    </row>
    <row r="2498" spans="1:4" ht="45">
      <c r="A2498" s="78" t="s">
        <v>4014</v>
      </c>
      <c r="B2498" s="78" t="s">
        <v>4680</v>
      </c>
      <c r="C2498" s="78" t="s">
        <v>4682</v>
      </c>
      <c r="D2498" s="78"/>
    </row>
    <row r="2499" spans="1:4" ht="45">
      <c r="A2499" s="78" t="s">
        <v>4014</v>
      </c>
      <c r="B2499" s="78" t="s">
        <v>4683</v>
      </c>
      <c r="C2499" s="78" t="s">
        <v>4684</v>
      </c>
      <c r="D2499" s="78"/>
    </row>
    <row r="2500" spans="1:4" ht="30">
      <c r="A2500" s="78" t="s">
        <v>4014</v>
      </c>
      <c r="B2500" s="78" t="s">
        <v>4685</v>
      </c>
      <c r="C2500" s="78" t="s">
        <v>1068</v>
      </c>
      <c r="D2500" s="79">
        <v>80000</v>
      </c>
    </row>
    <row r="2501" spans="1:4">
      <c r="A2501" s="78" t="s">
        <v>4014</v>
      </c>
      <c r="B2501" s="78" t="s">
        <v>4686</v>
      </c>
      <c r="C2501" s="78" t="s">
        <v>4687</v>
      </c>
      <c r="D2501" s="79">
        <v>30000</v>
      </c>
    </row>
    <row r="2502" spans="1:4" ht="30">
      <c r="A2502" s="78" t="s">
        <v>4014</v>
      </c>
      <c r="B2502" s="78" t="s">
        <v>4688</v>
      </c>
      <c r="C2502" s="78" t="s">
        <v>4689</v>
      </c>
      <c r="D2502" s="78"/>
    </row>
    <row r="2503" spans="1:4" ht="45">
      <c r="A2503" s="78" t="s">
        <v>4014</v>
      </c>
      <c r="B2503" s="78" t="s">
        <v>4690</v>
      </c>
      <c r="C2503" s="78" t="s">
        <v>1352</v>
      </c>
      <c r="D2503" s="79">
        <v>163000</v>
      </c>
    </row>
    <row r="2504" spans="1:4" ht="60">
      <c r="A2504" s="78" t="s">
        <v>4014</v>
      </c>
      <c r="B2504" s="78" t="s">
        <v>4691</v>
      </c>
      <c r="C2504" s="78" t="s">
        <v>4692</v>
      </c>
      <c r="D2504" s="78"/>
    </row>
    <row r="2505" spans="1:4" ht="30">
      <c r="A2505" s="78" t="s">
        <v>4014</v>
      </c>
      <c r="B2505" s="78" t="s">
        <v>4693</v>
      </c>
      <c r="C2505" s="78" t="s">
        <v>4694</v>
      </c>
      <c r="D2505" s="78"/>
    </row>
    <row r="2506" spans="1:4">
      <c r="A2506" s="78" t="s">
        <v>4014</v>
      </c>
      <c r="B2506" s="78" t="s">
        <v>4695</v>
      </c>
      <c r="C2506" s="78" t="s">
        <v>1374</v>
      </c>
      <c r="D2506" s="78"/>
    </row>
    <row r="2507" spans="1:4" ht="45">
      <c r="A2507" s="78" t="s">
        <v>4014</v>
      </c>
      <c r="B2507" s="78" t="s">
        <v>4696</v>
      </c>
      <c r="C2507" s="78" t="s">
        <v>4697</v>
      </c>
      <c r="D2507" s="79">
        <v>91000</v>
      </c>
    </row>
    <row r="2508" spans="1:4" ht="45">
      <c r="A2508" s="78" t="s">
        <v>4014</v>
      </c>
      <c r="B2508" s="78" t="s">
        <v>4696</v>
      </c>
      <c r="C2508" s="78" t="s">
        <v>3120</v>
      </c>
      <c r="D2508" s="78"/>
    </row>
    <row r="2509" spans="1:4" ht="30">
      <c r="A2509" s="78" t="s">
        <v>4014</v>
      </c>
      <c r="B2509" s="78" t="s">
        <v>4696</v>
      </c>
      <c r="C2509" s="78" t="s">
        <v>4698</v>
      </c>
      <c r="D2509" s="78"/>
    </row>
    <row r="2510" spans="1:4">
      <c r="A2510" s="78" t="s">
        <v>4014</v>
      </c>
      <c r="B2510" s="78" t="s">
        <v>4699</v>
      </c>
      <c r="C2510" s="78" t="s">
        <v>4700</v>
      </c>
      <c r="D2510" s="78"/>
    </row>
    <row r="2511" spans="1:4" ht="45">
      <c r="A2511" s="78" t="s">
        <v>4014</v>
      </c>
      <c r="B2511" s="78" t="s">
        <v>4701</v>
      </c>
      <c r="C2511" s="78" t="s">
        <v>1352</v>
      </c>
      <c r="D2511" s="79">
        <v>63000</v>
      </c>
    </row>
    <row r="2512" spans="1:4" ht="30">
      <c r="A2512" s="78" t="s">
        <v>4014</v>
      </c>
      <c r="B2512" s="78" t="s">
        <v>4702</v>
      </c>
      <c r="C2512" s="78" t="s">
        <v>4703</v>
      </c>
      <c r="D2512" s="78"/>
    </row>
    <row r="2513" spans="1:4">
      <c r="A2513" s="78" t="s">
        <v>4014</v>
      </c>
      <c r="B2513" s="78" t="s">
        <v>4704</v>
      </c>
      <c r="C2513" s="78" t="s">
        <v>4705</v>
      </c>
      <c r="D2513" s="79">
        <v>16000</v>
      </c>
    </row>
    <row r="2514" spans="1:4" ht="30">
      <c r="A2514" s="78" t="s">
        <v>4014</v>
      </c>
      <c r="B2514" s="78" t="s">
        <v>4704</v>
      </c>
      <c r="C2514" s="78" t="s">
        <v>4706</v>
      </c>
      <c r="D2514" s="79">
        <v>80000</v>
      </c>
    </row>
    <row r="2515" spans="1:4" ht="45">
      <c r="A2515" s="78" t="s">
        <v>4014</v>
      </c>
      <c r="B2515" s="78" t="s">
        <v>4704</v>
      </c>
      <c r="C2515" s="78" t="s">
        <v>4271</v>
      </c>
      <c r="D2515" s="79">
        <v>18000</v>
      </c>
    </row>
    <row r="2516" spans="1:4" ht="30">
      <c r="A2516" s="78" t="s">
        <v>4014</v>
      </c>
      <c r="B2516" s="78" t="s">
        <v>4707</v>
      </c>
      <c r="C2516" s="78" t="s">
        <v>4376</v>
      </c>
      <c r="D2516" s="78"/>
    </row>
    <row r="2517" spans="1:4" ht="30">
      <c r="A2517" s="78" t="s">
        <v>4014</v>
      </c>
      <c r="B2517" s="78" t="s">
        <v>4708</v>
      </c>
      <c r="C2517" s="78" t="s">
        <v>1624</v>
      </c>
      <c r="D2517" s="78"/>
    </row>
    <row r="2518" spans="1:4" ht="45">
      <c r="A2518" s="78" t="s">
        <v>4014</v>
      </c>
      <c r="B2518" s="78" t="s">
        <v>4709</v>
      </c>
      <c r="C2518" s="78" t="s">
        <v>3120</v>
      </c>
      <c r="D2518" s="78"/>
    </row>
    <row r="2519" spans="1:4" ht="45">
      <c r="A2519" s="78" t="s">
        <v>4014</v>
      </c>
      <c r="B2519" s="78" t="s">
        <v>4710</v>
      </c>
      <c r="C2519" s="78" t="s">
        <v>4711</v>
      </c>
      <c r="D2519" s="78"/>
    </row>
    <row r="2520" spans="1:4" ht="45">
      <c r="A2520" s="78" t="s">
        <v>4014</v>
      </c>
      <c r="B2520" s="78" t="s">
        <v>4712</v>
      </c>
      <c r="C2520" s="78" t="s">
        <v>4429</v>
      </c>
      <c r="D2520" s="78"/>
    </row>
    <row r="2521" spans="1:4" ht="30">
      <c r="A2521" s="78" t="s">
        <v>4014</v>
      </c>
      <c r="B2521" s="78" t="s">
        <v>4712</v>
      </c>
      <c r="C2521" s="78" t="s">
        <v>4713</v>
      </c>
      <c r="D2521" s="79">
        <v>7000</v>
      </c>
    </row>
    <row r="2522" spans="1:4" ht="45">
      <c r="A2522" s="78" t="s">
        <v>4014</v>
      </c>
      <c r="B2522" s="78" t="s">
        <v>4714</v>
      </c>
      <c r="C2522" s="78" t="s">
        <v>4715</v>
      </c>
      <c r="D2522" s="78"/>
    </row>
    <row r="2523" spans="1:4">
      <c r="A2523" s="78" t="s">
        <v>4014</v>
      </c>
      <c r="B2523" s="78" t="s">
        <v>4716</v>
      </c>
      <c r="C2523" s="78" t="s">
        <v>1369</v>
      </c>
      <c r="D2523" s="79">
        <v>76000</v>
      </c>
    </row>
    <row r="2524" spans="1:4" ht="30">
      <c r="A2524" s="78" t="s">
        <v>4014</v>
      </c>
      <c r="B2524" s="78" t="s">
        <v>4717</v>
      </c>
      <c r="C2524" s="78" t="s">
        <v>4718</v>
      </c>
      <c r="D2524" s="78"/>
    </row>
    <row r="2525" spans="1:4" ht="45">
      <c r="A2525" s="78" t="s">
        <v>4014</v>
      </c>
      <c r="B2525" s="78" t="s">
        <v>4719</v>
      </c>
      <c r="C2525" s="78" t="s">
        <v>4720</v>
      </c>
      <c r="D2525" s="78"/>
    </row>
    <row r="2526" spans="1:4" ht="45">
      <c r="A2526" s="78" t="s">
        <v>4014</v>
      </c>
      <c r="B2526" s="78" t="s">
        <v>4721</v>
      </c>
      <c r="C2526" s="78" t="s">
        <v>1352</v>
      </c>
      <c r="D2526" s="78"/>
    </row>
    <row r="2527" spans="1:4" ht="30">
      <c r="A2527" s="78" t="s">
        <v>4014</v>
      </c>
      <c r="B2527" s="78" t="s">
        <v>4722</v>
      </c>
      <c r="C2527" s="78" t="s">
        <v>4723</v>
      </c>
      <c r="D2527" s="78"/>
    </row>
    <row r="2528" spans="1:4" ht="30">
      <c r="A2528" s="78" t="s">
        <v>4014</v>
      </c>
      <c r="B2528" s="78" t="s">
        <v>4724</v>
      </c>
      <c r="C2528" s="78" t="s">
        <v>4725</v>
      </c>
      <c r="D2528" s="78"/>
    </row>
    <row r="2529" spans="1:4" ht="45">
      <c r="A2529" s="78" t="s">
        <v>4014</v>
      </c>
      <c r="B2529" s="78" t="s">
        <v>4726</v>
      </c>
      <c r="C2529" s="78" t="s">
        <v>4727</v>
      </c>
      <c r="D2529" s="78"/>
    </row>
    <row r="2530" spans="1:4" ht="30">
      <c r="A2530" s="78" t="s">
        <v>4014</v>
      </c>
      <c r="B2530" s="78" t="s">
        <v>4728</v>
      </c>
      <c r="C2530" s="78" t="s">
        <v>4729</v>
      </c>
      <c r="D2530" s="78"/>
    </row>
    <row r="2531" spans="1:4" ht="45">
      <c r="A2531" s="78" t="s">
        <v>4014</v>
      </c>
      <c r="B2531" s="78" t="s">
        <v>4730</v>
      </c>
      <c r="C2531" s="78" t="s">
        <v>4600</v>
      </c>
      <c r="D2531" s="78"/>
    </row>
    <row r="2532" spans="1:4" ht="30">
      <c r="A2532" s="78" t="s">
        <v>4014</v>
      </c>
      <c r="B2532" s="78" t="s">
        <v>4731</v>
      </c>
      <c r="C2532" s="78" t="s">
        <v>4070</v>
      </c>
      <c r="D2532" s="78"/>
    </row>
    <row r="2533" spans="1:4" ht="60">
      <c r="A2533" s="78" t="s">
        <v>4014</v>
      </c>
      <c r="B2533" s="78" t="s">
        <v>4732</v>
      </c>
      <c r="C2533" s="78" t="s">
        <v>4733</v>
      </c>
      <c r="D2533" s="78"/>
    </row>
    <row r="2534" spans="1:4" ht="45">
      <c r="A2534" s="78" t="s">
        <v>4014</v>
      </c>
      <c r="B2534" s="78" t="s">
        <v>4734</v>
      </c>
      <c r="C2534" s="78" t="s">
        <v>4735</v>
      </c>
      <c r="D2534" s="78"/>
    </row>
    <row r="2535" spans="1:4" ht="45">
      <c r="A2535" s="78" t="s">
        <v>4014</v>
      </c>
      <c r="B2535" s="78" t="s">
        <v>4736</v>
      </c>
      <c r="C2535" s="78" t="s">
        <v>4737</v>
      </c>
      <c r="D2535" s="78"/>
    </row>
    <row r="2536" spans="1:4" ht="30">
      <c r="A2536" s="78" t="s">
        <v>4014</v>
      </c>
      <c r="B2536" s="78" t="s">
        <v>4736</v>
      </c>
      <c r="C2536" s="78" t="s">
        <v>4738</v>
      </c>
      <c r="D2536" s="79">
        <v>13000</v>
      </c>
    </row>
    <row r="2537" spans="1:4" ht="60">
      <c r="A2537" s="78" t="s">
        <v>4014</v>
      </c>
      <c r="B2537" s="78" t="s">
        <v>4739</v>
      </c>
      <c r="C2537" s="78" t="s">
        <v>4740</v>
      </c>
      <c r="D2537" s="79">
        <v>9000</v>
      </c>
    </row>
    <row r="2538" spans="1:4" ht="45">
      <c r="A2538" s="78" t="s">
        <v>4014</v>
      </c>
      <c r="B2538" s="78" t="s">
        <v>4741</v>
      </c>
      <c r="C2538" s="78" t="s">
        <v>4742</v>
      </c>
      <c r="D2538" s="78"/>
    </row>
    <row r="2539" spans="1:4" ht="45">
      <c r="A2539" s="78" t="s">
        <v>4014</v>
      </c>
      <c r="B2539" s="78" t="s">
        <v>4743</v>
      </c>
      <c r="C2539" s="78" t="s">
        <v>4429</v>
      </c>
      <c r="D2539" s="79">
        <v>35000</v>
      </c>
    </row>
    <row r="2540" spans="1:4" ht="45">
      <c r="A2540" s="78" t="s">
        <v>4014</v>
      </c>
      <c r="B2540" s="78" t="s">
        <v>4744</v>
      </c>
      <c r="C2540" s="78" t="s">
        <v>4745</v>
      </c>
      <c r="D2540" s="78"/>
    </row>
    <row r="2541" spans="1:4" ht="30">
      <c r="A2541" s="78" t="s">
        <v>4014</v>
      </c>
      <c r="B2541" s="78" t="s">
        <v>4746</v>
      </c>
      <c r="C2541" s="78" t="s">
        <v>4747</v>
      </c>
      <c r="D2541" s="79">
        <v>10000</v>
      </c>
    </row>
    <row r="2542" spans="1:4" ht="45">
      <c r="A2542" s="78" t="s">
        <v>4014</v>
      </c>
      <c r="B2542" s="78" t="s">
        <v>4748</v>
      </c>
      <c r="C2542" s="78" t="s">
        <v>4749</v>
      </c>
      <c r="D2542" s="78"/>
    </row>
    <row r="2543" spans="1:4" ht="30">
      <c r="A2543" s="78" t="s">
        <v>4750</v>
      </c>
      <c r="B2543" s="78" t="s">
        <v>4751</v>
      </c>
      <c r="C2543" s="78" t="s">
        <v>4752</v>
      </c>
      <c r="D2543" s="79">
        <v>4200</v>
      </c>
    </row>
    <row r="2544" spans="1:4" ht="45">
      <c r="A2544" s="78" t="s">
        <v>4753</v>
      </c>
      <c r="B2544" s="78" t="s">
        <v>4754</v>
      </c>
      <c r="C2544" s="78" t="s">
        <v>4755</v>
      </c>
      <c r="D2544" s="78"/>
    </row>
    <row r="2545" spans="1:5" ht="45">
      <c r="A2545" s="78" t="s">
        <v>4753</v>
      </c>
      <c r="B2545" s="78" t="s">
        <v>4756</v>
      </c>
      <c r="C2545" s="78" t="s">
        <v>4757</v>
      </c>
      <c r="D2545" s="78"/>
    </row>
    <row r="2546" spans="1:5" ht="45">
      <c r="A2546" s="78" t="s">
        <v>4753</v>
      </c>
      <c r="B2546" s="78" t="s">
        <v>4758</v>
      </c>
      <c r="C2546" s="78" t="s">
        <v>4759</v>
      </c>
      <c r="D2546" s="78"/>
    </row>
    <row r="2547" spans="1:5">
      <c r="A2547" s="78" t="s">
        <v>4753</v>
      </c>
      <c r="B2547" s="78" t="s">
        <v>4758</v>
      </c>
      <c r="C2547" s="78" t="s">
        <v>4760</v>
      </c>
      <c r="D2547" s="79">
        <v>35000</v>
      </c>
    </row>
    <row r="2548" spans="1:5" ht="30">
      <c r="A2548" s="78" t="s">
        <v>4753</v>
      </c>
      <c r="B2548" s="78" t="s">
        <v>4761</v>
      </c>
      <c r="C2548" s="78" t="s">
        <v>4762</v>
      </c>
      <c r="D2548" s="78"/>
    </row>
    <row r="2549" spans="1:5" ht="60">
      <c r="A2549" s="78" t="s">
        <v>4753</v>
      </c>
      <c r="B2549" s="78" t="s">
        <v>4763</v>
      </c>
      <c r="C2549" s="78" t="s">
        <v>4764</v>
      </c>
      <c r="D2549" s="78"/>
    </row>
    <row r="2550" spans="1:5" ht="30">
      <c r="A2550" s="78" t="s">
        <v>4753</v>
      </c>
      <c r="B2550" s="78" t="s">
        <v>3417</v>
      </c>
      <c r="C2550" s="78" t="s">
        <v>4765</v>
      </c>
      <c r="D2550" s="79">
        <v>70000</v>
      </c>
    </row>
    <row r="2551" spans="1:5" ht="30">
      <c r="A2551" s="78" t="s">
        <v>4753</v>
      </c>
      <c r="B2551" s="78" t="s">
        <v>4766</v>
      </c>
      <c r="C2551" s="78" t="s">
        <v>4767</v>
      </c>
      <c r="D2551" s="79">
        <v>55000</v>
      </c>
    </row>
    <row r="2552" spans="1:5" ht="45">
      <c r="A2552" s="78" t="s">
        <v>4753</v>
      </c>
      <c r="B2552" s="78" t="s">
        <v>4766</v>
      </c>
      <c r="C2552" s="78" t="s">
        <v>4768</v>
      </c>
      <c r="D2552" s="78"/>
    </row>
    <row r="2553" spans="1:5" ht="45">
      <c r="A2553" s="78" t="s">
        <v>4769</v>
      </c>
      <c r="B2553" s="78" t="s">
        <v>960</v>
      </c>
      <c r="C2553" s="78" t="s">
        <v>4770</v>
      </c>
      <c r="D2553" s="79">
        <v>40000</v>
      </c>
      <c r="E2553" s="78"/>
    </row>
    <row r="2554" spans="1:5" ht="45">
      <c r="A2554" s="78" t="s">
        <v>4769</v>
      </c>
      <c r="B2554" s="78" t="s">
        <v>960</v>
      </c>
      <c r="C2554" s="78" t="s">
        <v>4771</v>
      </c>
      <c r="D2554" s="79">
        <v>10000</v>
      </c>
    </row>
    <row r="2555" spans="1:5" ht="30">
      <c r="A2555" s="78" t="s">
        <v>4769</v>
      </c>
      <c r="B2555" s="78" t="s">
        <v>960</v>
      </c>
      <c r="C2555" s="78" t="s">
        <v>4772</v>
      </c>
      <c r="D2555" s="79">
        <v>35000</v>
      </c>
      <c r="E2555" s="78"/>
    </row>
    <row r="2556" spans="1:5" ht="30">
      <c r="A2556" s="78" t="s">
        <v>4769</v>
      </c>
      <c r="B2556" s="78" t="s">
        <v>4773</v>
      </c>
      <c r="C2556" s="78" t="s">
        <v>4774</v>
      </c>
      <c r="D2556" s="78"/>
    </row>
    <row r="2557" spans="1:5" ht="30">
      <c r="A2557" s="78" t="s">
        <v>4769</v>
      </c>
      <c r="B2557" s="78" t="s">
        <v>4773</v>
      </c>
      <c r="C2557" s="78" t="s">
        <v>4775</v>
      </c>
      <c r="D2557" s="79">
        <v>30000</v>
      </c>
      <c r="E2557" s="78"/>
    </row>
    <row r="2558" spans="1:5" ht="45">
      <c r="A2558" s="78" t="s">
        <v>4769</v>
      </c>
      <c r="B2558" s="78" t="s">
        <v>4776</v>
      </c>
      <c r="C2558" s="78" t="s">
        <v>4777</v>
      </c>
      <c r="D2558" s="79">
        <v>266000</v>
      </c>
      <c r="E2558" s="78"/>
    </row>
    <row r="2559" spans="1:5" ht="30">
      <c r="A2559" s="78" t="s">
        <v>4769</v>
      </c>
      <c r="B2559" s="78" t="s">
        <v>4776</v>
      </c>
      <c r="C2559" s="78" t="s">
        <v>4778</v>
      </c>
      <c r="D2559" s="79">
        <v>20000</v>
      </c>
      <c r="E2559" s="78"/>
    </row>
    <row r="2560" spans="1:5" ht="30">
      <c r="A2560" s="78" t="s">
        <v>4769</v>
      </c>
      <c r="B2560" s="78" t="s">
        <v>4776</v>
      </c>
      <c r="C2560" s="78" t="s">
        <v>4779</v>
      </c>
      <c r="D2560" s="79">
        <v>12000</v>
      </c>
    </row>
    <row r="2561" spans="1:5" ht="30">
      <c r="A2561" s="78" t="s">
        <v>4769</v>
      </c>
      <c r="B2561" s="78" t="s">
        <v>4776</v>
      </c>
      <c r="C2561" s="78" t="s">
        <v>4780</v>
      </c>
      <c r="D2561" s="79">
        <v>24000</v>
      </c>
    </row>
    <row r="2562" spans="1:5" ht="30">
      <c r="A2562" s="78" t="s">
        <v>4769</v>
      </c>
      <c r="B2562" s="78" t="s">
        <v>4776</v>
      </c>
      <c r="C2562" s="78" t="s">
        <v>4781</v>
      </c>
      <c r="D2562" s="79">
        <v>10000</v>
      </c>
    </row>
    <row r="2563" spans="1:5" ht="30">
      <c r="A2563" s="78" t="s">
        <v>4769</v>
      </c>
      <c r="B2563" s="78" t="s">
        <v>4782</v>
      </c>
      <c r="C2563" s="78" t="s">
        <v>4783</v>
      </c>
      <c r="D2563" s="78"/>
    </row>
    <row r="2564" spans="1:5" ht="30">
      <c r="A2564" s="78" t="s">
        <v>4769</v>
      </c>
      <c r="B2564" s="78" t="s">
        <v>4784</v>
      </c>
      <c r="C2564" s="78" t="s">
        <v>4780</v>
      </c>
      <c r="D2564" s="78"/>
    </row>
    <row r="2565" spans="1:5" ht="30">
      <c r="A2565" s="78" t="s">
        <v>4769</v>
      </c>
      <c r="B2565" s="78" t="s">
        <v>4784</v>
      </c>
      <c r="C2565" s="78" t="s">
        <v>4785</v>
      </c>
      <c r="D2565" s="79">
        <v>40000</v>
      </c>
    </row>
    <row r="2566" spans="1:5" ht="30">
      <c r="A2566" s="78" t="s">
        <v>4769</v>
      </c>
      <c r="B2566" s="78" t="s">
        <v>4786</v>
      </c>
      <c r="C2566" s="78" t="s">
        <v>4787</v>
      </c>
      <c r="D2566" s="78"/>
    </row>
    <row r="2567" spans="1:5" ht="30">
      <c r="A2567" s="78" t="s">
        <v>4769</v>
      </c>
      <c r="B2567" s="78" t="s">
        <v>4786</v>
      </c>
      <c r="C2567" s="78" t="s">
        <v>4788</v>
      </c>
      <c r="D2567" s="79">
        <v>8000</v>
      </c>
    </row>
    <row r="2568" spans="1:5" ht="30">
      <c r="A2568" s="78" t="s">
        <v>4769</v>
      </c>
      <c r="B2568" s="78" t="s">
        <v>4786</v>
      </c>
      <c r="C2568" s="78" t="s">
        <v>4789</v>
      </c>
      <c r="D2568" s="79">
        <v>18000</v>
      </c>
    </row>
    <row r="2569" spans="1:5" ht="30">
      <c r="A2569" s="78" t="s">
        <v>4769</v>
      </c>
      <c r="B2569" s="78" t="s">
        <v>4786</v>
      </c>
      <c r="C2569" s="78" t="s">
        <v>4790</v>
      </c>
      <c r="D2569" s="79">
        <v>1000</v>
      </c>
    </row>
    <row r="2570" spans="1:5" ht="30">
      <c r="A2570" s="78" t="s">
        <v>26</v>
      </c>
      <c r="B2570" s="78" t="s">
        <v>4822</v>
      </c>
      <c r="C2570" s="78" t="s">
        <v>1273</v>
      </c>
      <c r="D2570" s="79">
        <v>220000</v>
      </c>
      <c r="E2570" s="78" t="s">
        <v>285</v>
      </c>
    </row>
    <row r="2571" spans="1:5" ht="45">
      <c r="A2571" s="78" t="s">
        <v>26</v>
      </c>
      <c r="B2571" s="78" t="s">
        <v>4807</v>
      </c>
      <c r="C2571" s="78" t="s">
        <v>4808</v>
      </c>
      <c r="D2571" s="79">
        <v>25000</v>
      </c>
      <c r="E2571" s="78" t="s">
        <v>264</v>
      </c>
    </row>
    <row r="2572" spans="1:5" ht="30">
      <c r="A2572" s="78" t="s">
        <v>26</v>
      </c>
      <c r="B2572" s="78" t="s">
        <v>4791</v>
      </c>
      <c r="C2572" s="78" t="s">
        <v>4792</v>
      </c>
      <c r="D2572" s="79">
        <v>25000</v>
      </c>
      <c r="E2572" s="78" t="s">
        <v>279</v>
      </c>
    </row>
    <row r="2573" spans="1:5" ht="60">
      <c r="A2573" s="78" t="s">
        <v>26</v>
      </c>
      <c r="B2573" s="78" t="s">
        <v>4797</v>
      </c>
      <c r="C2573" s="78" t="s">
        <v>4798</v>
      </c>
      <c r="D2573" s="79">
        <v>100000</v>
      </c>
      <c r="E2573" s="78" t="s">
        <v>267</v>
      </c>
    </row>
    <row r="2574" spans="1:5" ht="45">
      <c r="A2574" s="78" t="s">
        <v>26</v>
      </c>
      <c r="B2574" s="78" t="s">
        <v>4828</v>
      </c>
      <c r="C2574" s="78" t="s">
        <v>4829</v>
      </c>
      <c r="D2574" s="79">
        <v>25000</v>
      </c>
      <c r="E2574" s="78" t="s">
        <v>267</v>
      </c>
    </row>
    <row r="2575" spans="1:5" ht="45">
      <c r="A2575" s="78" t="s">
        <v>26</v>
      </c>
      <c r="B2575" s="78" t="s">
        <v>4834</v>
      </c>
      <c r="C2575" s="78" t="s">
        <v>4835</v>
      </c>
      <c r="D2575" s="79">
        <v>25000</v>
      </c>
      <c r="E2575" s="78" t="s">
        <v>267</v>
      </c>
    </row>
    <row r="2576" spans="1:5" ht="30">
      <c r="A2576" s="78" t="s">
        <v>26</v>
      </c>
      <c r="B2576" s="78" t="s">
        <v>4847</v>
      </c>
      <c r="C2576" s="78" t="s">
        <v>4849</v>
      </c>
      <c r="D2576" s="79">
        <v>52000</v>
      </c>
      <c r="E2576" s="78" t="s">
        <v>267</v>
      </c>
    </row>
    <row r="2577" spans="1:5" ht="75">
      <c r="A2577" s="78" t="s">
        <v>26</v>
      </c>
      <c r="B2577" s="78" t="s">
        <v>4072</v>
      </c>
      <c r="C2577" s="78" t="s">
        <v>4795</v>
      </c>
      <c r="D2577" s="79">
        <v>30000</v>
      </c>
      <c r="E2577" s="78" t="s">
        <v>274</v>
      </c>
    </row>
    <row r="2578" spans="1:5">
      <c r="A2578" s="78" t="s">
        <v>26</v>
      </c>
      <c r="B2578" s="78" t="s">
        <v>4809</v>
      </c>
      <c r="C2578" s="78" t="s">
        <v>4810</v>
      </c>
      <c r="D2578" s="79">
        <v>50000</v>
      </c>
      <c r="E2578" s="78" t="s">
        <v>274</v>
      </c>
    </row>
    <row r="2579" spans="1:5" ht="45">
      <c r="A2579" s="78" t="s">
        <v>26</v>
      </c>
      <c r="B2579" s="78" t="s">
        <v>4809</v>
      </c>
      <c r="C2579" s="78" t="s">
        <v>4811</v>
      </c>
      <c r="D2579" s="79">
        <v>10000</v>
      </c>
      <c r="E2579" s="78" t="s">
        <v>274</v>
      </c>
    </row>
    <row r="2580" spans="1:5" ht="30">
      <c r="A2580" s="78" t="s">
        <v>26</v>
      </c>
      <c r="B2580" s="78" t="s">
        <v>4809</v>
      </c>
      <c r="C2580" s="78" t="s">
        <v>4812</v>
      </c>
      <c r="D2580" s="79">
        <v>25000</v>
      </c>
      <c r="E2580" s="78" t="s">
        <v>274</v>
      </c>
    </row>
    <row r="2581" spans="1:5" ht="45">
      <c r="A2581" s="78" t="s">
        <v>26</v>
      </c>
      <c r="B2581" s="78" t="s">
        <v>4836</v>
      </c>
      <c r="C2581" s="78" t="s">
        <v>1947</v>
      </c>
      <c r="D2581" s="79">
        <v>50000</v>
      </c>
      <c r="E2581" s="78" t="s">
        <v>255</v>
      </c>
    </row>
    <row r="2582" spans="1:5" ht="45">
      <c r="A2582" s="78" t="s">
        <v>26</v>
      </c>
      <c r="B2582" s="78" t="s">
        <v>4856</v>
      </c>
      <c r="C2582" s="78" t="s">
        <v>4857</v>
      </c>
      <c r="D2582" s="79">
        <v>63000</v>
      </c>
      <c r="E2582" s="78" t="s">
        <v>256</v>
      </c>
    </row>
    <row r="2583" spans="1:5">
      <c r="A2583" s="78" t="s">
        <v>26</v>
      </c>
      <c r="B2583" s="78" t="s">
        <v>4825</v>
      </c>
      <c r="C2583" s="78" t="s">
        <v>1323</v>
      </c>
      <c r="D2583" s="79">
        <v>20000</v>
      </c>
      <c r="E2583" s="78" t="s">
        <v>259</v>
      </c>
    </row>
    <row r="2584" spans="1:5" ht="45">
      <c r="A2584" s="78" t="s">
        <v>26</v>
      </c>
      <c r="B2584" s="78" t="s">
        <v>4793</v>
      </c>
      <c r="C2584" s="78" t="s">
        <v>4794</v>
      </c>
      <c r="D2584" s="79">
        <v>8000</v>
      </c>
    </row>
    <row r="2585" spans="1:5" ht="30">
      <c r="A2585" s="78" t="s">
        <v>26</v>
      </c>
      <c r="B2585" s="78" t="s">
        <v>4072</v>
      </c>
      <c r="C2585" s="78" t="s">
        <v>4796</v>
      </c>
      <c r="D2585" s="78"/>
    </row>
    <row r="2586" spans="1:5" ht="30">
      <c r="A2586" s="78" t="s">
        <v>26</v>
      </c>
      <c r="B2586" s="78" t="s">
        <v>4799</v>
      </c>
      <c r="C2586" s="78" t="s">
        <v>4800</v>
      </c>
      <c r="D2586" s="79">
        <v>14000</v>
      </c>
    </row>
    <row r="2587" spans="1:5" ht="30">
      <c r="A2587" s="78" t="s">
        <v>26</v>
      </c>
      <c r="B2587" s="78" t="s">
        <v>4801</v>
      </c>
      <c r="C2587" s="78" t="s">
        <v>4802</v>
      </c>
      <c r="D2587" s="79">
        <v>12000</v>
      </c>
    </row>
    <row r="2588" spans="1:5" ht="30">
      <c r="A2588" s="78" t="s">
        <v>26</v>
      </c>
      <c r="B2588" s="78" t="s">
        <v>4801</v>
      </c>
      <c r="C2588" s="78" t="s">
        <v>4803</v>
      </c>
      <c r="D2588" s="79">
        <v>7000</v>
      </c>
    </row>
    <row r="2589" spans="1:5" ht="45">
      <c r="A2589" s="78" t="s">
        <v>26</v>
      </c>
      <c r="B2589" s="78" t="s">
        <v>2545</v>
      </c>
      <c r="C2589" s="78" t="s">
        <v>4804</v>
      </c>
      <c r="D2589" s="78"/>
    </row>
    <row r="2590" spans="1:5" ht="30">
      <c r="A2590" s="78" t="s">
        <v>26</v>
      </c>
      <c r="B2590" s="78" t="s">
        <v>4805</v>
      </c>
      <c r="C2590" s="78" t="s">
        <v>4806</v>
      </c>
      <c r="D2590" s="79">
        <v>15000</v>
      </c>
    </row>
    <row r="2591" spans="1:5" ht="30">
      <c r="A2591" s="78" t="s">
        <v>26</v>
      </c>
      <c r="B2591" s="78" t="s">
        <v>4809</v>
      </c>
      <c r="C2591" s="78" t="s">
        <v>4813</v>
      </c>
      <c r="D2591" s="78"/>
    </row>
    <row r="2592" spans="1:5">
      <c r="A2592" s="78" t="s">
        <v>26</v>
      </c>
      <c r="B2592" s="78" t="s">
        <v>4814</v>
      </c>
      <c r="C2592" s="78" t="s">
        <v>1273</v>
      </c>
      <c r="D2592" s="78"/>
    </row>
    <row r="2593" spans="1:4">
      <c r="A2593" s="78" t="s">
        <v>26</v>
      </c>
      <c r="B2593" s="78" t="s">
        <v>4815</v>
      </c>
      <c r="C2593" s="78" t="s">
        <v>1374</v>
      </c>
      <c r="D2593" s="78"/>
    </row>
    <row r="2594" spans="1:4" ht="45">
      <c r="A2594" s="78" t="s">
        <v>26</v>
      </c>
      <c r="B2594" s="78" t="s">
        <v>4816</v>
      </c>
      <c r="C2594" s="78" t="s">
        <v>4817</v>
      </c>
      <c r="D2594" s="78"/>
    </row>
    <row r="2595" spans="1:4" ht="30">
      <c r="A2595" s="78" t="s">
        <v>26</v>
      </c>
      <c r="B2595" s="78" t="s">
        <v>4818</v>
      </c>
      <c r="C2595" s="78" t="s">
        <v>4819</v>
      </c>
      <c r="D2595" s="78"/>
    </row>
    <row r="2596" spans="1:4" ht="30">
      <c r="A2596" s="78" t="s">
        <v>26</v>
      </c>
      <c r="B2596" s="78" t="s">
        <v>4820</v>
      </c>
      <c r="C2596" s="78" t="s">
        <v>4821</v>
      </c>
      <c r="D2596" s="78"/>
    </row>
    <row r="2597" spans="1:4" ht="30">
      <c r="A2597" s="78" t="s">
        <v>26</v>
      </c>
      <c r="B2597" s="78" t="s">
        <v>4823</v>
      </c>
      <c r="C2597" s="78" t="s">
        <v>1068</v>
      </c>
      <c r="D2597" s="79">
        <v>3000</v>
      </c>
    </row>
    <row r="2598" spans="1:4" ht="30">
      <c r="A2598" s="78" t="s">
        <v>26</v>
      </c>
      <c r="B2598" s="78" t="s">
        <v>4823</v>
      </c>
      <c r="C2598" s="78" t="s">
        <v>4824</v>
      </c>
      <c r="D2598" s="78"/>
    </row>
    <row r="2599" spans="1:4" ht="30">
      <c r="A2599" s="78" t="s">
        <v>26</v>
      </c>
      <c r="B2599" s="78" t="s">
        <v>4430</v>
      </c>
      <c r="C2599" s="78" t="s">
        <v>4826</v>
      </c>
      <c r="D2599" s="79">
        <v>8500</v>
      </c>
    </row>
    <row r="2600" spans="1:4" ht="30">
      <c r="A2600" s="78" t="s">
        <v>26</v>
      </c>
      <c r="B2600" s="78" t="s">
        <v>716</v>
      </c>
      <c r="C2600" s="78" t="s">
        <v>4827</v>
      </c>
      <c r="D2600" s="79">
        <v>8000</v>
      </c>
    </row>
    <row r="2601" spans="1:4" ht="30">
      <c r="A2601" s="78" t="s">
        <v>26</v>
      </c>
      <c r="B2601" s="78" t="s">
        <v>4830</v>
      </c>
      <c r="C2601" s="78" t="s">
        <v>4831</v>
      </c>
      <c r="D2601" s="78"/>
    </row>
    <row r="2602" spans="1:4" ht="45">
      <c r="A2602" s="78" t="s">
        <v>26</v>
      </c>
      <c r="B2602" s="78" t="s">
        <v>4832</v>
      </c>
      <c r="C2602" s="78" t="s">
        <v>4833</v>
      </c>
      <c r="D2602" s="78"/>
    </row>
    <row r="2603" spans="1:4" ht="30">
      <c r="A2603" s="78" t="s">
        <v>26</v>
      </c>
      <c r="B2603" s="78" t="s">
        <v>4837</v>
      </c>
      <c r="C2603" s="78" t="s">
        <v>4838</v>
      </c>
      <c r="D2603" s="78"/>
    </row>
    <row r="2604" spans="1:4" ht="45">
      <c r="A2604" s="78" t="s">
        <v>26</v>
      </c>
      <c r="B2604" s="78" t="s">
        <v>4839</v>
      </c>
      <c r="C2604" s="78" t="s">
        <v>4840</v>
      </c>
      <c r="D2604" s="78"/>
    </row>
    <row r="2605" spans="1:4" ht="30">
      <c r="A2605" s="78" t="s">
        <v>26</v>
      </c>
      <c r="B2605" s="78" t="s">
        <v>4841</v>
      </c>
      <c r="C2605" s="78" t="s">
        <v>4792</v>
      </c>
      <c r="D2605" s="78"/>
    </row>
    <row r="2606" spans="1:4" ht="30">
      <c r="A2606" s="78" t="s">
        <v>26</v>
      </c>
      <c r="B2606" s="78" t="s">
        <v>4842</v>
      </c>
      <c r="C2606" s="78" t="s">
        <v>4843</v>
      </c>
      <c r="D2606" s="78"/>
    </row>
    <row r="2607" spans="1:4" ht="30">
      <c r="A2607" s="78" t="s">
        <v>26</v>
      </c>
      <c r="B2607" s="78" t="s">
        <v>4844</v>
      </c>
      <c r="C2607" s="78" t="s">
        <v>1073</v>
      </c>
      <c r="D2607" s="78"/>
    </row>
    <row r="2608" spans="1:4" ht="45">
      <c r="A2608" s="78" t="s">
        <v>26</v>
      </c>
      <c r="B2608" s="78" t="s">
        <v>4844</v>
      </c>
      <c r="C2608" s="78" t="s">
        <v>4845</v>
      </c>
      <c r="D2608" s="78"/>
    </row>
    <row r="2609" spans="1:4" ht="30">
      <c r="A2609" s="78" t="s">
        <v>26</v>
      </c>
      <c r="B2609" s="78" t="s">
        <v>1094</v>
      </c>
      <c r="C2609" s="78" t="s">
        <v>4846</v>
      </c>
      <c r="D2609" s="78"/>
    </row>
    <row r="2610" spans="1:4" ht="30">
      <c r="A2610" s="78" t="s">
        <v>26</v>
      </c>
      <c r="B2610" s="78" t="s">
        <v>4847</v>
      </c>
      <c r="C2610" s="78" t="s">
        <v>4848</v>
      </c>
      <c r="D2610" s="78"/>
    </row>
    <row r="2611" spans="1:4" ht="60">
      <c r="A2611" s="78" t="s">
        <v>26</v>
      </c>
      <c r="B2611" s="78" t="s">
        <v>4850</v>
      </c>
      <c r="C2611" s="78" t="s">
        <v>4851</v>
      </c>
      <c r="D2611" s="78"/>
    </row>
    <row r="2612" spans="1:4" ht="60">
      <c r="A2612" s="78" t="s">
        <v>26</v>
      </c>
      <c r="B2612" s="78" t="s">
        <v>4852</v>
      </c>
      <c r="C2612" s="78" t="s">
        <v>4853</v>
      </c>
      <c r="D2612" s="78"/>
    </row>
    <row r="2613" spans="1:4" ht="30">
      <c r="A2613" s="78" t="s">
        <v>26</v>
      </c>
      <c r="B2613" s="78" t="s">
        <v>4854</v>
      </c>
      <c r="C2613" s="78" t="s">
        <v>4855</v>
      </c>
      <c r="D2613" s="79">
        <v>6000</v>
      </c>
    </row>
    <row r="2614" spans="1:4" ht="30">
      <c r="A2614" s="78" t="s">
        <v>26</v>
      </c>
      <c r="B2614" s="78" t="s">
        <v>4741</v>
      </c>
      <c r="C2614" s="78" t="s">
        <v>4838</v>
      </c>
      <c r="D2614" s="78"/>
    </row>
    <row r="2615" spans="1:4" ht="60">
      <c r="A2615" s="78" t="s">
        <v>4858</v>
      </c>
      <c r="B2615" s="78" t="s">
        <v>4859</v>
      </c>
      <c r="C2615" s="78" t="s">
        <v>4860</v>
      </c>
      <c r="D2615" s="79">
        <v>10500</v>
      </c>
    </row>
    <row r="2616" spans="1:4" ht="30">
      <c r="A2616" s="78" t="s">
        <v>4858</v>
      </c>
      <c r="B2616" s="78" t="s">
        <v>4859</v>
      </c>
      <c r="C2616" s="78" t="s">
        <v>4861</v>
      </c>
      <c r="D2616" s="78"/>
    </row>
    <row r="2617" spans="1:4" ht="30">
      <c r="A2617" s="78" t="s">
        <v>4858</v>
      </c>
      <c r="B2617" s="78" t="s">
        <v>4859</v>
      </c>
      <c r="C2617" s="78" t="s">
        <v>4862</v>
      </c>
      <c r="D2617" s="78"/>
    </row>
    <row r="2618" spans="1:4" ht="30">
      <c r="A2618" s="78" t="s">
        <v>4858</v>
      </c>
      <c r="B2618" s="78" t="s">
        <v>4859</v>
      </c>
      <c r="C2618" s="78" t="s">
        <v>4863</v>
      </c>
      <c r="D2618" s="78"/>
    </row>
    <row r="2619" spans="1:4" ht="30">
      <c r="A2619" s="78" t="s">
        <v>4858</v>
      </c>
      <c r="B2619" s="78" t="s">
        <v>4859</v>
      </c>
      <c r="C2619" s="78" t="s">
        <v>4864</v>
      </c>
      <c r="D2619" s="79">
        <v>20000</v>
      </c>
    </row>
    <row r="2620" spans="1:4" ht="30">
      <c r="A2620" s="78" t="s">
        <v>4858</v>
      </c>
      <c r="B2620" s="78" t="s">
        <v>4859</v>
      </c>
      <c r="C2620" s="78" t="s">
        <v>4865</v>
      </c>
      <c r="D2620" s="79">
        <v>1000</v>
      </c>
    </row>
    <row r="2621" spans="1:4" ht="45">
      <c r="A2621" s="78" t="s">
        <v>4866</v>
      </c>
      <c r="B2621" s="78" t="s">
        <v>4867</v>
      </c>
      <c r="C2621" s="78" t="s">
        <v>4868</v>
      </c>
      <c r="D2621" s="79">
        <v>53700</v>
      </c>
    </row>
    <row r="2622" spans="1:4" ht="45">
      <c r="A2622" s="78" t="s">
        <v>4869</v>
      </c>
      <c r="B2622" s="78" t="s">
        <v>4870</v>
      </c>
      <c r="C2622" s="78" t="s">
        <v>4871</v>
      </c>
      <c r="D2622" s="78"/>
    </row>
    <row r="2623" spans="1:4" ht="45">
      <c r="A2623" s="78" t="s">
        <v>4869</v>
      </c>
      <c r="B2623" s="78" t="s">
        <v>4872</v>
      </c>
      <c r="C2623" s="78" t="s">
        <v>4873</v>
      </c>
      <c r="D2623" s="78"/>
    </row>
    <row r="2624" spans="1:4" ht="30">
      <c r="A2624" s="78" t="s">
        <v>4869</v>
      </c>
      <c r="B2624" s="78" t="s">
        <v>4874</v>
      </c>
      <c r="C2624" s="78" t="s">
        <v>4875</v>
      </c>
      <c r="D2624" s="79">
        <v>30000</v>
      </c>
    </row>
    <row r="2625" spans="1:4" ht="60">
      <c r="A2625" s="78" t="s">
        <v>4869</v>
      </c>
      <c r="B2625" s="78" t="s">
        <v>4876</v>
      </c>
      <c r="C2625" s="78" t="s">
        <v>4877</v>
      </c>
      <c r="D2625" s="79">
        <v>2500</v>
      </c>
    </row>
    <row r="2626" spans="1:4" ht="45">
      <c r="A2626" s="78" t="s">
        <v>4869</v>
      </c>
      <c r="B2626" s="78" t="s">
        <v>4876</v>
      </c>
      <c r="C2626" s="78" t="s">
        <v>4878</v>
      </c>
      <c r="D2626" s="78"/>
    </row>
    <row r="2627" spans="1:4" ht="30">
      <c r="A2627" s="78" t="s">
        <v>4869</v>
      </c>
      <c r="B2627" s="78" t="s">
        <v>4879</v>
      </c>
      <c r="C2627" s="78" t="s">
        <v>4880</v>
      </c>
      <c r="D2627" s="79">
        <v>21600</v>
      </c>
    </row>
    <row r="2628" spans="1:4" ht="45">
      <c r="A2628" s="78" t="s">
        <v>4869</v>
      </c>
      <c r="B2628" s="78" t="s">
        <v>4881</v>
      </c>
      <c r="C2628" s="78" t="s">
        <v>4882</v>
      </c>
      <c r="D2628" s="78"/>
    </row>
    <row r="2629" spans="1:4" ht="30">
      <c r="A2629" s="78" t="s">
        <v>4869</v>
      </c>
      <c r="B2629" s="78" t="s">
        <v>4883</v>
      </c>
      <c r="C2629" s="78" t="s">
        <v>4884</v>
      </c>
      <c r="D2629" s="78"/>
    </row>
    <row r="2630" spans="1:4" ht="30">
      <c r="A2630" s="78" t="s">
        <v>4869</v>
      </c>
      <c r="B2630" s="78" t="s">
        <v>4885</v>
      </c>
      <c r="C2630" s="78" t="s">
        <v>4886</v>
      </c>
      <c r="D2630" s="79">
        <v>6000</v>
      </c>
    </row>
    <row r="2631" spans="1:4" ht="45">
      <c r="A2631" s="78" t="s">
        <v>4869</v>
      </c>
      <c r="B2631" s="78" t="s">
        <v>4887</v>
      </c>
      <c r="C2631" s="78" t="s">
        <v>4888</v>
      </c>
      <c r="D2631" s="78"/>
    </row>
    <row r="2632" spans="1:4" ht="30">
      <c r="A2632" s="78" t="s">
        <v>4869</v>
      </c>
      <c r="B2632" s="78" t="s">
        <v>4889</v>
      </c>
      <c r="C2632" s="78" t="s">
        <v>4890</v>
      </c>
      <c r="D2632" s="79">
        <v>5000</v>
      </c>
    </row>
    <row r="2633" spans="1:4" ht="45">
      <c r="A2633" s="78" t="s">
        <v>4869</v>
      </c>
      <c r="B2633" s="78" t="s">
        <v>4891</v>
      </c>
      <c r="C2633" s="78" t="s">
        <v>4884</v>
      </c>
      <c r="D2633" s="78"/>
    </row>
    <row r="2634" spans="1:4" ht="30">
      <c r="A2634" s="78" t="s">
        <v>4869</v>
      </c>
      <c r="B2634" s="78" t="s">
        <v>4892</v>
      </c>
      <c r="C2634" s="78" t="s">
        <v>4893</v>
      </c>
      <c r="D2634" s="78"/>
    </row>
    <row r="2635" spans="1:4" ht="30">
      <c r="A2635" s="78" t="s">
        <v>4869</v>
      </c>
      <c r="B2635" s="78" t="s">
        <v>4894</v>
      </c>
      <c r="C2635" s="78" t="s">
        <v>4895</v>
      </c>
      <c r="D2635" s="79">
        <v>6000</v>
      </c>
    </row>
    <row r="2636" spans="1:4" ht="30">
      <c r="A2636" s="78" t="s">
        <v>4869</v>
      </c>
      <c r="B2636" s="78" t="s">
        <v>4896</v>
      </c>
      <c r="C2636" s="78" t="s">
        <v>4897</v>
      </c>
      <c r="D2636" s="78"/>
    </row>
    <row r="2637" spans="1:4" ht="30">
      <c r="A2637" s="78" t="s">
        <v>4869</v>
      </c>
      <c r="B2637" s="78" t="s">
        <v>4898</v>
      </c>
      <c r="C2637" s="78" t="s">
        <v>4899</v>
      </c>
      <c r="D2637" s="79">
        <v>38000</v>
      </c>
    </row>
    <row r="2638" spans="1:4" ht="30">
      <c r="A2638" s="78" t="s">
        <v>4869</v>
      </c>
      <c r="B2638" s="78" t="s">
        <v>4898</v>
      </c>
      <c r="C2638" s="78" t="s">
        <v>4900</v>
      </c>
      <c r="D2638" s="78"/>
    </row>
    <row r="2639" spans="1:4" ht="30">
      <c r="A2639" s="78" t="s">
        <v>4869</v>
      </c>
      <c r="B2639" s="78" t="s">
        <v>4901</v>
      </c>
      <c r="C2639" s="78" t="s">
        <v>4902</v>
      </c>
      <c r="D2639" s="78"/>
    </row>
    <row r="2640" spans="1:4" ht="30">
      <c r="A2640" s="78" t="s">
        <v>4869</v>
      </c>
      <c r="B2640" s="78" t="s">
        <v>3709</v>
      </c>
      <c r="C2640" s="78" t="s">
        <v>2137</v>
      </c>
      <c r="D2640" s="79">
        <v>13000</v>
      </c>
    </row>
    <row r="2641" spans="1:4" ht="30">
      <c r="A2641" s="78" t="s">
        <v>4903</v>
      </c>
      <c r="B2641" s="78" t="s">
        <v>4904</v>
      </c>
      <c r="C2641" s="78" t="s">
        <v>4905</v>
      </c>
      <c r="D2641" s="78"/>
    </row>
    <row r="2642" spans="1:4">
      <c r="A2642" s="78" t="s">
        <v>4903</v>
      </c>
      <c r="B2642" s="78" t="s">
        <v>4906</v>
      </c>
      <c r="C2642" s="78" t="s">
        <v>4907</v>
      </c>
      <c r="D2642" s="78"/>
    </row>
    <row r="2643" spans="1:4" ht="60">
      <c r="A2643" s="78" t="s">
        <v>4903</v>
      </c>
      <c r="B2643" s="78" t="s">
        <v>4906</v>
      </c>
      <c r="C2643" s="78" t="s">
        <v>4908</v>
      </c>
      <c r="D2643" s="78"/>
    </row>
    <row r="2644" spans="1:4" ht="60">
      <c r="A2644" s="78" t="s">
        <v>4903</v>
      </c>
      <c r="B2644" s="78" t="s">
        <v>4909</v>
      </c>
      <c r="C2644" s="78" t="s">
        <v>4910</v>
      </c>
      <c r="D2644" s="79">
        <v>7000</v>
      </c>
    </row>
    <row r="2645" spans="1:4" ht="60">
      <c r="A2645" s="78" t="s">
        <v>4903</v>
      </c>
      <c r="B2645" s="78"/>
      <c r="C2645" s="78" t="s">
        <v>4911</v>
      </c>
      <c r="D2645" s="79">
        <v>29000</v>
      </c>
    </row>
    <row r="2646" spans="1:4">
      <c r="A2646" s="78" t="s">
        <v>4912</v>
      </c>
      <c r="B2646" s="78" t="s">
        <v>4913</v>
      </c>
      <c r="C2646" s="78" t="s">
        <v>4914</v>
      </c>
      <c r="D2646" s="78"/>
    </row>
    <row r="2647" spans="1:4" ht="30">
      <c r="A2647" s="78" t="s">
        <v>4912</v>
      </c>
      <c r="B2647" s="78" t="s">
        <v>4915</v>
      </c>
      <c r="C2647" s="78" t="s">
        <v>4916</v>
      </c>
      <c r="D2647" s="78">
        <v>82</v>
      </c>
    </row>
    <row r="2648" spans="1:4" ht="45">
      <c r="A2648" s="78" t="s">
        <v>4917</v>
      </c>
      <c r="B2648" s="78" t="s">
        <v>4918</v>
      </c>
      <c r="C2648" s="78" t="s">
        <v>4919</v>
      </c>
      <c r="D2648" s="79">
        <v>2000</v>
      </c>
    </row>
    <row r="2649" spans="1:4" ht="30">
      <c r="A2649" s="78" t="s">
        <v>4917</v>
      </c>
      <c r="B2649" s="78" t="s">
        <v>4918</v>
      </c>
      <c r="C2649" s="78" t="s">
        <v>4920</v>
      </c>
      <c r="D2649" s="7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5"/>
  <sheetViews>
    <sheetView topLeftCell="A260" zoomScale="70" zoomScaleNormal="70" workbookViewId="0">
      <selection activeCell="C293" sqref="C293:C296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18.625" style="3" customWidth="1"/>
    <col min="5" max="5" width="29.875" style="3" bestFit="1" customWidth="1"/>
    <col min="6" max="6" width="26.125" style="3" customWidth="1"/>
    <col min="7" max="7" width="14.375" style="8" customWidth="1"/>
    <col min="8" max="8" width="24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1">
      <c r="A1" s="22" t="s">
        <v>0</v>
      </c>
      <c r="B1" s="22" t="s">
        <v>657</v>
      </c>
      <c r="C1" s="22" t="s">
        <v>1</v>
      </c>
      <c r="D1" s="22" t="s">
        <v>2</v>
      </c>
      <c r="E1" s="22" t="s">
        <v>658</v>
      </c>
      <c r="F1" s="22" t="s">
        <v>900</v>
      </c>
      <c r="G1" s="23" t="s">
        <v>901</v>
      </c>
      <c r="H1" s="1"/>
      <c r="I1" s="1"/>
      <c r="J1" s="1"/>
    </row>
    <row r="2" spans="1:11" ht="29.25">
      <c r="A2" s="108" t="s">
        <v>3</v>
      </c>
      <c r="B2" s="3" t="s">
        <v>37</v>
      </c>
      <c r="C2" s="29" t="s">
        <v>36</v>
      </c>
      <c r="D2" s="15"/>
      <c r="E2" s="16" t="s">
        <v>621</v>
      </c>
      <c r="K2" s="14"/>
    </row>
    <row r="3" spans="1:11">
      <c r="A3" s="108"/>
      <c r="B3" s="3" t="s">
        <v>38</v>
      </c>
      <c r="C3" s="29" t="s">
        <v>46</v>
      </c>
      <c r="D3" s="15"/>
      <c r="E3" s="16" t="s">
        <v>316</v>
      </c>
      <c r="H3" s="14"/>
      <c r="I3" s="17"/>
      <c r="K3" s="14"/>
    </row>
    <row r="4" spans="1:11">
      <c r="A4" s="108"/>
      <c r="B4" s="3" t="s">
        <v>39</v>
      </c>
      <c r="C4" s="29" t="s">
        <v>40</v>
      </c>
      <c r="D4" s="15" t="s">
        <v>806</v>
      </c>
      <c r="E4" s="16" t="s">
        <v>317</v>
      </c>
      <c r="F4" s="3">
        <v>1200</v>
      </c>
      <c r="G4" s="8">
        <f>F4/SUM($F$4:$F$9)</f>
        <v>0.47058823529411764</v>
      </c>
      <c r="K4" s="14"/>
    </row>
    <row r="5" spans="1:11">
      <c r="A5" s="108"/>
      <c r="B5" s="3" t="s">
        <v>40</v>
      </c>
      <c r="C5" s="29" t="s">
        <v>44</v>
      </c>
      <c r="D5" s="15"/>
      <c r="E5" s="16" t="s">
        <v>318</v>
      </c>
      <c r="K5" s="14"/>
    </row>
    <row r="6" spans="1:11">
      <c r="A6" s="108"/>
      <c r="B6" s="3" t="s">
        <v>41</v>
      </c>
      <c r="C6" s="29" t="s">
        <v>45</v>
      </c>
      <c r="D6" s="15"/>
      <c r="E6" s="16" t="s">
        <v>319</v>
      </c>
      <c r="K6" s="14"/>
    </row>
    <row r="7" spans="1:11">
      <c r="A7" s="108"/>
      <c r="B7" s="3" t="s">
        <v>42</v>
      </c>
      <c r="C7" s="29" t="s">
        <v>37</v>
      </c>
      <c r="D7" s="15"/>
      <c r="E7" s="16" t="s">
        <v>320</v>
      </c>
      <c r="K7" s="14"/>
    </row>
    <row r="8" spans="1:11">
      <c r="A8" s="108"/>
      <c r="B8" s="3" t="s">
        <v>43</v>
      </c>
      <c r="C8" s="29" t="s">
        <v>43</v>
      </c>
      <c r="D8" s="15"/>
      <c r="E8" s="16" t="s">
        <v>321</v>
      </c>
      <c r="K8" s="14"/>
    </row>
    <row r="9" spans="1:11" ht="29.25">
      <c r="A9" s="108"/>
      <c r="B9" s="3" t="s">
        <v>44</v>
      </c>
      <c r="C9" s="29" t="s">
        <v>42</v>
      </c>
      <c r="D9" s="15" t="s">
        <v>805</v>
      </c>
      <c r="E9" s="16" t="s">
        <v>322</v>
      </c>
      <c r="F9" s="3">
        <f>350+1000</f>
        <v>1350</v>
      </c>
      <c r="G9" s="8">
        <f t="shared" ref="G9" si="0">F9/SUM($F$4:$F$9)</f>
        <v>0.52941176470588236</v>
      </c>
      <c r="K9" s="14"/>
    </row>
    <row r="10" spans="1:11">
      <c r="A10" s="108"/>
      <c r="B10" s="3" t="s">
        <v>45</v>
      </c>
      <c r="C10" s="29" t="s">
        <v>41</v>
      </c>
      <c r="D10" s="15"/>
      <c r="E10" s="16" t="s">
        <v>323</v>
      </c>
      <c r="K10" s="14"/>
    </row>
    <row r="11" spans="1:11">
      <c r="A11" s="108"/>
      <c r="B11" s="3" t="s">
        <v>36</v>
      </c>
      <c r="C11" s="29" t="s">
        <v>39</v>
      </c>
      <c r="D11" s="15"/>
      <c r="E11" s="16" t="s">
        <v>324</v>
      </c>
      <c r="K11" s="14"/>
    </row>
    <row r="12" spans="1:11">
      <c r="A12" s="108"/>
      <c r="B12" s="3" t="s">
        <v>46</v>
      </c>
      <c r="C12" s="29" t="s">
        <v>38</v>
      </c>
      <c r="D12" s="15"/>
      <c r="E12" s="16" t="s">
        <v>325</v>
      </c>
      <c r="K12" s="14"/>
    </row>
    <row r="13" spans="1:11">
      <c r="A13" s="108" t="s">
        <v>4</v>
      </c>
      <c r="B13" s="3" t="s">
        <v>47</v>
      </c>
      <c r="C13" s="29" t="s">
        <v>47</v>
      </c>
      <c r="D13" s="15"/>
      <c r="E13" s="16" t="s">
        <v>326</v>
      </c>
      <c r="G13" s="8">
        <f xml:space="preserve"> 1/ROWS(C13:C18)</f>
        <v>0.16666666666666666</v>
      </c>
      <c r="H13" s="73" t="s">
        <v>950</v>
      </c>
      <c r="K13" s="14"/>
    </row>
    <row r="14" spans="1:11">
      <c r="A14" s="108"/>
      <c r="B14" s="3" t="s">
        <v>48</v>
      </c>
      <c r="C14" s="29" t="s">
        <v>49</v>
      </c>
      <c r="D14" s="15"/>
      <c r="E14" s="16" t="s">
        <v>327</v>
      </c>
      <c r="G14" s="8">
        <f t="shared" ref="G14:G18" si="1" xml:space="preserve"> 1/ROWS(C14:C19)</f>
        <v>0.16666666666666666</v>
      </c>
      <c r="H14" s="73" t="s">
        <v>950</v>
      </c>
      <c r="K14" s="14"/>
    </row>
    <row r="15" spans="1:11">
      <c r="A15" s="108"/>
      <c r="B15" s="3" t="s">
        <v>49</v>
      </c>
      <c r="C15" s="29" t="s">
        <v>50</v>
      </c>
      <c r="D15" s="15"/>
      <c r="E15" s="16" t="s">
        <v>328</v>
      </c>
      <c r="G15" s="8">
        <f t="shared" si="1"/>
        <v>0.16666666666666666</v>
      </c>
      <c r="H15" s="73" t="s">
        <v>950</v>
      </c>
      <c r="K15" s="14"/>
    </row>
    <row r="16" spans="1:11">
      <c r="A16" s="108"/>
      <c r="B16" s="3" t="s">
        <v>50</v>
      </c>
      <c r="C16" s="29" t="s">
        <v>51</v>
      </c>
      <c r="D16" s="15"/>
      <c r="E16" s="16" t="s">
        <v>329</v>
      </c>
      <c r="G16" s="8">
        <f t="shared" si="1"/>
        <v>0.16666666666666666</v>
      </c>
      <c r="H16" s="73" t="s">
        <v>950</v>
      </c>
      <c r="K16" s="14"/>
    </row>
    <row r="17" spans="1:11">
      <c r="A17" s="108"/>
      <c r="B17" s="3" t="s">
        <v>51</v>
      </c>
      <c r="C17" s="29" t="s">
        <v>52</v>
      </c>
      <c r="D17" s="15"/>
      <c r="E17" s="16" t="s">
        <v>330</v>
      </c>
      <c r="G17" s="8">
        <f t="shared" si="1"/>
        <v>0.16666666666666666</v>
      </c>
      <c r="H17" s="73" t="s">
        <v>950</v>
      </c>
      <c r="K17" s="14"/>
    </row>
    <row r="18" spans="1:11">
      <c r="A18" s="108"/>
      <c r="B18" s="3" t="s">
        <v>52</v>
      </c>
      <c r="C18" s="29" t="s">
        <v>48</v>
      </c>
      <c r="D18" s="15"/>
      <c r="E18" s="16" t="s">
        <v>331</v>
      </c>
      <c r="G18" s="8">
        <f t="shared" si="1"/>
        <v>0.16666666666666666</v>
      </c>
      <c r="H18" s="73" t="s">
        <v>950</v>
      </c>
      <c r="K18" s="14"/>
    </row>
    <row r="19" spans="1:11">
      <c r="A19" s="108" t="s">
        <v>5</v>
      </c>
      <c r="B19" s="3" t="s">
        <v>53</v>
      </c>
      <c r="C19" s="29" t="s">
        <v>54</v>
      </c>
      <c r="D19" s="15"/>
      <c r="E19" s="16" t="s">
        <v>332</v>
      </c>
      <c r="G19" s="8">
        <f xml:space="preserve"> 1/ROWS(C19:C26)</f>
        <v>0.125</v>
      </c>
      <c r="H19" s="73" t="s">
        <v>950</v>
      </c>
      <c r="K19" s="14"/>
    </row>
    <row r="20" spans="1:11">
      <c r="A20" s="108"/>
      <c r="B20" s="3" t="s">
        <v>54</v>
      </c>
      <c r="C20" s="29" t="s">
        <v>53</v>
      </c>
      <c r="D20" s="15"/>
      <c r="E20" s="16" t="s">
        <v>333</v>
      </c>
      <c r="G20" s="8">
        <f t="shared" ref="G20:G26" si="2" xml:space="preserve"> 1/ROWS(C20:C27)</f>
        <v>0.125</v>
      </c>
      <c r="H20" s="73" t="s">
        <v>950</v>
      </c>
      <c r="K20" s="14"/>
    </row>
    <row r="21" spans="1:11">
      <c r="A21" s="108"/>
      <c r="B21" s="3" t="s">
        <v>55</v>
      </c>
      <c r="C21" s="29" t="s">
        <v>60</v>
      </c>
      <c r="D21" s="15"/>
      <c r="E21" s="16" t="s">
        <v>334</v>
      </c>
      <c r="G21" s="8">
        <f t="shared" si="2"/>
        <v>0.125</v>
      </c>
      <c r="H21" s="73" t="s">
        <v>950</v>
      </c>
      <c r="K21" s="14"/>
    </row>
    <row r="22" spans="1:11">
      <c r="A22" s="108"/>
      <c r="B22" s="3" t="s">
        <v>56</v>
      </c>
      <c r="C22" s="29" t="s">
        <v>58</v>
      </c>
      <c r="D22" s="18"/>
      <c r="E22" s="16" t="s">
        <v>335</v>
      </c>
      <c r="G22" s="8">
        <f t="shared" si="2"/>
        <v>0.125</v>
      </c>
      <c r="H22" s="73" t="s">
        <v>950</v>
      </c>
      <c r="K22" s="14"/>
    </row>
    <row r="23" spans="1:11">
      <c r="A23" s="108"/>
      <c r="B23" s="3" t="s">
        <v>57</v>
      </c>
      <c r="C23" s="29" t="s">
        <v>57</v>
      </c>
      <c r="D23" s="15"/>
      <c r="E23" s="16" t="s">
        <v>336</v>
      </c>
      <c r="G23" s="8">
        <f t="shared" si="2"/>
        <v>0.125</v>
      </c>
      <c r="H23" s="73" t="s">
        <v>950</v>
      </c>
      <c r="K23" s="14"/>
    </row>
    <row r="24" spans="1:11">
      <c r="A24" s="108"/>
      <c r="B24" s="3" t="s">
        <v>58</v>
      </c>
      <c r="C24" s="29" t="s">
        <v>59</v>
      </c>
      <c r="D24" s="15"/>
      <c r="E24" s="16" t="s">
        <v>337</v>
      </c>
      <c r="G24" s="8">
        <f t="shared" si="2"/>
        <v>0.125</v>
      </c>
      <c r="H24" s="73" t="s">
        <v>950</v>
      </c>
      <c r="K24" s="14"/>
    </row>
    <row r="25" spans="1:11">
      <c r="A25" s="108"/>
      <c r="B25" s="3" t="s">
        <v>59</v>
      </c>
      <c r="C25" s="29" t="s">
        <v>55</v>
      </c>
      <c r="D25" s="15"/>
      <c r="E25" s="16" t="s">
        <v>338</v>
      </c>
      <c r="G25" s="8">
        <f t="shared" si="2"/>
        <v>0.125</v>
      </c>
      <c r="H25" s="73" t="s">
        <v>950</v>
      </c>
      <c r="K25" s="14"/>
    </row>
    <row r="26" spans="1:11">
      <c r="A26" s="108"/>
      <c r="B26" s="3" t="s">
        <v>60</v>
      </c>
      <c r="C26" s="29" t="s">
        <v>56</v>
      </c>
      <c r="D26" s="15"/>
      <c r="E26" s="16" t="s">
        <v>339</v>
      </c>
      <c r="G26" s="8">
        <f t="shared" si="2"/>
        <v>0.125</v>
      </c>
      <c r="H26" s="73" t="s">
        <v>950</v>
      </c>
      <c r="K26" s="14"/>
    </row>
    <row r="27" spans="1:11">
      <c r="A27" s="108" t="s">
        <v>6</v>
      </c>
      <c r="B27" s="3" t="s">
        <v>61</v>
      </c>
      <c r="C27" s="29" t="s">
        <v>64</v>
      </c>
      <c r="D27" s="15"/>
      <c r="E27" s="16" t="s">
        <v>340</v>
      </c>
      <c r="G27" s="8">
        <f xml:space="preserve"> 1/ROWS(C27:C31)</f>
        <v>0.2</v>
      </c>
      <c r="H27" s="73" t="s">
        <v>950</v>
      </c>
      <c r="K27" s="14"/>
    </row>
    <row r="28" spans="1:11">
      <c r="A28" s="108"/>
      <c r="B28" s="3" t="s">
        <v>62</v>
      </c>
      <c r="C28" s="29" t="s">
        <v>61</v>
      </c>
      <c r="D28" s="15"/>
      <c r="E28" s="16" t="s">
        <v>341</v>
      </c>
      <c r="G28" s="8">
        <f t="shared" ref="G28:G31" si="3" xml:space="preserve"> 1/ROWS(C28:C32)</f>
        <v>0.2</v>
      </c>
      <c r="H28" s="73" t="s">
        <v>950</v>
      </c>
      <c r="K28" s="14"/>
    </row>
    <row r="29" spans="1:11">
      <c r="A29" s="108"/>
      <c r="B29" s="3" t="s">
        <v>63</v>
      </c>
      <c r="C29" s="29" t="s">
        <v>63</v>
      </c>
      <c r="D29" s="15"/>
      <c r="E29" s="16" t="s">
        <v>342</v>
      </c>
      <c r="G29" s="8">
        <f t="shared" si="3"/>
        <v>0.2</v>
      </c>
      <c r="H29" s="73" t="s">
        <v>950</v>
      </c>
      <c r="K29" s="14"/>
    </row>
    <row r="30" spans="1:11">
      <c r="A30" s="108"/>
      <c r="B30" s="3" t="s">
        <v>64</v>
      </c>
      <c r="C30" s="29" t="s">
        <v>65</v>
      </c>
      <c r="D30" s="15"/>
      <c r="E30" s="16" t="s">
        <v>343</v>
      </c>
      <c r="G30" s="8">
        <f t="shared" si="3"/>
        <v>0.2</v>
      </c>
      <c r="H30" s="73" t="s">
        <v>950</v>
      </c>
      <c r="K30" s="14"/>
    </row>
    <row r="31" spans="1:11">
      <c r="A31" s="108"/>
      <c r="B31" s="3" t="s">
        <v>65</v>
      </c>
      <c r="C31" s="29" t="s">
        <v>62</v>
      </c>
      <c r="D31" s="15"/>
      <c r="E31" s="16" t="s">
        <v>344</v>
      </c>
      <c r="G31" s="8">
        <f t="shared" si="3"/>
        <v>0.2</v>
      </c>
      <c r="H31" s="73" t="s">
        <v>950</v>
      </c>
      <c r="K31" s="14"/>
    </row>
    <row r="32" spans="1:11">
      <c r="A32" s="108" t="s">
        <v>7</v>
      </c>
      <c r="B32" s="3" t="s">
        <v>66</v>
      </c>
      <c r="C32" s="29" t="s">
        <v>101</v>
      </c>
      <c r="D32" s="15"/>
      <c r="E32" s="16" t="s">
        <v>345</v>
      </c>
      <c r="K32" s="14"/>
    </row>
    <row r="33" spans="1:11">
      <c r="A33" s="108"/>
      <c r="B33" s="3" t="s">
        <v>67</v>
      </c>
      <c r="C33" s="29" t="s">
        <v>102</v>
      </c>
      <c r="D33" s="15"/>
      <c r="E33" s="16" t="s">
        <v>346</v>
      </c>
      <c r="K33" s="14"/>
    </row>
    <row r="34" spans="1:11">
      <c r="A34" s="108"/>
      <c r="B34" s="3" t="s">
        <v>68</v>
      </c>
      <c r="C34" s="29" t="s">
        <v>103</v>
      </c>
      <c r="D34" s="15"/>
      <c r="E34" s="16" t="s">
        <v>347</v>
      </c>
      <c r="K34" s="14"/>
    </row>
    <row r="35" spans="1:11">
      <c r="A35" s="108"/>
      <c r="B35" s="3" t="s">
        <v>69</v>
      </c>
      <c r="C35" s="29" t="s">
        <v>100</v>
      </c>
      <c r="D35" s="15"/>
      <c r="E35" s="16" t="s">
        <v>348</v>
      </c>
      <c r="K35" s="14"/>
    </row>
    <row r="36" spans="1:11">
      <c r="A36" s="108"/>
      <c r="B36" s="3" t="s">
        <v>70</v>
      </c>
      <c r="C36" s="29" t="s">
        <v>97</v>
      </c>
      <c r="D36" s="31"/>
      <c r="E36" s="16" t="s">
        <v>349</v>
      </c>
      <c r="K36" s="14"/>
    </row>
    <row r="37" spans="1:11">
      <c r="A37" s="108"/>
      <c r="B37" s="3" t="s">
        <v>71</v>
      </c>
      <c r="C37" s="29" t="s">
        <v>98</v>
      </c>
      <c r="D37" s="15"/>
      <c r="E37" s="16" t="s">
        <v>350</v>
      </c>
      <c r="K37" s="14"/>
    </row>
    <row r="38" spans="1:11">
      <c r="A38" s="108"/>
      <c r="B38" s="3" t="s">
        <v>72</v>
      </c>
      <c r="C38" s="29" t="s">
        <v>95</v>
      </c>
      <c r="D38" s="15"/>
      <c r="E38" s="16" t="s">
        <v>351</v>
      </c>
      <c r="K38" s="14"/>
    </row>
    <row r="39" spans="1:11">
      <c r="A39" s="108"/>
      <c r="B39" s="3" t="s">
        <v>73</v>
      </c>
      <c r="C39" s="29" t="s">
        <v>96</v>
      </c>
      <c r="D39" s="15"/>
      <c r="E39" s="16" t="s">
        <v>352</v>
      </c>
      <c r="K39" s="14"/>
    </row>
    <row r="40" spans="1:11">
      <c r="A40" s="108"/>
      <c r="B40" s="3" t="s">
        <v>74</v>
      </c>
      <c r="C40" s="29" t="s">
        <v>99</v>
      </c>
      <c r="D40" s="15"/>
      <c r="E40" s="16" t="s">
        <v>353</v>
      </c>
      <c r="K40" s="14"/>
    </row>
    <row r="41" spans="1:11">
      <c r="A41" s="108"/>
      <c r="B41" s="3" t="s">
        <v>75</v>
      </c>
      <c r="C41" s="29" t="s">
        <v>93</v>
      </c>
      <c r="D41" s="15"/>
      <c r="E41" s="16" t="s">
        <v>354</v>
      </c>
      <c r="K41" s="14"/>
    </row>
    <row r="42" spans="1:11">
      <c r="A42" s="108"/>
      <c r="B42" s="3" t="s">
        <v>76</v>
      </c>
      <c r="C42" s="29" t="s">
        <v>94</v>
      </c>
      <c r="D42" s="15"/>
      <c r="E42" s="16" t="s">
        <v>355</v>
      </c>
      <c r="K42" s="14"/>
    </row>
    <row r="43" spans="1:11">
      <c r="A43" s="108"/>
      <c r="B43" s="3" t="s">
        <v>77</v>
      </c>
      <c r="C43" s="29" t="s">
        <v>92</v>
      </c>
      <c r="D43" s="15"/>
      <c r="E43" s="16" t="s">
        <v>356</v>
      </c>
      <c r="K43" s="14"/>
    </row>
    <row r="44" spans="1:11">
      <c r="A44" s="108"/>
      <c r="B44" s="3" t="s">
        <v>78</v>
      </c>
      <c r="C44" s="29" t="s">
        <v>91</v>
      </c>
      <c r="D44" s="15"/>
      <c r="E44" s="16" t="s">
        <v>357</v>
      </c>
      <c r="K44" s="14"/>
    </row>
    <row r="45" spans="1:11">
      <c r="A45" s="108"/>
      <c r="B45" s="3" t="s">
        <v>79</v>
      </c>
      <c r="C45" s="29" t="s">
        <v>90</v>
      </c>
      <c r="D45" s="15"/>
      <c r="E45" s="16" t="s">
        <v>358</v>
      </c>
      <c r="K45" s="14"/>
    </row>
    <row r="46" spans="1:11">
      <c r="A46" s="108"/>
      <c r="B46" s="3" t="s">
        <v>80</v>
      </c>
      <c r="C46" s="29" t="s">
        <v>89</v>
      </c>
      <c r="D46" s="15"/>
      <c r="E46" s="16" t="s">
        <v>359</v>
      </c>
      <c r="K46" s="14"/>
    </row>
    <row r="47" spans="1:11">
      <c r="A47" s="108"/>
      <c r="B47" s="3" t="s">
        <v>81</v>
      </c>
      <c r="C47" s="29" t="s">
        <v>88</v>
      </c>
      <c r="D47" s="15"/>
      <c r="E47" s="16" t="s">
        <v>360</v>
      </c>
      <c r="K47" s="14"/>
    </row>
    <row r="48" spans="1:11">
      <c r="A48" s="108"/>
      <c r="B48" s="3" t="s">
        <v>82</v>
      </c>
      <c r="C48" s="29" t="s">
        <v>87</v>
      </c>
      <c r="D48" s="15" t="s">
        <v>813</v>
      </c>
      <c r="E48" s="16" t="s">
        <v>361</v>
      </c>
      <c r="F48" s="3">
        <v>400</v>
      </c>
      <c r="G48" s="8">
        <f>F48/SUM($F$48:$F$64)</f>
        <v>0.18867924528301888</v>
      </c>
      <c r="K48" s="14"/>
    </row>
    <row r="49" spans="1:11">
      <c r="A49" s="108"/>
      <c r="B49" s="3" t="s">
        <v>83</v>
      </c>
      <c r="C49" s="29" t="s">
        <v>86</v>
      </c>
      <c r="D49" s="15"/>
      <c r="E49" s="16" t="s">
        <v>362</v>
      </c>
      <c r="K49" s="14"/>
    </row>
    <row r="50" spans="1:11">
      <c r="A50" s="108"/>
      <c r="B50" s="3" t="s">
        <v>84</v>
      </c>
      <c r="C50" s="29" t="s">
        <v>85</v>
      </c>
      <c r="D50" s="15"/>
      <c r="E50" s="16" t="s">
        <v>363</v>
      </c>
      <c r="K50" s="14"/>
    </row>
    <row r="51" spans="1:11">
      <c r="A51" s="108"/>
      <c r="B51" s="3" t="s">
        <v>85</v>
      </c>
      <c r="C51" s="29" t="s">
        <v>84</v>
      </c>
      <c r="D51" s="15"/>
      <c r="E51" s="16" t="s">
        <v>364</v>
      </c>
      <c r="K51" s="14"/>
    </row>
    <row r="52" spans="1:11">
      <c r="A52" s="108"/>
      <c r="B52" s="3" t="s">
        <v>86</v>
      </c>
      <c r="C52" s="29" t="s">
        <v>83</v>
      </c>
      <c r="D52" s="15"/>
      <c r="E52" s="16" t="s">
        <v>365</v>
      </c>
      <c r="K52" s="14"/>
    </row>
    <row r="53" spans="1:11">
      <c r="A53" s="108"/>
      <c r="B53" s="3" t="s">
        <v>87</v>
      </c>
      <c r="C53" s="29" t="s">
        <v>82</v>
      </c>
      <c r="D53" s="15"/>
      <c r="E53" s="16" t="s">
        <v>366</v>
      </c>
      <c r="K53" s="14"/>
    </row>
    <row r="54" spans="1:11">
      <c r="A54" s="108"/>
      <c r="B54" s="3" t="s">
        <v>88</v>
      </c>
      <c r="C54" s="29" t="s">
        <v>81</v>
      </c>
      <c r="D54" s="15"/>
      <c r="E54" s="16" t="s">
        <v>367</v>
      </c>
      <c r="K54" s="14"/>
    </row>
    <row r="55" spans="1:11">
      <c r="A55" s="108"/>
      <c r="B55" s="3" t="s">
        <v>89</v>
      </c>
      <c r="C55" s="29" t="s">
        <v>78</v>
      </c>
      <c r="D55" s="32"/>
      <c r="E55" s="16" t="s">
        <v>368</v>
      </c>
      <c r="K55" s="14"/>
    </row>
    <row r="56" spans="1:11">
      <c r="A56" s="108"/>
      <c r="B56" s="3" t="s">
        <v>90</v>
      </c>
      <c r="C56" s="29" t="s">
        <v>77</v>
      </c>
      <c r="D56" s="31"/>
      <c r="E56" s="16" t="s">
        <v>369</v>
      </c>
      <c r="K56" s="14"/>
    </row>
    <row r="57" spans="1:11">
      <c r="A57" s="108"/>
      <c r="B57" s="3" t="s">
        <v>91</v>
      </c>
      <c r="C57" s="29" t="s">
        <v>76</v>
      </c>
      <c r="D57" s="15"/>
      <c r="E57" s="16" t="s">
        <v>370</v>
      </c>
      <c r="K57" s="14"/>
    </row>
    <row r="58" spans="1:11">
      <c r="A58" s="108"/>
      <c r="B58" s="3" t="s">
        <v>92</v>
      </c>
      <c r="C58" s="29" t="s">
        <v>79</v>
      </c>
      <c r="D58" s="15"/>
      <c r="E58" s="16" t="s">
        <v>371</v>
      </c>
      <c r="K58" s="14"/>
    </row>
    <row r="59" spans="1:11" ht="29.25">
      <c r="A59" s="108"/>
      <c r="B59" s="3" t="s">
        <v>93</v>
      </c>
      <c r="C59" s="29" t="s">
        <v>80</v>
      </c>
      <c r="D59" s="15" t="s">
        <v>814</v>
      </c>
      <c r="E59" s="16" t="s">
        <v>372</v>
      </c>
      <c r="F59" s="3">
        <f>600+150+480</f>
        <v>1230</v>
      </c>
      <c r="G59" s="8">
        <f t="shared" ref="G59:G64" si="4">F59/SUM($F$48:$F$64)</f>
        <v>0.58018867924528306</v>
      </c>
      <c r="K59" s="14"/>
    </row>
    <row r="60" spans="1:11">
      <c r="A60" s="108"/>
      <c r="B60" s="3" t="s">
        <v>94</v>
      </c>
      <c r="C60" s="29" t="s">
        <v>75</v>
      </c>
      <c r="D60" s="15"/>
      <c r="E60" s="16" t="s">
        <v>373</v>
      </c>
      <c r="K60" s="14"/>
    </row>
    <row r="61" spans="1:11">
      <c r="A61" s="108"/>
      <c r="B61" s="3" t="s">
        <v>95</v>
      </c>
      <c r="C61" s="29" t="s">
        <v>73</v>
      </c>
      <c r="D61" s="15"/>
      <c r="E61" s="16" t="s">
        <v>374</v>
      </c>
      <c r="K61" s="14"/>
    </row>
    <row r="62" spans="1:11">
      <c r="A62" s="108"/>
      <c r="B62" s="3" t="s">
        <v>96</v>
      </c>
      <c r="C62" s="29" t="s">
        <v>74</v>
      </c>
      <c r="D62" s="32"/>
      <c r="E62" s="16" t="s">
        <v>375</v>
      </c>
      <c r="K62" s="14"/>
    </row>
    <row r="63" spans="1:11">
      <c r="A63" s="108"/>
      <c r="B63" s="3" t="s">
        <v>97</v>
      </c>
      <c r="C63" s="29" t="s">
        <v>72</v>
      </c>
      <c r="D63" s="15" t="s">
        <v>812</v>
      </c>
      <c r="E63" s="16" t="s">
        <v>376</v>
      </c>
      <c r="F63" s="3">
        <v>300</v>
      </c>
      <c r="G63" s="8">
        <f t="shared" si="4"/>
        <v>0.14150943396226415</v>
      </c>
      <c r="K63" s="14"/>
    </row>
    <row r="64" spans="1:11" ht="29.25">
      <c r="A64" s="108"/>
      <c r="B64" s="3" t="s">
        <v>98</v>
      </c>
      <c r="C64" s="29" t="s">
        <v>69</v>
      </c>
      <c r="D64" s="15" t="s">
        <v>811</v>
      </c>
      <c r="E64" s="16" t="s">
        <v>377</v>
      </c>
      <c r="F64" s="3">
        <f>90+100</f>
        <v>190</v>
      </c>
      <c r="G64" s="8">
        <f t="shared" si="4"/>
        <v>8.9622641509433956E-2</v>
      </c>
      <c r="K64" s="14"/>
    </row>
    <row r="65" spans="1:11">
      <c r="A65" s="108"/>
      <c r="B65" s="3" t="s">
        <v>99</v>
      </c>
      <c r="C65" s="29" t="s">
        <v>70</v>
      </c>
      <c r="D65" s="15"/>
      <c r="E65" s="16" t="s">
        <v>378</v>
      </c>
      <c r="K65" s="14"/>
    </row>
    <row r="66" spans="1:11">
      <c r="A66" s="108"/>
      <c r="B66" s="3" t="s">
        <v>100</v>
      </c>
      <c r="C66" s="29" t="s">
        <v>68</v>
      </c>
      <c r="D66" s="32"/>
      <c r="E66" s="16" t="s">
        <v>379</v>
      </c>
      <c r="K66" s="14"/>
    </row>
    <row r="67" spans="1:11">
      <c r="A67" s="108"/>
      <c r="B67" s="3" t="s">
        <v>101</v>
      </c>
      <c r="C67" s="29" t="s">
        <v>71</v>
      </c>
      <c r="D67" s="15"/>
      <c r="E67" s="16" t="s">
        <v>380</v>
      </c>
      <c r="K67" s="14"/>
    </row>
    <row r="68" spans="1:11">
      <c r="A68" s="108"/>
      <c r="B68" s="3" t="s">
        <v>102</v>
      </c>
      <c r="C68" s="29" t="s">
        <v>67</v>
      </c>
      <c r="D68" s="32"/>
      <c r="E68" s="16" t="s">
        <v>381</v>
      </c>
      <c r="K68" s="14"/>
    </row>
    <row r="69" spans="1:11">
      <c r="A69" s="108"/>
      <c r="B69" s="3" t="s">
        <v>103</v>
      </c>
      <c r="C69" s="29" t="s">
        <v>66</v>
      </c>
      <c r="D69" s="15"/>
      <c r="E69" s="16" t="s">
        <v>382</v>
      </c>
      <c r="K69" s="14"/>
    </row>
    <row r="70" spans="1:11">
      <c r="A70" s="24" t="s">
        <v>622</v>
      </c>
      <c r="B70" s="3" t="s">
        <v>383</v>
      </c>
      <c r="C70" s="29" t="s">
        <v>383</v>
      </c>
      <c r="D70" s="15"/>
      <c r="E70" s="16" t="s">
        <v>384</v>
      </c>
      <c r="K70" s="14"/>
    </row>
    <row r="71" spans="1:11">
      <c r="A71" s="108" t="s">
        <v>8</v>
      </c>
      <c r="B71" s="3" t="s">
        <v>104</v>
      </c>
      <c r="C71" s="29" t="s">
        <v>106</v>
      </c>
      <c r="D71" s="15"/>
      <c r="E71" s="16" t="s">
        <v>385</v>
      </c>
      <c r="K71" s="14"/>
    </row>
    <row r="72" spans="1:11">
      <c r="A72" s="108"/>
      <c r="B72" s="3" t="s">
        <v>105</v>
      </c>
      <c r="C72" s="29" t="s">
        <v>105</v>
      </c>
      <c r="D72" s="15"/>
      <c r="E72" s="16" t="s">
        <v>386</v>
      </c>
      <c r="K72" s="14"/>
    </row>
    <row r="73" spans="1:11">
      <c r="A73" s="108"/>
      <c r="B73" s="3" t="s">
        <v>106</v>
      </c>
      <c r="C73" s="29" t="s">
        <v>104</v>
      </c>
      <c r="D73" s="15"/>
      <c r="E73" s="16" t="s">
        <v>387</v>
      </c>
      <c r="K73" s="14"/>
    </row>
    <row r="74" spans="1:11">
      <c r="A74" s="108" t="s">
        <v>9</v>
      </c>
      <c r="B74" s="3" t="s">
        <v>107</v>
      </c>
      <c r="C74" s="29" t="s">
        <v>114</v>
      </c>
      <c r="D74" s="15"/>
      <c r="E74" s="16" t="s">
        <v>388</v>
      </c>
      <c r="K74" s="14"/>
    </row>
    <row r="75" spans="1:11">
      <c r="A75" s="108"/>
      <c r="B75" s="3" t="s">
        <v>108</v>
      </c>
      <c r="C75" s="29" t="s">
        <v>389</v>
      </c>
      <c r="D75" s="15"/>
      <c r="E75" s="16" t="s">
        <v>390</v>
      </c>
      <c r="K75" s="14"/>
    </row>
    <row r="76" spans="1:11">
      <c r="A76" s="108"/>
      <c r="B76" s="3" t="s">
        <v>109</v>
      </c>
      <c r="C76" s="29" t="s">
        <v>391</v>
      </c>
      <c r="D76" s="15"/>
      <c r="E76" s="16" t="s">
        <v>392</v>
      </c>
    </row>
    <row r="77" spans="1:11">
      <c r="A77" s="108"/>
      <c r="B77" s="3" t="s">
        <v>110</v>
      </c>
      <c r="C77" s="29" t="s">
        <v>393</v>
      </c>
      <c r="D77" s="15"/>
      <c r="E77" s="16" t="s">
        <v>394</v>
      </c>
    </row>
    <row r="78" spans="1:11">
      <c r="A78" s="108"/>
      <c r="B78" s="3" t="s">
        <v>111</v>
      </c>
      <c r="C78" s="29" t="s">
        <v>115</v>
      </c>
      <c r="D78" s="15"/>
      <c r="E78" s="16" t="s">
        <v>395</v>
      </c>
    </row>
    <row r="79" spans="1:11">
      <c r="A79" s="108"/>
      <c r="B79" s="3" t="s">
        <v>112</v>
      </c>
      <c r="C79" s="29" t="s">
        <v>110</v>
      </c>
      <c r="D79" s="15"/>
      <c r="E79" s="16" t="s">
        <v>396</v>
      </c>
    </row>
    <row r="80" spans="1:11">
      <c r="A80" s="108"/>
      <c r="B80" s="3" t="s">
        <v>113</v>
      </c>
      <c r="C80" s="29" t="s">
        <v>112</v>
      </c>
      <c r="D80" s="15"/>
      <c r="E80" s="16" t="s">
        <v>397</v>
      </c>
    </row>
    <row r="81" spans="1:7">
      <c r="A81" s="108"/>
      <c r="B81" s="3" t="s">
        <v>114</v>
      </c>
      <c r="C81" s="29" t="s">
        <v>111</v>
      </c>
      <c r="D81" s="15"/>
      <c r="E81" s="16" t="s">
        <v>398</v>
      </c>
    </row>
    <row r="82" spans="1:7">
      <c r="A82" s="108"/>
      <c r="B82" s="3" t="s">
        <v>115</v>
      </c>
      <c r="C82" s="29" t="s">
        <v>107</v>
      </c>
      <c r="D82" s="15"/>
      <c r="E82" s="16" t="s">
        <v>399</v>
      </c>
    </row>
    <row r="83" spans="1:7">
      <c r="A83" s="108"/>
      <c r="C83" s="29" t="s">
        <v>400</v>
      </c>
      <c r="D83" s="15"/>
      <c r="E83" s="16" t="s">
        <v>401</v>
      </c>
    </row>
    <row r="84" spans="1:7">
      <c r="A84" s="108"/>
      <c r="C84" s="29" t="s">
        <v>113</v>
      </c>
      <c r="D84" s="15"/>
      <c r="E84" s="16" t="s">
        <v>402</v>
      </c>
    </row>
    <row r="85" spans="1:7">
      <c r="A85" s="108"/>
      <c r="C85" s="29" t="s">
        <v>108</v>
      </c>
      <c r="D85" s="15"/>
      <c r="E85" s="16" t="s">
        <v>403</v>
      </c>
    </row>
    <row r="86" spans="1:7">
      <c r="A86" s="108"/>
      <c r="C86" s="29" t="s">
        <v>109</v>
      </c>
      <c r="D86" s="15"/>
      <c r="E86" s="16" t="s">
        <v>404</v>
      </c>
    </row>
    <row r="87" spans="1:7">
      <c r="A87" s="108" t="s">
        <v>10</v>
      </c>
      <c r="B87" s="3" t="s">
        <v>116</v>
      </c>
      <c r="C87" s="29" t="s">
        <v>120</v>
      </c>
      <c r="D87" s="15"/>
      <c r="E87" s="16" t="s">
        <v>405</v>
      </c>
    </row>
    <row r="88" spans="1:7">
      <c r="A88" s="108"/>
      <c r="B88" s="3" t="s">
        <v>117</v>
      </c>
      <c r="C88" s="29" t="s">
        <v>117</v>
      </c>
      <c r="D88" s="15"/>
      <c r="E88" s="16" t="s">
        <v>406</v>
      </c>
    </row>
    <row r="89" spans="1:7">
      <c r="A89" s="108"/>
      <c r="B89" s="3" t="s">
        <v>118</v>
      </c>
      <c r="C89" s="29" t="s">
        <v>128</v>
      </c>
      <c r="D89" s="15" t="s">
        <v>825</v>
      </c>
      <c r="E89" s="16" t="s">
        <v>407</v>
      </c>
      <c r="F89" s="3">
        <v>240</v>
      </c>
      <c r="G89" s="8">
        <f t="shared" ref="G89:G90" si="5">F89/SUM($F$89:$F$101)</f>
        <v>9.7560975609756101E-2</v>
      </c>
    </row>
    <row r="90" spans="1:7" ht="43.5">
      <c r="A90" s="108"/>
      <c r="B90" s="3" t="s">
        <v>119</v>
      </c>
      <c r="C90" s="29" t="s">
        <v>118</v>
      </c>
      <c r="D90" s="15" t="s">
        <v>823</v>
      </c>
      <c r="E90" s="16" t="s">
        <v>408</v>
      </c>
      <c r="F90" s="3">
        <f>150+740+130</f>
        <v>1020</v>
      </c>
      <c r="G90" s="8">
        <f t="shared" si="5"/>
        <v>0.41463414634146339</v>
      </c>
    </row>
    <row r="91" spans="1:7">
      <c r="A91" s="108"/>
      <c r="B91" s="3" t="s">
        <v>120</v>
      </c>
      <c r="C91" s="29" t="s">
        <v>123</v>
      </c>
      <c r="D91" s="15"/>
      <c r="E91" s="16" t="s">
        <v>409</v>
      </c>
    </row>
    <row r="92" spans="1:7">
      <c r="A92" s="108"/>
      <c r="B92" s="3" t="s">
        <v>121</v>
      </c>
      <c r="C92" s="29" t="s">
        <v>119</v>
      </c>
      <c r="D92" s="15"/>
      <c r="E92" s="16" t="s">
        <v>410</v>
      </c>
    </row>
    <row r="93" spans="1:7">
      <c r="A93" s="108"/>
      <c r="B93" s="3" t="s">
        <v>122</v>
      </c>
      <c r="C93" s="29" t="s">
        <v>129</v>
      </c>
      <c r="D93" s="15"/>
      <c r="E93" s="16" t="s">
        <v>411</v>
      </c>
    </row>
    <row r="94" spans="1:7">
      <c r="A94" s="108"/>
      <c r="B94" s="3" t="s">
        <v>123</v>
      </c>
      <c r="C94" s="29" t="s">
        <v>124</v>
      </c>
      <c r="D94" s="15"/>
      <c r="E94" s="16" t="s">
        <v>412</v>
      </c>
    </row>
    <row r="95" spans="1:7">
      <c r="A95" s="108"/>
      <c r="B95" s="3" t="s">
        <v>124</v>
      </c>
      <c r="C95" s="29" t="s">
        <v>126</v>
      </c>
      <c r="D95" s="15"/>
      <c r="E95" s="16" t="s">
        <v>413</v>
      </c>
    </row>
    <row r="96" spans="1:7">
      <c r="A96" s="108"/>
      <c r="B96" s="3" t="s">
        <v>125</v>
      </c>
      <c r="C96" s="29" t="s">
        <v>127</v>
      </c>
      <c r="D96" s="15"/>
      <c r="E96" s="16" t="s">
        <v>414</v>
      </c>
    </row>
    <row r="97" spans="1:7">
      <c r="A97" s="108"/>
      <c r="B97" s="3" t="s">
        <v>126</v>
      </c>
      <c r="C97" s="29" t="s">
        <v>121</v>
      </c>
      <c r="D97" s="15"/>
      <c r="E97" s="16" t="s">
        <v>415</v>
      </c>
    </row>
    <row r="98" spans="1:7">
      <c r="A98" s="108"/>
      <c r="B98" s="3" t="s">
        <v>127</v>
      </c>
      <c r="C98" s="29" t="s">
        <v>125</v>
      </c>
      <c r="D98" s="15"/>
      <c r="E98" s="16" t="s">
        <v>416</v>
      </c>
    </row>
    <row r="99" spans="1:7">
      <c r="A99" s="108"/>
      <c r="B99" s="3" t="s">
        <v>128</v>
      </c>
      <c r="C99" s="29" t="s">
        <v>122</v>
      </c>
      <c r="D99" s="15"/>
      <c r="E99" s="16" t="s">
        <v>417</v>
      </c>
    </row>
    <row r="100" spans="1:7">
      <c r="A100" s="108"/>
      <c r="B100" s="3" t="s">
        <v>129</v>
      </c>
      <c r="C100" s="29" t="s">
        <v>418</v>
      </c>
      <c r="D100" s="15"/>
      <c r="E100" s="16" t="s">
        <v>419</v>
      </c>
    </row>
    <row r="101" spans="1:7">
      <c r="A101" s="108"/>
      <c r="B101" s="3" t="s">
        <v>130</v>
      </c>
      <c r="C101" s="29" t="s">
        <v>130</v>
      </c>
      <c r="D101" s="15" t="s">
        <v>824</v>
      </c>
      <c r="E101" s="16" t="s">
        <v>420</v>
      </c>
      <c r="F101" s="3">
        <v>1200</v>
      </c>
      <c r="G101" s="8">
        <f>F101/SUM($F$89:$F$101)</f>
        <v>0.48780487804878048</v>
      </c>
    </row>
    <row r="102" spans="1:7">
      <c r="A102" s="108"/>
      <c r="C102" s="29" t="s">
        <v>116</v>
      </c>
      <c r="D102" s="15"/>
      <c r="E102" s="16" t="s">
        <v>421</v>
      </c>
    </row>
    <row r="103" spans="1:7">
      <c r="A103" s="108"/>
      <c r="C103" s="29" t="s">
        <v>422</v>
      </c>
      <c r="D103" s="15"/>
      <c r="E103" s="16" t="s">
        <v>423</v>
      </c>
    </row>
    <row r="104" spans="1:7">
      <c r="A104" s="108"/>
      <c r="C104" s="29" t="s">
        <v>424</v>
      </c>
      <c r="D104" s="15"/>
      <c r="E104" s="16" t="s">
        <v>425</v>
      </c>
    </row>
    <row r="105" spans="1:7">
      <c r="A105" s="108"/>
      <c r="C105" s="29" t="s">
        <v>426</v>
      </c>
      <c r="D105" s="15"/>
      <c r="E105" s="16" t="s">
        <v>427</v>
      </c>
    </row>
    <row r="106" spans="1:7">
      <c r="A106" s="108" t="s">
        <v>11</v>
      </c>
      <c r="B106" s="3" t="s">
        <v>131</v>
      </c>
      <c r="C106" s="29" t="s">
        <v>132</v>
      </c>
      <c r="D106" s="15"/>
      <c r="E106" s="16" t="s">
        <v>428</v>
      </c>
    </row>
    <row r="107" spans="1:7">
      <c r="A107" s="108"/>
      <c r="B107" s="3" t="s">
        <v>132</v>
      </c>
      <c r="C107" s="29" t="s">
        <v>143</v>
      </c>
      <c r="D107" s="15"/>
      <c r="E107" s="16" t="s">
        <v>429</v>
      </c>
    </row>
    <row r="108" spans="1:7" ht="29.25">
      <c r="A108" s="108"/>
      <c r="B108" s="3" t="s">
        <v>133</v>
      </c>
      <c r="C108" s="29" t="s">
        <v>141</v>
      </c>
      <c r="D108" s="15" t="s">
        <v>809</v>
      </c>
      <c r="E108" s="16" t="s">
        <v>430</v>
      </c>
      <c r="F108" s="3">
        <f>150+250</f>
        <v>400</v>
      </c>
      <c r="G108" s="8">
        <f>F108/SUM($F$108:$F$125)</f>
        <v>0.53333333333333333</v>
      </c>
    </row>
    <row r="109" spans="1:7">
      <c r="A109" s="108"/>
      <c r="B109" s="3" t="s">
        <v>134</v>
      </c>
      <c r="C109" s="29" t="s">
        <v>138</v>
      </c>
      <c r="D109" s="15"/>
      <c r="E109" s="16" t="s">
        <v>431</v>
      </c>
    </row>
    <row r="110" spans="1:7">
      <c r="A110" s="108"/>
      <c r="B110" s="3" t="s">
        <v>135</v>
      </c>
      <c r="C110" s="30" t="s">
        <v>145</v>
      </c>
      <c r="D110" s="16"/>
      <c r="E110" s="19" t="s">
        <v>432</v>
      </c>
    </row>
    <row r="111" spans="1:7">
      <c r="A111" s="108"/>
      <c r="B111" s="3" t="s">
        <v>136</v>
      </c>
      <c r="C111" s="30" t="s">
        <v>137</v>
      </c>
      <c r="D111" s="31"/>
      <c r="E111" s="19" t="s">
        <v>433</v>
      </c>
    </row>
    <row r="112" spans="1:7">
      <c r="A112" s="108"/>
      <c r="B112" s="3" t="s">
        <v>137</v>
      </c>
      <c r="C112" s="29" t="s">
        <v>134</v>
      </c>
      <c r="D112" s="32"/>
      <c r="E112" s="16" t="s">
        <v>434</v>
      </c>
    </row>
    <row r="113" spans="1:7">
      <c r="A113" s="108"/>
      <c r="B113" s="3" t="s">
        <v>138</v>
      </c>
      <c r="C113" s="29" t="s">
        <v>151</v>
      </c>
      <c r="D113" s="15"/>
      <c r="E113" s="16" t="s">
        <v>435</v>
      </c>
    </row>
    <row r="114" spans="1:7">
      <c r="A114" s="108"/>
      <c r="B114" s="3" t="s">
        <v>139</v>
      </c>
      <c r="C114" s="29" t="s">
        <v>133</v>
      </c>
      <c r="D114" s="15"/>
      <c r="E114" s="16" t="s">
        <v>436</v>
      </c>
    </row>
    <row r="115" spans="1:7">
      <c r="A115" s="108"/>
      <c r="B115" s="3" t="s">
        <v>140</v>
      </c>
      <c r="C115" s="29" t="s">
        <v>148</v>
      </c>
      <c r="D115" s="15"/>
      <c r="E115" s="16" t="s">
        <v>437</v>
      </c>
    </row>
    <row r="116" spans="1:7">
      <c r="A116" s="108"/>
      <c r="B116" s="3" t="s">
        <v>141</v>
      </c>
      <c r="C116" s="29" t="s">
        <v>135</v>
      </c>
      <c r="D116" s="15"/>
      <c r="E116" s="16" t="s">
        <v>438</v>
      </c>
    </row>
    <row r="117" spans="1:7">
      <c r="A117" s="108"/>
      <c r="B117" s="3" t="s">
        <v>142</v>
      </c>
      <c r="C117" s="29" t="s">
        <v>136</v>
      </c>
      <c r="D117" s="15"/>
      <c r="E117" s="16" t="s">
        <v>439</v>
      </c>
    </row>
    <row r="118" spans="1:7">
      <c r="A118" s="108"/>
      <c r="B118" s="3" t="s">
        <v>143</v>
      </c>
      <c r="C118" s="29" t="s">
        <v>140</v>
      </c>
      <c r="D118" s="15"/>
      <c r="E118" s="16" t="s">
        <v>440</v>
      </c>
    </row>
    <row r="119" spans="1:7">
      <c r="A119" s="108"/>
      <c r="B119" s="3" t="s">
        <v>144</v>
      </c>
      <c r="C119" s="29" t="s">
        <v>139</v>
      </c>
      <c r="D119" s="15"/>
      <c r="E119" s="16" t="s">
        <v>441</v>
      </c>
    </row>
    <row r="120" spans="1:7">
      <c r="A120" s="108"/>
      <c r="B120" s="3" t="s">
        <v>145</v>
      </c>
      <c r="C120" s="29" t="s">
        <v>142</v>
      </c>
      <c r="D120" s="15"/>
      <c r="E120" s="16" t="s">
        <v>442</v>
      </c>
    </row>
    <row r="121" spans="1:7">
      <c r="A121" s="108"/>
      <c r="B121" s="3" t="s">
        <v>146</v>
      </c>
      <c r="C121" s="29" t="s">
        <v>144</v>
      </c>
      <c r="D121" s="15"/>
      <c r="E121" s="16" t="s">
        <v>443</v>
      </c>
    </row>
    <row r="122" spans="1:7">
      <c r="A122" s="108"/>
      <c r="B122" s="3" t="s">
        <v>147</v>
      </c>
      <c r="C122" s="29" t="s">
        <v>146</v>
      </c>
      <c r="D122" s="15"/>
      <c r="E122" s="16" t="s">
        <v>444</v>
      </c>
    </row>
    <row r="123" spans="1:7">
      <c r="A123" s="108"/>
      <c r="B123" s="3" t="s">
        <v>148</v>
      </c>
      <c r="C123" s="29" t="s">
        <v>147</v>
      </c>
      <c r="D123" s="15"/>
      <c r="E123" s="16" t="s">
        <v>445</v>
      </c>
    </row>
    <row r="124" spans="1:7" ht="29.25">
      <c r="A124" s="108"/>
      <c r="B124" s="3" t="s">
        <v>149</v>
      </c>
      <c r="C124" s="29" t="s">
        <v>150</v>
      </c>
      <c r="D124" s="15" t="s">
        <v>808</v>
      </c>
      <c r="E124" s="16" t="s">
        <v>446</v>
      </c>
      <c r="F124" s="3">
        <v>100</v>
      </c>
      <c r="G124" s="8">
        <f t="shared" ref="G124:G125" si="6">F124/SUM($F$108:$F$125)</f>
        <v>0.13333333333333333</v>
      </c>
    </row>
    <row r="125" spans="1:7">
      <c r="A125" s="108"/>
      <c r="B125" s="3" t="s">
        <v>150</v>
      </c>
      <c r="C125" s="29" t="s">
        <v>152</v>
      </c>
      <c r="D125" s="15" t="s">
        <v>810</v>
      </c>
      <c r="E125" s="16" t="s">
        <v>447</v>
      </c>
      <c r="F125" s="3">
        <v>250</v>
      </c>
      <c r="G125" s="8">
        <f t="shared" si="6"/>
        <v>0.33333333333333331</v>
      </c>
    </row>
    <row r="126" spans="1:7">
      <c r="A126" s="108"/>
      <c r="B126" s="3" t="s">
        <v>151</v>
      </c>
      <c r="C126" s="29" t="s">
        <v>149</v>
      </c>
      <c r="D126" s="15"/>
      <c r="E126" s="16" t="s">
        <v>448</v>
      </c>
    </row>
    <row r="127" spans="1:7">
      <c r="A127" s="108"/>
      <c r="B127" s="3" t="s">
        <v>152</v>
      </c>
      <c r="C127" s="29" t="s">
        <v>131</v>
      </c>
      <c r="D127" s="15"/>
      <c r="E127" s="16" t="s">
        <v>449</v>
      </c>
    </row>
    <row r="128" spans="1:7">
      <c r="A128" s="108"/>
      <c r="C128" s="29" t="s">
        <v>450</v>
      </c>
      <c r="D128" s="15"/>
      <c r="E128" s="16" t="s">
        <v>451</v>
      </c>
    </row>
    <row r="129" spans="1:7">
      <c r="A129" s="108"/>
      <c r="C129" s="29" t="s">
        <v>452</v>
      </c>
      <c r="D129" s="15"/>
      <c r="E129" s="16" t="s">
        <v>453</v>
      </c>
    </row>
    <row r="130" spans="1:7">
      <c r="A130" s="108"/>
      <c r="C130" s="29" t="s">
        <v>454</v>
      </c>
      <c r="D130" s="15"/>
      <c r="E130" s="16" t="s">
        <v>455</v>
      </c>
    </row>
    <row r="131" spans="1:7">
      <c r="A131" s="108"/>
      <c r="C131" s="29" t="s">
        <v>456</v>
      </c>
      <c r="D131" s="15"/>
      <c r="E131" s="16" t="s">
        <v>457</v>
      </c>
    </row>
    <row r="132" spans="1:7">
      <c r="A132" s="108"/>
      <c r="C132" s="29" t="s">
        <v>458</v>
      </c>
      <c r="D132" s="15"/>
      <c r="E132" s="16" t="s">
        <v>459</v>
      </c>
    </row>
    <row r="133" spans="1:7">
      <c r="A133" s="108" t="s">
        <v>12</v>
      </c>
      <c r="B133" s="3" t="s">
        <v>153</v>
      </c>
      <c r="C133" s="19" t="s">
        <v>460</v>
      </c>
      <c r="D133" s="16"/>
      <c r="E133" s="19" t="s">
        <v>461</v>
      </c>
    </row>
    <row r="134" spans="1:7">
      <c r="A134" s="108"/>
      <c r="B134" s="3" t="s">
        <v>154</v>
      </c>
      <c r="C134" s="29" t="s">
        <v>154</v>
      </c>
      <c r="D134" s="15"/>
      <c r="E134" s="16" t="s">
        <v>462</v>
      </c>
    </row>
    <row r="135" spans="1:7">
      <c r="A135" s="108"/>
      <c r="C135" s="29" t="s">
        <v>153</v>
      </c>
      <c r="D135" s="15"/>
      <c r="E135" s="16"/>
      <c r="F135" s="7">
        <f>F133+F136+F137</f>
        <v>0</v>
      </c>
      <c r="G135" s="7">
        <f>G133+G136+G137</f>
        <v>0</v>
      </c>
    </row>
    <row r="136" spans="1:7">
      <c r="A136" s="108"/>
      <c r="C136" s="29" t="s">
        <v>463</v>
      </c>
      <c r="D136" s="15"/>
      <c r="E136" s="16" t="s">
        <v>464</v>
      </c>
    </row>
    <row r="137" spans="1:7">
      <c r="A137" s="108"/>
      <c r="C137" s="29" t="s">
        <v>465</v>
      </c>
      <c r="D137" s="15"/>
      <c r="E137" s="16" t="s">
        <v>466</v>
      </c>
    </row>
    <row r="138" spans="1:7">
      <c r="A138" s="108" t="s">
        <v>13</v>
      </c>
      <c r="B138" s="3" t="s">
        <v>155</v>
      </c>
      <c r="C138" s="29" t="s">
        <v>163</v>
      </c>
      <c r="D138" s="15"/>
      <c r="E138" s="16" t="s">
        <v>467</v>
      </c>
    </row>
    <row r="139" spans="1:7">
      <c r="A139" s="108"/>
      <c r="B139" s="3" t="s">
        <v>156</v>
      </c>
      <c r="C139" s="29" t="s">
        <v>156</v>
      </c>
      <c r="D139" s="15" t="s">
        <v>815</v>
      </c>
      <c r="E139" s="16" t="s">
        <v>468</v>
      </c>
      <c r="F139" s="3">
        <v>260</v>
      </c>
      <c r="G139" s="8">
        <f>F139/SUM($F$139:$F$156)</f>
        <v>9.187279151943463E-2</v>
      </c>
    </row>
    <row r="140" spans="1:7">
      <c r="A140" s="108"/>
      <c r="B140" s="3" t="s">
        <v>157</v>
      </c>
      <c r="C140" s="29" t="s">
        <v>167</v>
      </c>
      <c r="D140" s="15"/>
      <c r="E140" s="16" t="s">
        <v>469</v>
      </c>
    </row>
    <row r="141" spans="1:7" ht="29.25">
      <c r="A141" s="108"/>
      <c r="B141" s="3" t="s">
        <v>158</v>
      </c>
      <c r="C141" s="29" t="s">
        <v>166</v>
      </c>
      <c r="D141" s="15" t="s">
        <v>817</v>
      </c>
      <c r="E141" s="16" t="s">
        <v>470</v>
      </c>
      <c r="F141" s="3">
        <f>100+150</f>
        <v>250</v>
      </c>
      <c r="G141" s="8">
        <f t="shared" ref="G141:G153" si="7">F141/SUM($F$139:$F$156)</f>
        <v>8.8339222614840993E-2</v>
      </c>
    </row>
    <row r="142" spans="1:7">
      <c r="A142" s="108"/>
      <c r="B142" s="3" t="s">
        <v>159</v>
      </c>
      <c r="C142" s="29" t="s">
        <v>175</v>
      </c>
      <c r="D142" s="15"/>
      <c r="E142" s="16" t="s">
        <v>471</v>
      </c>
    </row>
    <row r="143" spans="1:7">
      <c r="A143" s="108"/>
      <c r="B143" s="3" t="s">
        <v>160</v>
      </c>
      <c r="C143" s="29" t="s">
        <v>164</v>
      </c>
      <c r="D143" s="15"/>
      <c r="E143" s="16" t="s">
        <v>472</v>
      </c>
    </row>
    <row r="144" spans="1:7">
      <c r="A144" s="108"/>
      <c r="B144" s="3" t="s">
        <v>161</v>
      </c>
      <c r="C144" s="29" t="s">
        <v>171</v>
      </c>
      <c r="D144" s="15"/>
      <c r="E144" s="16" t="s">
        <v>473</v>
      </c>
    </row>
    <row r="145" spans="1:7">
      <c r="A145" s="108"/>
      <c r="B145" s="3" t="s">
        <v>162</v>
      </c>
      <c r="C145" s="29" t="s">
        <v>174</v>
      </c>
      <c r="D145" s="32"/>
      <c r="E145" s="16" t="s">
        <v>474</v>
      </c>
    </row>
    <row r="146" spans="1:7">
      <c r="A146" s="108"/>
      <c r="B146" s="3" t="s">
        <v>163</v>
      </c>
      <c r="C146" s="29" t="s">
        <v>173</v>
      </c>
      <c r="D146" s="15"/>
      <c r="E146" s="16" t="s">
        <v>475</v>
      </c>
    </row>
    <row r="147" spans="1:7">
      <c r="A147" s="108"/>
      <c r="B147" s="3" t="s">
        <v>164</v>
      </c>
      <c r="C147" s="29" t="s">
        <v>172</v>
      </c>
      <c r="D147" s="15"/>
      <c r="E147" s="16" t="s">
        <v>476</v>
      </c>
    </row>
    <row r="148" spans="1:7">
      <c r="A148" s="108"/>
      <c r="B148" s="3" t="s">
        <v>165</v>
      </c>
      <c r="C148" s="29" t="s">
        <v>161</v>
      </c>
      <c r="D148" s="32"/>
      <c r="E148" s="16" t="s">
        <v>477</v>
      </c>
    </row>
    <row r="149" spans="1:7">
      <c r="A149" s="108"/>
      <c r="B149" s="3" t="s">
        <v>166</v>
      </c>
      <c r="C149" s="29" t="s">
        <v>162</v>
      </c>
      <c r="D149" s="15"/>
      <c r="E149" s="16" t="s">
        <v>478</v>
      </c>
    </row>
    <row r="150" spans="1:7" ht="29.25">
      <c r="A150" s="108"/>
      <c r="B150" s="3" t="s">
        <v>167</v>
      </c>
      <c r="C150" s="29" t="s">
        <v>158</v>
      </c>
      <c r="D150" s="15" t="s">
        <v>816</v>
      </c>
      <c r="E150" s="16" t="s">
        <v>479</v>
      </c>
      <c r="F150" s="3">
        <v>200</v>
      </c>
      <c r="G150" s="8">
        <f t="shared" si="7"/>
        <v>7.0671378091872794E-2</v>
      </c>
    </row>
    <row r="151" spans="1:7">
      <c r="A151" s="108"/>
      <c r="B151" s="3" t="s">
        <v>168</v>
      </c>
      <c r="C151" s="29" t="s">
        <v>159</v>
      </c>
      <c r="D151" s="15"/>
      <c r="E151" s="16" t="s">
        <v>480</v>
      </c>
    </row>
    <row r="152" spans="1:7">
      <c r="A152" s="108"/>
      <c r="B152" s="3" t="s">
        <v>169</v>
      </c>
      <c r="C152" s="29" t="s">
        <v>155</v>
      </c>
      <c r="D152" s="32" t="s">
        <v>820</v>
      </c>
      <c r="E152" s="16" t="s">
        <v>481</v>
      </c>
      <c r="F152" s="3">
        <v>170</v>
      </c>
      <c r="G152" s="8">
        <f t="shared" si="7"/>
        <v>6.0070671378091869E-2</v>
      </c>
    </row>
    <row r="153" spans="1:7">
      <c r="A153" s="108"/>
      <c r="B153" s="3" t="s">
        <v>170</v>
      </c>
      <c r="C153" s="29" t="s">
        <v>169</v>
      </c>
      <c r="D153" s="15" t="s">
        <v>819</v>
      </c>
      <c r="E153" s="16" t="s">
        <v>482</v>
      </c>
      <c r="F153" s="3">
        <v>500</v>
      </c>
      <c r="G153" s="8">
        <f t="shared" si="7"/>
        <v>0.17667844522968199</v>
      </c>
    </row>
    <row r="154" spans="1:7">
      <c r="A154" s="108"/>
      <c r="B154" s="3" t="s">
        <v>171</v>
      </c>
      <c r="C154" s="29" t="s">
        <v>170</v>
      </c>
      <c r="D154" s="15"/>
      <c r="E154" s="16" t="s">
        <v>483</v>
      </c>
    </row>
    <row r="155" spans="1:7">
      <c r="A155" s="108"/>
      <c r="B155" s="3" t="s">
        <v>172</v>
      </c>
      <c r="C155" s="29" t="s">
        <v>160</v>
      </c>
      <c r="D155" s="15"/>
      <c r="E155" s="16" t="s">
        <v>484</v>
      </c>
    </row>
    <row r="156" spans="1:7">
      <c r="A156" s="108"/>
      <c r="B156" s="3" t="s">
        <v>173</v>
      </c>
      <c r="C156" s="29" t="s">
        <v>157</v>
      </c>
      <c r="D156" s="15" t="s">
        <v>818</v>
      </c>
      <c r="E156" s="16" t="s">
        <v>485</v>
      </c>
      <c r="F156" s="3">
        <v>1450</v>
      </c>
      <c r="G156" s="8">
        <f>F156/SUM($F$139:$F$156)</f>
        <v>0.51236749116607772</v>
      </c>
    </row>
    <row r="157" spans="1:7">
      <c r="A157" s="108"/>
      <c r="B157" s="3" t="s">
        <v>174</v>
      </c>
      <c r="C157" s="29" t="s">
        <v>165</v>
      </c>
      <c r="D157" s="15"/>
      <c r="E157" s="16" t="s">
        <v>486</v>
      </c>
    </row>
    <row r="158" spans="1:7">
      <c r="A158" s="108"/>
      <c r="B158" s="3" t="s">
        <v>175</v>
      </c>
      <c r="C158" s="29" t="s">
        <v>168</v>
      </c>
      <c r="D158" s="15"/>
      <c r="E158" s="16" t="s">
        <v>487</v>
      </c>
    </row>
    <row r="159" spans="1:7">
      <c r="A159" s="26" t="s">
        <v>624</v>
      </c>
      <c r="C159" s="29" t="s">
        <v>488</v>
      </c>
      <c r="D159" s="15"/>
      <c r="E159" s="16" t="s">
        <v>489</v>
      </c>
    </row>
    <row r="160" spans="1:7">
      <c r="A160" s="26" t="s">
        <v>14</v>
      </c>
      <c r="B160" s="3" t="s">
        <v>176</v>
      </c>
      <c r="C160" s="29" t="s">
        <v>176</v>
      </c>
      <c r="D160" s="15"/>
      <c r="E160" s="16" t="s">
        <v>490</v>
      </c>
    </row>
    <row r="161" spans="1:5">
      <c r="A161" s="108" t="s">
        <v>623</v>
      </c>
      <c r="B161" s="3" t="s">
        <v>491</v>
      </c>
      <c r="C161" s="29" t="s">
        <v>491</v>
      </c>
      <c r="D161" s="15"/>
      <c r="E161" s="16" t="s">
        <v>492</v>
      </c>
    </row>
    <row r="162" spans="1:5">
      <c r="A162" s="108"/>
      <c r="B162" s="3" t="s">
        <v>493</v>
      </c>
      <c r="C162" s="29" t="s">
        <v>493</v>
      </c>
      <c r="D162" s="15"/>
      <c r="E162" s="16" t="s">
        <v>494</v>
      </c>
    </row>
    <row r="163" spans="1:5">
      <c r="A163" s="26" t="s">
        <v>15</v>
      </c>
      <c r="B163" s="3" t="s">
        <v>177</v>
      </c>
      <c r="C163" s="29" t="s">
        <v>177</v>
      </c>
      <c r="D163" s="15"/>
      <c r="E163" s="16" t="s">
        <v>15</v>
      </c>
    </row>
    <row r="164" spans="1:5">
      <c r="A164" s="108" t="s">
        <v>16</v>
      </c>
      <c r="B164" s="3" t="s">
        <v>178</v>
      </c>
      <c r="C164" s="29" t="s">
        <v>182</v>
      </c>
      <c r="D164" s="15"/>
      <c r="E164" s="16" t="s">
        <v>495</v>
      </c>
    </row>
    <row r="165" spans="1:5">
      <c r="A165" s="108"/>
      <c r="B165" s="3" t="s">
        <v>179</v>
      </c>
      <c r="C165" s="29" t="s">
        <v>181</v>
      </c>
      <c r="D165" s="15"/>
      <c r="E165" s="16" t="s">
        <v>496</v>
      </c>
    </row>
    <row r="166" spans="1:5">
      <c r="A166" s="108"/>
      <c r="B166" s="3" t="s">
        <v>180</v>
      </c>
      <c r="C166" s="29" t="s">
        <v>180</v>
      </c>
      <c r="D166" s="15"/>
      <c r="E166" s="16" t="s">
        <v>497</v>
      </c>
    </row>
    <row r="167" spans="1:5">
      <c r="A167" s="108"/>
      <c r="B167" s="3" t="s">
        <v>181</v>
      </c>
      <c r="C167" s="29" t="s">
        <v>179</v>
      </c>
      <c r="D167" s="15"/>
      <c r="E167" s="16" t="s">
        <v>498</v>
      </c>
    </row>
    <row r="168" spans="1:5">
      <c r="A168" s="108"/>
      <c r="B168" s="3" t="s">
        <v>182</v>
      </c>
      <c r="C168" s="29" t="s">
        <v>184</v>
      </c>
      <c r="D168" s="15"/>
      <c r="E168" s="16" t="s">
        <v>499</v>
      </c>
    </row>
    <row r="169" spans="1:5">
      <c r="A169" s="108"/>
      <c r="B169" s="3" t="s">
        <v>183</v>
      </c>
      <c r="C169" s="29" t="s">
        <v>183</v>
      </c>
      <c r="D169" s="32"/>
      <c r="E169" s="16" t="s">
        <v>500</v>
      </c>
    </row>
    <row r="170" spans="1:5">
      <c r="A170" s="108"/>
      <c r="B170" s="3" t="s">
        <v>184</v>
      </c>
      <c r="C170" s="29" t="s">
        <v>178</v>
      </c>
      <c r="D170" s="15"/>
      <c r="E170" s="16" t="s">
        <v>501</v>
      </c>
    </row>
    <row r="171" spans="1:5">
      <c r="A171" s="108"/>
      <c r="B171" s="3" t="s">
        <v>185</v>
      </c>
      <c r="C171" s="29" t="s">
        <v>185</v>
      </c>
      <c r="D171" s="15"/>
      <c r="E171" s="16" t="s">
        <v>502</v>
      </c>
    </row>
    <row r="172" spans="1:5">
      <c r="A172" s="26" t="s">
        <v>504</v>
      </c>
      <c r="C172" s="29" t="s">
        <v>503</v>
      </c>
      <c r="D172" s="15"/>
      <c r="E172" s="16" t="s">
        <v>504</v>
      </c>
    </row>
    <row r="173" spans="1:5">
      <c r="A173" s="108" t="s">
        <v>17</v>
      </c>
      <c r="B173" s="3" t="s">
        <v>186</v>
      </c>
      <c r="C173" s="29" t="s">
        <v>193</v>
      </c>
      <c r="D173" s="15"/>
      <c r="E173" s="16" t="s">
        <v>505</v>
      </c>
    </row>
    <row r="174" spans="1:5">
      <c r="A174" s="108"/>
      <c r="B174" s="3" t="s">
        <v>187</v>
      </c>
      <c r="C174" s="29" t="s">
        <v>195</v>
      </c>
      <c r="D174" s="15"/>
      <c r="E174" s="16" t="s">
        <v>506</v>
      </c>
    </row>
    <row r="175" spans="1:5">
      <c r="A175" s="108"/>
      <c r="B175" s="3" t="s">
        <v>188</v>
      </c>
      <c r="C175" s="29" t="s">
        <v>197</v>
      </c>
      <c r="D175" s="15"/>
      <c r="E175" s="16" t="s">
        <v>507</v>
      </c>
    </row>
    <row r="176" spans="1:5">
      <c r="A176" s="108"/>
      <c r="B176" s="3" t="s">
        <v>189</v>
      </c>
      <c r="C176" s="29" t="s">
        <v>188</v>
      </c>
      <c r="D176" s="15"/>
      <c r="E176" s="16" t="s">
        <v>508</v>
      </c>
    </row>
    <row r="177" spans="1:7">
      <c r="A177" s="108"/>
      <c r="B177" s="3" t="s">
        <v>190</v>
      </c>
      <c r="C177" s="29" t="s">
        <v>194</v>
      </c>
      <c r="D177" s="15"/>
      <c r="E177" s="16" t="s">
        <v>509</v>
      </c>
    </row>
    <row r="178" spans="1:7">
      <c r="A178" s="108"/>
      <c r="B178" s="3" t="s">
        <v>191</v>
      </c>
      <c r="C178" s="29" t="s">
        <v>196</v>
      </c>
      <c r="D178" s="15"/>
      <c r="E178" s="16" t="s">
        <v>510</v>
      </c>
    </row>
    <row r="179" spans="1:7">
      <c r="A179" s="108"/>
      <c r="B179" s="3" t="s">
        <v>192</v>
      </c>
      <c r="C179" s="29" t="s">
        <v>190</v>
      </c>
      <c r="D179" s="15"/>
      <c r="E179" s="16" t="s">
        <v>511</v>
      </c>
    </row>
    <row r="180" spans="1:7">
      <c r="A180" s="108"/>
      <c r="B180" s="3" t="s">
        <v>193</v>
      </c>
      <c r="C180" s="29" t="s">
        <v>189</v>
      </c>
      <c r="D180" s="15"/>
      <c r="E180" s="16" t="s">
        <v>512</v>
      </c>
    </row>
    <row r="181" spans="1:7">
      <c r="A181" s="108"/>
      <c r="B181" s="3" t="s">
        <v>194</v>
      </c>
      <c r="C181" s="29" t="s">
        <v>186</v>
      </c>
      <c r="D181" s="15"/>
      <c r="E181" s="16" t="s">
        <v>513</v>
      </c>
    </row>
    <row r="182" spans="1:7">
      <c r="A182" s="108"/>
      <c r="B182" s="3" t="s">
        <v>195</v>
      </c>
      <c r="C182" s="29" t="s">
        <v>187</v>
      </c>
      <c r="D182" s="32"/>
      <c r="E182" s="16" t="s">
        <v>514</v>
      </c>
    </row>
    <row r="183" spans="1:7">
      <c r="A183" s="108"/>
      <c r="B183" s="3" t="s">
        <v>196</v>
      </c>
      <c r="C183" s="29" t="s">
        <v>191</v>
      </c>
      <c r="D183" s="32"/>
      <c r="E183" s="16" t="s">
        <v>515</v>
      </c>
    </row>
    <row r="184" spans="1:7">
      <c r="A184" s="108"/>
      <c r="B184" s="3" t="s">
        <v>197</v>
      </c>
      <c r="C184" s="29" t="s">
        <v>192</v>
      </c>
      <c r="D184" s="32"/>
      <c r="E184" s="16" t="s">
        <v>516</v>
      </c>
    </row>
    <row r="185" spans="1:7">
      <c r="A185" s="108" t="s">
        <v>18</v>
      </c>
      <c r="B185" s="3" t="s">
        <v>198</v>
      </c>
      <c r="C185" s="29" t="s">
        <v>206</v>
      </c>
      <c r="D185" s="15"/>
      <c r="E185" s="16" t="s">
        <v>517</v>
      </c>
    </row>
    <row r="186" spans="1:7">
      <c r="A186" s="108"/>
      <c r="B186" s="3" t="s">
        <v>199</v>
      </c>
      <c r="C186" s="29" t="s">
        <v>204</v>
      </c>
      <c r="D186" s="15"/>
      <c r="E186" s="16" t="s">
        <v>518</v>
      </c>
    </row>
    <row r="187" spans="1:7">
      <c r="A187" s="108"/>
      <c r="B187" s="3" t="s">
        <v>200</v>
      </c>
      <c r="C187" s="29" t="s">
        <v>203</v>
      </c>
      <c r="D187" s="15"/>
      <c r="E187" s="16" t="s">
        <v>519</v>
      </c>
    </row>
    <row r="188" spans="1:7">
      <c r="A188" s="108"/>
      <c r="B188" s="3" t="s">
        <v>201</v>
      </c>
      <c r="C188" s="29" t="s">
        <v>205</v>
      </c>
      <c r="D188" s="15"/>
      <c r="E188" s="16" t="s">
        <v>520</v>
      </c>
    </row>
    <row r="189" spans="1:7" ht="29.25">
      <c r="A189" s="108"/>
      <c r="B189" s="3" t="s">
        <v>202</v>
      </c>
      <c r="C189" s="29" t="s">
        <v>200</v>
      </c>
      <c r="D189" s="15" t="s">
        <v>804</v>
      </c>
      <c r="E189" s="16" t="s">
        <v>521</v>
      </c>
      <c r="F189" s="3">
        <f>180+300</f>
        <v>480</v>
      </c>
      <c r="G189" s="8">
        <v>1</v>
      </c>
    </row>
    <row r="190" spans="1:7">
      <c r="A190" s="108"/>
      <c r="B190" s="3" t="s">
        <v>203</v>
      </c>
      <c r="C190" s="29" t="s">
        <v>202</v>
      </c>
      <c r="D190" s="15"/>
      <c r="E190" s="16" t="s">
        <v>522</v>
      </c>
    </row>
    <row r="191" spans="1:7">
      <c r="A191" s="108"/>
      <c r="B191" s="3" t="s">
        <v>204</v>
      </c>
      <c r="C191" s="29" t="s">
        <v>201</v>
      </c>
      <c r="D191" s="15"/>
      <c r="E191" s="16" t="s">
        <v>523</v>
      </c>
    </row>
    <row r="192" spans="1:7">
      <c r="A192" s="108"/>
      <c r="B192" s="3" t="s">
        <v>205</v>
      </c>
      <c r="C192" s="29" t="s">
        <v>199</v>
      </c>
      <c r="D192" s="15"/>
      <c r="E192" s="16" t="s">
        <v>524</v>
      </c>
    </row>
    <row r="193" spans="1:7">
      <c r="A193" s="108"/>
      <c r="B193" s="3" t="s">
        <v>206</v>
      </c>
      <c r="C193" s="29" t="s">
        <v>198</v>
      </c>
      <c r="D193" s="15"/>
      <c r="E193" s="16" t="s">
        <v>525</v>
      </c>
    </row>
    <row r="194" spans="1:7">
      <c r="A194" s="108" t="s">
        <v>19</v>
      </c>
      <c r="B194" s="3" t="s">
        <v>207</v>
      </c>
      <c r="C194" s="29" t="s">
        <v>219</v>
      </c>
      <c r="D194" s="15"/>
      <c r="E194" s="16" t="s">
        <v>526</v>
      </c>
    </row>
    <row r="195" spans="1:7">
      <c r="A195" s="108"/>
      <c r="B195" s="3" t="s">
        <v>208</v>
      </c>
      <c r="C195" s="29" t="s">
        <v>210</v>
      </c>
      <c r="D195" s="15"/>
      <c r="E195" s="16" t="s">
        <v>527</v>
      </c>
    </row>
    <row r="196" spans="1:7">
      <c r="A196" s="108"/>
      <c r="B196" s="3" t="s">
        <v>209</v>
      </c>
      <c r="C196" s="29" t="s">
        <v>221</v>
      </c>
      <c r="D196" s="15"/>
      <c r="E196" s="16" t="s">
        <v>528</v>
      </c>
    </row>
    <row r="197" spans="1:7">
      <c r="A197" s="108"/>
      <c r="B197" s="3" t="s">
        <v>210</v>
      </c>
      <c r="C197" s="29" t="s">
        <v>207</v>
      </c>
      <c r="D197" s="15"/>
      <c r="E197" s="16" t="s">
        <v>529</v>
      </c>
    </row>
    <row r="198" spans="1:7">
      <c r="A198" s="108"/>
      <c r="B198" s="3" t="s">
        <v>211</v>
      </c>
      <c r="C198" s="29" t="s">
        <v>216</v>
      </c>
      <c r="D198" s="15"/>
      <c r="E198" s="16" t="s">
        <v>530</v>
      </c>
    </row>
    <row r="199" spans="1:7">
      <c r="A199" s="108"/>
      <c r="B199" s="3" t="s">
        <v>212</v>
      </c>
      <c r="C199" s="29" t="s">
        <v>218</v>
      </c>
      <c r="D199" s="15"/>
      <c r="E199" s="16" t="s">
        <v>531</v>
      </c>
    </row>
    <row r="200" spans="1:7">
      <c r="A200" s="108"/>
      <c r="B200" s="3" t="s">
        <v>213</v>
      </c>
      <c r="C200" s="29" t="s">
        <v>213</v>
      </c>
      <c r="D200" s="15"/>
      <c r="E200" s="16" t="s">
        <v>532</v>
      </c>
    </row>
    <row r="201" spans="1:7">
      <c r="A201" s="108"/>
      <c r="B201" s="3" t="s">
        <v>214</v>
      </c>
      <c r="C201" s="29" t="s">
        <v>220</v>
      </c>
      <c r="D201" s="15"/>
      <c r="E201" s="16" t="s">
        <v>533</v>
      </c>
    </row>
    <row r="202" spans="1:7">
      <c r="A202" s="108"/>
      <c r="B202" s="3" t="s">
        <v>215</v>
      </c>
      <c r="C202" s="29" t="s">
        <v>208</v>
      </c>
      <c r="D202" s="15"/>
      <c r="E202" s="16" t="s">
        <v>534</v>
      </c>
    </row>
    <row r="203" spans="1:7">
      <c r="A203" s="108"/>
      <c r="B203" s="3" t="s">
        <v>216</v>
      </c>
      <c r="C203" s="29" t="s">
        <v>211</v>
      </c>
      <c r="D203" s="15"/>
      <c r="E203" s="16" t="s">
        <v>535</v>
      </c>
    </row>
    <row r="204" spans="1:7">
      <c r="A204" s="108"/>
      <c r="B204" s="3" t="s">
        <v>217</v>
      </c>
      <c r="C204" s="29" t="s">
        <v>223</v>
      </c>
      <c r="D204" s="15"/>
      <c r="E204" s="16" t="s">
        <v>536</v>
      </c>
    </row>
    <row r="205" spans="1:7">
      <c r="A205" s="108"/>
      <c r="B205" s="3" t="s">
        <v>218</v>
      </c>
      <c r="C205" s="29" t="s">
        <v>222</v>
      </c>
      <c r="D205" s="15"/>
      <c r="E205" s="16" t="s">
        <v>537</v>
      </c>
    </row>
    <row r="206" spans="1:7">
      <c r="A206" s="108"/>
      <c r="B206" s="3" t="s">
        <v>219</v>
      </c>
      <c r="C206" s="29" t="s">
        <v>217</v>
      </c>
      <c r="D206" s="15"/>
      <c r="E206" s="16" t="s">
        <v>538</v>
      </c>
    </row>
    <row r="207" spans="1:7">
      <c r="A207" s="108"/>
      <c r="B207" s="3" t="s">
        <v>220</v>
      </c>
      <c r="C207" s="29" t="s">
        <v>209</v>
      </c>
      <c r="D207" s="15" t="s">
        <v>821</v>
      </c>
      <c r="E207" s="16" t="s">
        <v>539</v>
      </c>
      <c r="F207" s="3">
        <v>240</v>
      </c>
      <c r="G207" s="8">
        <v>1</v>
      </c>
    </row>
    <row r="208" spans="1:7">
      <c r="A208" s="108"/>
      <c r="B208" s="3" t="s">
        <v>221</v>
      </c>
      <c r="C208" s="29" t="s">
        <v>212</v>
      </c>
      <c r="D208" s="15"/>
      <c r="E208" s="16" t="s">
        <v>540</v>
      </c>
    </row>
    <row r="209" spans="1:5">
      <c r="A209" s="108"/>
      <c r="B209" s="3" t="s">
        <v>222</v>
      </c>
      <c r="C209" s="29" t="s">
        <v>214</v>
      </c>
      <c r="D209" s="15"/>
      <c r="E209" s="16" t="s">
        <v>541</v>
      </c>
    </row>
    <row r="210" spans="1:5">
      <c r="A210" s="108"/>
      <c r="B210" s="3" t="s">
        <v>223</v>
      </c>
      <c r="C210" s="29" t="s">
        <v>215</v>
      </c>
      <c r="D210" s="32"/>
      <c r="E210" s="16" t="s">
        <v>542</v>
      </c>
    </row>
    <row r="211" spans="1:5">
      <c r="A211" s="108" t="s">
        <v>20</v>
      </c>
      <c r="B211" s="3" t="s">
        <v>224</v>
      </c>
      <c r="C211" s="29" t="s">
        <v>226</v>
      </c>
      <c r="D211" s="15"/>
      <c r="E211" s="16" t="s">
        <v>543</v>
      </c>
    </row>
    <row r="212" spans="1:5">
      <c r="A212" s="108"/>
      <c r="B212" s="3" t="s">
        <v>225</v>
      </c>
      <c r="C212" s="29" t="s">
        <v>225</v>
      </c>
      <c r="D212" s="15"/>
      <c r="E212" s="16" t="s">
        <v>544</v>
      </c>
    </row>
    <row r="213" spans="1:5">
      <c r="A213" s="108"/>
      <c r="B213" s="3" t="s">
        <v>226</v>
      </c>
      <c r="C213" s="29" t="s">
        <v>228</v>
      </c>
      <c r="D213" s="15"/>
      <c r="E213" s="16" t="s">
        <v>545</v>
      </c>
    </row>
    <row r="214" spans="1:5">
      <c r="A214" s="108"/>
      <c r="B214" s="3" t="s">
        <v>227</v>
      </c>
      <c r="C214" s="29" t="s">
        <v>224</v>
      </c>
      <c r="D214" s="15"/>
      <c r="E214" s="16" t="s">
        <v>546</v>
      </c>
    </row>
    <row r="215" spans="1:5">
      <c r="A215" s="108"/>
      <c r="B215" s="3" t="s">
        <v>228</v>
      </c>
      <c r="C215" s="29" t="s">
        <v>227</v>
      </c>
      <c r="D215" s="32"/>
      <c r="E215" s="16" t="s">
        <v>547</v>
      </c>
    </row>
    <row r="216" spans="1:5">
      <c r="A216" s="108"/>
      <c r="C216" s="29" t="s">
        <v>548</v>
      </c>
      <c r="D216" s="15"/>
      <c r="E216" s="16" t="s">
        <v>549</v>
      </c>
    </row>
    <row r="217" spans="1:5">
      <c r="A217" s="108"/>
      <c r="C217" s="29" t="s">
        <v>550</v>
      </c>
      <c r="D217" s="15"/>
      <c r="E217" s="16" t="s">
        <v>551</v>
      </c>
    </row>
    <row r="218" spans="1:5">
      <c r="A218" s="108" t="s">
        <v>21</v>
      </c>
      <c r="B218" s="3" t="s">
        <v>229</v>
      </c>
      <c r="C218" s="29" t="s">
        <v>231</v>
      </c>
      <c r="D218" s="15"/>
      <c r="E218" s="16" t="s">
        <v>552</v>
      </c>
    </row>
    <row r="219" spans="1:5">
      <c r="A219" s="108"/>
      <c r="B219" s="3" t="s">
        <v>230</v>
      </c>
      <c r="C219" s="29" t="s">
        <v>236</v>
      </c>
      <c r="D219" s="15"/>
      <c r="E219" s="16" t="s">
        <v>553</v>
      </c>
    </row>
    <row r="220" spans="1:5">
      <c r="A220" s="108"/>
      <c r="B220" s="3" t="s">
        <v>231</v>
      </c>
      <c r="C220" s="29" t="s">
        <v>232</v>
      </c>
      <c r="D220" s="15"/>
      <c r="E220" s="16" t="s">
        <v>554</v>
      </c>
    </row>
    <row r="221" spans="1:5">
      <c r="A221" s="108"/>
      <c r="B221" s="3" t="s">
        <v>232</v>
      </c>
      <c r="C221" s="29" t="s">
        <v>230</v>
      </c>
      <c r="D221" s="15"/>
      <c r="E221" s="16" t="s">
        <v>555</v>
      </c>
    </row>
    <row r="222" spans="1:5">
      <c r="A222" s="108"/>
      <c r="B222" s="3" t="s">
        <v>233</v>
      </c>
      <c r="C222" s="29" t="s">
        <v>234</v>
      </c>
      <c r="D222" s="15"/>
      <c r="E222" s="16" t="s">
        <v>556</v>
      </c>
    </row>
    <row r="223" spans="1:5">
      <c r="A223" s="108"/>
      <c r="B223" s="3" t="s">
        <v>234</v>
      </c>
      <c r="C223" s="29" t="s">
        <v>233</v>
      </c>
      <c r="D223" s="15"/>
      <c r="E223" s="16" t="s">
        <v>557</v>
      </c>
    </row>
    <row r="224" spans="1:5">
      <c r="A224" s="108"/>
      <c r="B224" s="3" t="s">
        <v>235</v>
      </c>
      <c r="C224" s="29" t="s">
        <v>229</v>
      </c>
      <c r="D224" s="15"/>
      <c r="E224" s="16" t="s">
        <v>558</v>
      </c>
    </row>
    <row r="225" spans="1:7">
      <c r="A225" s="108"/>
      <c r="B225" s="3" t="s">
        <v>236</v>
      </c>
      <c r="C225" s="29" t="s">
        <v>235</v>
      </c>
      <c r="D225" s="15"/>
      <c r="E225" s="16" t="s">
        <v>559</v>
      </c>
    </row>
    <row r="226" spans="1:7">
      <c r="A226" s="108" t="s">
        <v>22</v>
      </c>
      <c r="B226" s="3" t="s">
        <v>237</v>
      </c>
      <c r="C226" s="29" t="s">
        <v>237</v>
      </c>
      <c r="D226" s="15"/>
      <c r="E226" s="16" t="s">
        <v>560</v>
      </c>
    </row>
    <row r="227" spans="1:7" ht="29.25">
      <c r="A227" s="108"/>
      <c r="B227" s="3" t="s">
        <v>238</v>
      </c>
      <c r="C227" s="29" t="s">
        <v>238</v>
      </c>
      <c r="D227" s="15" t="s">
        <v>822</v>
      </c>
      <c r="E227" s="16" t="s">
        <v>561</v>
      </c>
      <c r="F227" s="3">
        <f>500+140</f>
        <v>640</v>
      </c>
      <c r="G227" s="8">
        <v>1</v>
      </c>
    </row>
    <row r="228" spans="1:7">
      <c r="A228" s="108" t="s">
        <v>23</v>
      </c>
      <c r="B228" s="3" t="s">
        <v>239</v>
      </c>
      <c r="C228" s="29" t="s">
        <v>241</v>
      </c>
      <c r="D228" s="15"/>
      <c r="E228" s="16" t="s">
        <v>562</v>
      </c>
    </row>
    <row r="229" spans="1:7">
      <c r="A229" s="108"/>
      <c r="B229" s="3" t="s">
        <v>240</v>
      </c>
      <c r="C229" s="29" t="s">
        <v>239</v>
      </c>
      <c r="D229" s="15"/>
      <c r="E229" s="16" t="s">
        <v>563</v>
      </c>
    </row>
    <row r="230" spans="1:7">
      <c r="A230" s="108"/>
      <c r="B230" s="3" t="s">
        <v>241</v>
      </c>
      <c r="C230" s="29" t="s">
        <v>242</v>
      </c>
      <c r="D230" s="15"/>
      <c r="E230" s="16" t="s">
        <v>564</v>
      </c>
    </row>
    <row r="231" spans="1:7">
      <c r="A231" s="108"/>
      <c r="B231" s="3" t="s">
        <v>242</v>
      </c>
      <c r="C231" s="29" t="s">
        <v>240</v>
      </c>
      <c r="D231" s="15"/>
      <c r="E231" s="16" t="s">
        <v>565</v>
      </c>
    </row>
    <row r="232" spans="1:7">
      <c r="A232" s="108" t="s">
        <v>24</v>
      </c>
      <c r="B232" s="3" t="s">
        <v>243</v>
      </c>
      <c r="C232" s="29" t="s">
        <v>243</v>
      </c>
      <c r="D232" s="15"/>
      <c r="E232" s="16" t="s">
        <v>566</v>
      </c>
    </row>
    <row r="233" spans="1:7">
      <c r="A233" s="108"/>
      <c r="B233" s="3" t="s">
        <v>244</v>
      </c>
      <c r="C233" s="29" t="s">
        <v>245</v>
      </c>
      <c r="D233" s="15"/>
      <c r="E233" s="16" t="s">
        <v>567</v>
      </c>
    </row>
    <row r="234" spans="1:7">
      <c r="A234" s="108"/>
      <c r="B234" s="3" t="s">
        <v>245</v>
      </c>
      <c r="C234" s="29" t="s">
        <v>244</v>
      </c>
      <c r="D234" s="15"/>
      <c r="E234" s="16" t="s">
        <v>568</v>
      </c>
    </row>
    <row r="235" spans="1:7">
      <c r="A235" s="108"/>
      <c r="B235" s="3" t="s">
        <v>246</v>
      </c>
      <c r="C235" s="29" t="s">
        <v>246</v>
      </c>
      <c r="D235" s="15" t="s">
        <v>807</v>
      </c>
      <c r="E235" s="16" t="s">
        <v>569</v>
      </c>
      <c r="F235" s="3">
        <v>1300</v>
      </c>
      <c r="G235" s="8">
        <v>1</v>
      </c>
    </row>
    <row r="236" spans="1:7">
      <c r="A236" s="108"/>
      <c r="C236" s="29" t="s">
        <v>570</v>
      </c>
      <c r="D236" s="15"/>
      <c r="E236" s="16" t="s">
        <v>571</v>
      </c>
    </row>
    <row r="237" spans="1:7">
      <c r="A237" s="108" t="s">
        <v>25</v>
      </c>
      <c r="B237" s="3" t="s">
        <v>247</v>
      </c>
      <c r="C237" s="29" t="s">
        <v>247</v>
      </c>
      <c r="D237" s="15"/>
      <c r="E237" s="16" t="s">
        <v>572</v>
      </c>
    </row>
    <row r="238" spans="1:7">
      <c r="A238" s="108"/>
      <c r="B238" s="3" t="s">
        <v>248</v>
      </c>
      <c r="C238" s="29" t="s">
        <v>248</v>
      </c>
      <c r="D238" s="15"/>
      <c r="E238" s="16" t="s">
        <v>573</v>
      </c>
    </row>
    <row r="239" spans="1:7">
      <c r="A239" s="108"/>
      <c r="B239" s="3" t="s">
        <v>249</v>
      </c>
      <c r="C239" s="29" t="s">
        <v>252</v>
      </c>
      <c r="D239" s="15"/>
      <c r="E239" s="16" t="s">
        <v>574</v>
      </c>
    </row>
    <row r="240" spans="1:7">
      <c r="A240" s="108"/>
      <c r="B240" s="3" t="s">
        <v>250</v>
      </c>
      <c r="C240" s="29" t="s">
        <v>254</v>
      </c>
      <c r="D240" s="15"/>
      <c r="E240" s="16" t="s">
        <v>575</v>
      </c>
    </row>
    <row r="241" spans="1:7">
      <c r="A241" s="108"/>
      <c r="B241" s="3" t="s">
        <v>251</v>
      </c>
      <c r="C241" s="29" t="s">
        <v>251</v>
      </c>
      <c r="D241" s="32"/>
      <c r="E241" s="16" t="s">
        <v>576</v>
      </c>
    </row>
    <row r="242" spans="1:7" ht="29.25">
      <c r="A242" s="108"/>
      <c r="B242" s="3" t="s">
        <v>252</v>
      </c>
      <c r="C242" s="29" t="s">
        <v>253</v>
      </c>
      <c r="D242" s="15" t="s">
        <v>826</v>
      </c>
      <c r="E242" s="16" t="s">
        <v>577</v>
      </c>
      <c r="F242" s="3">
        <f>500+200</f>
        <v>700</v>
      </c>
      <c r="G242" s="8">
        <v>1</v>
      </c>
    </row>
    <row r="243" spans="1:7">
      <c r="A243" s="108"/>
      <c r="B243" s="3" t="s">
        <v>253</v>
      </c>
      <c r="C243" s="29" t="s">
        <v>250</v>
      </c>
      <c r="D243" s="15"/>
      <c r="E243" s="16" t="s">
        <v>578</v>
      </c>
    </row>
    <row r="244" spans="1:7">
      <c r="A244" s="108"/>
      <c r="B244" s="3" t="s">
        <v>254</v>
      </c>
      <c r="C244" s="29" t="s">
        <v>249</v>
      </c>
      <c r="D244" s="15"/>
      <c r="E244" s="16" t="s">
        <v>579</v>
      </c>
    </row>
    <row r="245" spans="1:7">
      <c r="A245" s="108" t="s">
        <v>26</v>
      </c>
      <c r="B245" s="3" t="s">
        <v>255</v>
      </c>
      <c r="C245" s="29" t="s">
        <v>294</v>
      </c>
      <c r="D245" s="32"/>
      <c r="E245" s="16" t="s">
        <v>580</v>
      </c>
    </row>
    <row r="246" spans="1:7" ht="29.25">
      <c r="A246" s="108"/>
      <c r="B246" s="3" t="s">
        <v>256</v>
      </c>
      <c r="C246" s="29" t="s">
        <v>268</v>
      </c>
      <c r="D246" s="15"/>
      <c r="E246" s="16" t="s">
        <v>581</v>
      </c>
    </row>
    <row r="247" spans="1:7">
      <c r="A247" s="108"/>
      <c r="B247" s="3" t="s">
        <v>257</v>
      </c>
      <c r="C247" s="29" t="s">
        <v>280</v>
      </c>
      <c r="D247" s="15"/>
      <c r="E247" s="16" t="s">
        <v>582</v>
      </c>
    </row>
    <row r="248" spans="1:7">
      <c r="A248" s="108"/>
      <c r="B248" s="3" t="s">
        <v>258</v>
      </c>
      <c r="C248" s="29" t="s">
        <v>270</v>
      </c>
      <c r="D248" s="15"/>
      <c r="E248" s="16" t="s">
        <v>583</v>
      </c>
    </row>
    <row r="249" spans="1:7">
      <c r="A249" s="108"/>
      <c r="B249" s="3" t="s">
        <v>259</v>
      </c>
      <c r="C249" s="29" t="s">
        <v>285</v>
      </c>
      <c r="D249" s="15"/>
      <c r="E249" s="16" t="s">
        <v>584</v>
      </c>
    </row>
    <row r="250" spans="1:7">
      <c r="A250" s="108"/>
      <c r="B250" s="3" t="s">
        <v>260</v>
      </c>
      <c r="C250" s="29" t="s">
        <v>264</v>
      </c>
      <c r="D250" s="15"/>
      <c r="E250" s="16" t="s">
        <v>585</v>
      </c>
    </row>
    <row r="251" spans="1:7">
      <c r="A251" s="108"/>
      <c r="B251" s="3" t="s">
        <v>261</v>
      </c>
      <c r="C251" s="29" t="s">
        <v>269</v>
      </c>
      <c r="D251" s="15"/>
      <c r="E251" s="16" t="s">
        <v>586</v>
      </c>
    </row>
    <row r="252" spans="1:7" ht="29.25">
      <c r="A252" s="108"/>
      <c r="B252" s="3" t="s">
        <v>262</v>
      </c>
      <c r="C252" s="29" t="s">
        <v>277</v>
      </c>
      <c r="D252" s="15"/>
      <c r="E252" s="16" t="s">
        <v>587</v>
      </c>
    </row>
    <row r="253" spans="1:7">
      <c r="A253" s="108"/>
      <c r="B253" s="3" t="s">
        <v>263</v>
      </c>
      <c r="C253" s="29" t="s">
        <v>295</v>
      </c>
      <c r="D253" s="15"/>
      <c r="E253" s="16" t="s">
        <v>588</v>
      </c>
    </row>
    <row r="254" spans="1:7" ht="43.5">
      <c r="A254" s="108"/>
      <c r="B254" s="3" t="s">
        <v>264</v>
      </c>
      <c r="C254" s="29" t="s">
        <v>266</v>
      </c>
      <c r="D254" s="15" t="s">
        <v>827</v>
      </c>
      <c r="E254" s="16" t="s">
        <v>589</v>
      </c>
      <c r="F254" s="3">
        <f>1220+150+500</f>
        <v>1870</v>
      </c>
      <c r="G254" s="8">
        <v>1</v>
      </c>
    </row>
    <row r="255" spans="1:7">
      <c r="A255" s="108"/>
      <c r="B255" s="3" t="s">
        <v>265</v>
      </c>
      <c r="C255" s="29" t="s">
        <v>263</v>
      </c>
      <c r="E255" s="16" t="s">
        <v>590</v>
      </c>
    </row>
    <row r="256" spans="1:7">
      <c r="A256" s="108"/>
      <c r="B256" s="3" t="s">
        <v>266</v>
      </c>
      <c r="C256" s="29" t="s">
        <v>279</v>
      </c>
      <c r="D256" s="15"/>
      <c r="E256" s="16" t="s">
        <v>591</v>
      </c>
    </row>
    <row r="257" spans="1:5" ht="29.25">
      <c r="A257" s="108"/>
      <c r="B257" s="3" t="s">
        <v>267</v>
      </c>
      <c r="C257" s="29" t="s">
        <v>272</v>
      </c>
      <c r="D257" s="15"/>
      <c r="E257" s="16" t="s">
        <v>592</v>
      </c>
    </row>
    <row r="258" spans="1:5">
      <c r="A258" s="108"/>
      <c r="B258" s="3" t="s">
        <v>268</v>
      </c>
      <c r="C258" s="29" t="s">
        <v>271</v>
      </c>
      <c r="D258" s="15"/>
      <c r="E258" s="16" t="s">
        <v>593</v>
      </c>
    </row>
    <row r="259" spans="1:5" ht="29.25">
      <c r="A259" s="108"/>
      <c r="B259" s="3" t="s">
        <v>269</v>
      </c>
      <c r="C259" s="29" t="s">
        <v>275</v>
      </c>
      <c r="D259" s="15"/>
      <c r="E259" s="16" t="s">
        <v>594</v>
      </c>
    </row>
    <row r="260" spans="1:5">
      <c r="A260" s="108"/>
      <c r="B260" s="3" t="s">
        <v>270</v>
      </c>
      <c r="C260" s="29" t="s">
        <v>267</v>
      </c>
      <c r="D260" s="15"/>
      <c r="E260" s="16" t="s">
        <v>595</v>
      </c>
    </row>
    <row r="261" spans="1:5">
      <c r="A261" s="108"/>
      <c r="B261" s="3" t="s">
        <v>271</v>
      </c>
      <c r="C261" s="29" t="s">
        <v>274</v>
      </c>
      <c r="D261" s="15"/>
      <c r="E261" s="16" t="s">
        <v>596</v>
      </c>
    </row>
    <row r="262" spans="1:5">
      <c r="A262" s="108"/>
      <c r="B262" s="3" t="s">
        <v>272</v>
      </c>
      <c r="C262" s="29" t="s">
        <v>282</v>
      </c>
      <c r="D262" s="15"/>
      <c r="E262" s="16" t="s">
        <v>597</v>
      </c>
    </row>
    <row r="263" spans="1:5">
      <c r="A263" s="108"/>
      <c r="B263" s="3" t="s">
        <v>273</v>
      </c>
      <c r="C263" s="29" t="s">
        <v>287</v>
      </c>
      <c r="D263" s="15"/>
      <c r="E263" s="16" t="s">
        <v>598</v>
      </c>
    </row>
    <row r="264" spans="1:5">
      <c r="A264" s="108"/>
      <c r="B264" s="3" t="s">
        <v>274</v>
      </c>
      <c r="C264" s="29" t="s">
        <v>265</v>
      </c>
      <c r="D264" s="15"/>
      <c r="E264" s="16" t="s">
        <v>599</v>
      </c>
    </row>
    <row r="265" spans="1:5">
      <c r="A265" s="108"/>
      <c r="B265" s="3" t="s">
        <v>275</v>
      </c>
      <c r="C265" s="29" t="s">
        <v>293</v>
      </c>
      <c r="D265" s="15"/>
      <c r="E265" s="16" t="s">
        <v>600</v>
      </c>
    </row>
    <row r="266" spans="1:5">
      <c r="A266" s="108"/>
      <c r="B266" s="3" t="s">
        <v>276</v>
      </c>
      <c r="C266" s="29" t="s">
        <v>292</v>
      </c>
      <c r="D266" s="15"/>
      <c r="E266" s="16" t="s">
        <v>601</v>
      </c>
    </row>
    <row r="267" spans="1:5" ht="29.25">
      <c r="A267" s="108"/>
      <c r="B267" s="3" t="s">
        <v>277</v>
      </c>
      <c r="C267" s="29" t="s">
        <v>291</v>
      </c>
      <c r="D267" s="15"/>
      <c r="E267" s="16" t="s">
        <v>602</v>
      </c>
    </row>
    <row r="268" spans="1:5">
      <c r="A268" s="108"/>
      <c r="B268" s="3" t="s">
        <v>278</v>
      </c>
      <c r="C268" s="29" t="s">
        <v>290</v>
      </c>
      <c r="D268" s="15"/>
      <c r="E268" s="16" t="s">
        <v>603</v>
      </c>
    </row>
    <row r="269" spans="1:5" ht="29.25">
      <c r="A269" s="108"/>
      <c r="B269" s="3" t="s">
        <v>279</v>
      </c>
      <c r="C269" s="29" t="s">
        <v>289</v>
      </c>
      <c r="D269" s="15"/>
      <c r="E269" s="16" t="s">
        <v>604</v>
      </c>
    </row>
    <row r="270" spans="1:5" ht="29.25">
      <c r="A270" s="108"/>
      <c r="B270" s="3" t="s">
        <v>280</v>
      </c>
      <c r="C270" s="29" t="s">
        <v>286</v>
      </c>
      <c r="D270" s="15"/>
      <c r="E270" s="16" t="s">
        <v>605</v>
      </c>
    </row>
    <row r="271" spans="1:5">
      <c r="A271" s="108"/>
      <c r="B271" s="3" t="s">
        <v>281</v>
      </c>
      <c r="C271" s="29" t="s">
        <v>283</v>
      </c>
      <c r="D271" s="15"/>
      <c r="E271" s="16" t="s">
        <v>606</v>
      </c>
    </row>
    <row r="272" spans="1:5">
      <c r="A272" s="108"/>
      <c r="B272" s="3" t="s">
        <v>282</v>
      </c>
      <c r="C272" s="29" t="s">
        <v>276</v>
      </c>
      <c r="D272" s="15"/>
      <c r="E272" s="16" t="s">
        <v>607</v>
      </c>
    </row>
    <row r="273" spans="1:5">
      <c r="A273" s="108"/>
      <c r="B273" s="3" t="s">
        <v>283</v>
      </c>
      <c r="C273" s="29" t="s">
        <v>273</v>
      </c>
      <c r="D273" s="15"/>
      <c r="E273" s="16" t="s">
        <v>608</v>
      </c>
    </row>
    <row r="274" spans="1:5" ht="29.25">
      <c r="A274" s="108"/>
      <c r="B274" s="3" t="s">
        <v>284</v>
      </c>
      <c r="C274" s="29" t="s">
        <v>288</v>
      </c>
      <c r="D274" s="15"/>
      <c r="E274" s="16" t="s">
        <v>609</v>
      </c>
    </row>
    <row r="275" spans="1:5">
      <c r="A275" s="108"/>
      <c r="B275" s="3" t="s">
        <v>285</v>
      </c>
      <c r="C275" s="29" t="s">
        <v>284</v>
      </c>
      <c r="D275" s="15"/>
      <c r="E275" s="16" t="s">
        <v>610</v>
      </c>
    </row>
    <row r="276" spans="1:5">
      <c r="A276" s="108"/>
      <c r="B276" s="3" t="s">
        <v>286</v>
      </c>
      <c r="C276" s="29" t="s">
        <v>281</v>
      </c>
      <c r="D276" s="15"/>
      <c r="E276" s="16" t="s">
        <v>611</v>
      </c>
    </row>
    <row r="277" spans="1:5">
      <c r="A277" s="108"/>
      <c r="B277" s="3" t="s">
        <v>287</v>
      </c>
      <c r="C277" s="29" t="s">
        <v>278</v>
      </c>
      <c r="D277" s="15"/>
      <c r="E277" s="16" t="s">
        <v>612</v>
      </c>
    </row>
    <row r="278" spans="1:5">
      <c r="A278" s="108"/>
      <c r="B278" s="3" t="s">
        <v>288</v>
      </c>
      <c r="C278" s="29" t="s">
        <v>255</v>
      </c>
      <c r="D278" s="15"/>
      <c r="E278" s="16" t="s">
        <v>613</v>
      </c>
    </row>
    <row r="279" spans="1:5">
      <c r="A279" s="108"/>
      <c r="B279" s="3" t="s">
        <v>289</v>
      </c>
      <c r="C279" s="29" t="s">
        <v>256</v>
      </c>
      <c r="D279" s="15"/>
      <c r="E279" s="16" t="s">
        <v>614</v>
      </c>
    </row>
    <row r="280" spans="1:5">
      <c r="A280" s="108"/>
      <c r="B280" s="3" t="s">
        <v>290</v>
      </c>
      <c r="C280" s="29" t="s">
        <v>261</v>
      </c>
      <c r="D280" s="15"/>
      <c r="E280" s="16" t="s">
        <v>615</v>
      </c>
    </row>
    <row r="281" spans="1:5">
      <c r="A281" s="108"/>
      <c r="B281" s="3" t="s">
        <v>291</v>
      </c>
      <c r="C281" s="29" t="s">
        <v>259</v>
      </c>
      <c r="D281" s="15"/>
      <c r="E281" s="16" t="s">
        <v>616</v>
      </c>
    </row>
    <row r="282" spans="1:5">
      <c r="A282" s="108"/>
      <c r="B282" s="3" t="s">
        <v>292</v>
      </c>
      <c r="C282" s="29" t="s">
        <v>260</v>
      </c>
      <c r="D282" s="31"/>
      <c r="E282" s="16" t="s">
        <v>617</v>
      </c>
    </row>
    <row r="283" spans="1:5">
      <c r="A283" s="108"/>
      <c r="B283" s="3" t="s">
        <v>293</v>
      </c>
      <c r="C283" s="29" t="s">
        <v>258</v>
      </c>
      <c r="D283" s="15"/>
      <c r="E283" s="16" t="s">
        <v>618</v>
      </c>
    </row>
    <row r="284" spans="1:5">
      <c r="A284" s="108"/>
      <c r="B284" s="3" t="s">
        <v>294</v>
      </c>
      <c r="C284" s="29" t="s">
        <v>257</v>
      </c>
      <c r="D284" s="15"/>
      <c r="E284" s="16" t="s">
        <v>619</v>
      </c>
    </row>
    <row r="285" spans="1:5">
      <c r="A285" s="108"/>
      <c r="B285" s="3" t="s">
        <v>295</v>
      </c>
      <c r="C285" s="29" t="s">
        <v>262</v>
      </c>
      <c r="D285" s="15"/>
      <c r="E285" s="16" t="s">
        <v>620</v>
      </c>
    </row>
    <row r="286" spans="1:5">
      <c r="A286" s="108" t="s">
        <v>27</v>
      </c>
      <c r="B286" s="3" t="s">
        <v>296</v>
      </c>
      <c r="C286" s="21" t="s">
        <v>298</v>
      </c>
      <c r="E286" s="19" t="s">
        <v>629</v>
      </c>
    </row>
    <row r="287" spans="1:5">
      <c r="A287" s="108"/>
      <c r="B287" s="3" t="s">
        <v>297</v>
      </c>
      <c r="C287" s="19" t="s">
        <v>297</v>
      </c>
      <c r="E287" s="19" t="s">
        <v>630</v>
      </c>
    </row>
    <row r="288" spans="1:5">
      <c r="A288" s="108"/>
      <c r="B288" s="3" t="s">
        <v>298</v>
      </c>
      <c r="C288" s="19" t="s">
        <v>299</v>
      </c>
      <c r="E288" s="19" t="s">
        <v>631</v>
      </c>
    </row>
    <row r="289" spans="1:5">
      <c r="A289" s="108"/>
      <c r="B289" s="3" t="s">
        <v>299</v>
      </c>
      <c r="C289" s="29" t="s">
        <v>625</v>
      </c>
      <c r="E289" s="19" t="s">
        <v>632</v>
      </c>
    </row>
    <row r="290" spans="1:5">
      <c r="A290" s="108"/>
      <c r="B290" s="3" t="s">
        <v>300</v>
      </c>
      <c r="C290" s="21" t="s">
        <v>626</v>
      </c>
      <c r="E290" s="19" t="s">
        <v>633</v>
      </c>
    </row>
    <row r="291" spans="1:5">
      <c r="A291" s="108"/>
      <c r="B291" s="3" t="s">
        <v>301</v>
      </c>
      <c r="C291" s="21" t="s">
        <v>627</v>
      </c>
      <c r="E291" s="19" t="s">
        <v>634</v>
      </c>
    </row>
    <row r="292" spans="1:5">
      <c r="A292" s="108"/>
      <c r="B292" s="3" t="s">
        <v>302</v>
      </c>
      <c r="C292" s="21" t="s">
        <v>628</v>
      </c>
      <c r="E292" s="19" t="s">
        <v>635</v>
      </c>
    </row>
    <row r="293" spans="1:5">
      <c r="A293" s="108"/>
      <c r="C293" s="12" t="s">
        <v>302</v>
      </c>
      <c r="E293" s="19"/>
    </row>
    <row r="294" spans="1:5">
      <c r="A294" s="108"/>
      <c r="C294" s="12" t="s">
        <v>301</v>
      </c>
      <c r="E294" s="19"/>
    </row>
    <row r="295" spans="1:5">
      <c r="A295" s="108"/>
      <c r="C295" s="12" t="s">
        <v>300</v>
      </c>
      <c r="E295" s="19"/>
    </row>
    <row r="296" spans="1:5">
      <c r="A296" s="108"/>
      <c r="C296" s="12" t="s">
        <v>296</v>
      </c>
      <c r="E296" s="19"/>
    </row>
    <row r="297" spans="1:5">
      <c r="A297" s="108" t="s">
        <v>636</v>
      </c>
      <c r="B297" s="3" t="s">
        <v>303</v>
      </c>
      <c r="C297" s="21" t="s">
        <v>305</v>
      </c>
      <c r="D297" s="20"/>
      <c r="E297" s="21" t="s">
        <v>637</v>
      </c>
    </row>
    <row r="298" spans="1:5">
      <c r="A298" s="108"/>
      <c r="B298" s="3" t="s">
        <v>304</v>
      </c>
      <c r="C298" s="21" t="s">
        <v>307</v>
      </c>
      <c r="D298" s="20"/>
      <c r="E298" s="21" t="s">
        <v>638</v>
      </c>
    </row>
    <row r="299" spans="1:5">
      <c r="A299" s="108"/>
      <c r="B299" s="3" t="s">
        <v>305</v>
      </c>
      <c r="C299" s="21" t="s">
        <v>309</v>
      </c>
      <c r="D299" s="20"/>
      <c r="E299" s="21" t="s">
        <v>639</v>
      </c>
    </row>
    <row r="300" spans="1:5">
      <c r="A300" s="108"/>
      <c r="B300" s="3" t="s">
        <v>306</v>
      </c>
      <c r="C300" s="21" t="s">
        <v>303</v>
      </c>
      <c r="D300" s="20"/>
      <c r="E300" s="21" t="s">
        <v>640</v>
      </c>
    </row>
    <row r="301" spans="1:5">
      <c r="A301" s="108"/>
      <c r="B301" s="3" t="s">
        <v>307</v>
      </c>
      <c r="C301" s="21" t="s">
        <v>308</v>
      </c>
      <c r="D301" s="20"/>
      <c r="E301" s="21" t="s">
        <v>641</v>
      </c>
    </row>
    <row r="302" spans="1:5">
      <c r="A302" s="108"/>
      <c r="B302" s="3" t="s">
        <v>308</v>
      </c>
      <c r="C302" s="21" t="s">
        <v>304</v>
      </c>
      <c r="D302" s="20"/>
      <c r="E302" s="21" t="s">
        <v>642</v>
      </c>
    </row>
    <row r="303" spans="1:5">
      <c r="A303" s="108"/>
      <c r="B303" s="3" t="s">
        <v>309</v>
      </c>
      <c r="C303" s="21" t="s">
        <v>306</v>
      </c>
      <c r="D303" s="20"/>
      <c r="E303" s="21" t="s">
        <v>643</v>
      </c>
    </row>
    <row r="304" spans="1:5">
      <c r="A304" s="26" t="s">
        <v>28</v>
      </c>
      <c r="B304" s="3" t="s">
        <v>310</v>
      </c>
      <c r="C304" s="33" t="s">
        <v>310</v>
      </c>
      <c r="D304" s="34"/>
      <c r="E304" s="33" t="s">
        <v>644</v>
      </c>
    </row>
    <row r="305" spans="1:5">
      <c r="A305" s="24" t="s">
        <v>29</v>
      </c>
      <c r="B305" s="3" t="s">
        <v>311</v>
      </c>
      <c r="C305" s="19" t="s">
        <v>311</v>
      </c>
      <c r="D305" s="16"/>
      <c r="E305" s="16" t="s">
        <v>645</v>
      </c>
    </row>
    <row r="306" spans="1:5">
      <c r="A306" s="108" t="s">
        <v>30</v>
      </c>
      <c r="B306" s="3" t="s">
        <v>35</v>
      </c>
      <c r="C306" s="19" t="s">
        <v>33</v>
      </c>
      <c r="D306" s="16"/>
      <c r="E306" s="19" t="s">
        <v>646</v>
      </c>
    </row>
    <row r="307" spans="1:5">
      <c r="A307" s="108"/>
      <c r="B307" s="3" t="s">
        <v>34</v>
      </c>
      <c r="C307" s="19" t="s">
        <v>34</v>
      </c>
      <c r="D307" s="16"/>
      <c r="E307" s="19" t="s">
        <v>647</v>
      </c>
    </row>
    <row r="308" spans="1:5">
      <c r="A308" s="108"/>
      <c r="B308" s="3" t="s">
        <v>33</v>
      </c>
      <c r="C308" s="19" t="s">
        <v>35</v>
      </c>
      <c r="D308" s="16"/>
      <c r="E308" s="19" t="s">
        <v>648</v>
      </c>
    </row>
    <row r="309" spans="1:5">
      <c r="A309" s="108" t="s">
        <v>31</v>
      </c>
      <c r="B309" s="3" t="s">
        <v>312</v>
      </c>
      <c r="C309" s="19" t="s">
        <v>315</v>
      </c>
      <c r="D309" s="16"/>
      <c r="E309" s="19" t="s">
        <v>649</v>
      </c>
    </row>
    <row r="310" spans="1:5">
      <c r="A310" s="108"/>
      <c r="B310" s="3" t="s">
        <v>313</v>
      </c>
      <c r="C310" s="19" t="s">
        <v>314</v>
      </c>
      <c r="D310" s="16"/>
      <c r="E310" s="19" t="s">
        <v>650</v>
      </c>
    </row>
    <row r="311" spans="1:5" ht="29.25">
      <c r="A311" s="108"/>
      <c r="B311" s="3" t="s">
        <v>314</v>
      </c>
      <c r="C311" s="19" t="s">
        <v>313</v>
      </c>
      <c r="D311" s="16"/>
      <c r="E311" s="16" t="s">
        <v>651</v>
      </c>
    </row>
    <row r="312" spans="1:5">
      <c r="A312" s="108"/>
      <c r="B312" s="3" t="s">
        <v>315</v>
      </c>
      <c r="C312" s="19" t="s">
        <v>312</v>
      </c>
      <c r="D312" s="16"/>
      <c r="E312" s="16" t="s">
        <v>652</v>
      </c>
    </row>
    <row r="313" spans="1:5">
      <c r="A313" s="26" t="s">
        <v>32</v>
      </c>
      <c r="B313" s="3" t="s">
        <v>5018</v>
      </c>
      <c r="C313" s="19" t="s">
        <v>5018</v>
      </c>
    </row>
    <row r="314" spans="1:5">
      <c r="A314" s="26" t="s">
        <v>654</v>
      </c>
      <c r="B314" s="3" t="s">
        <v>656</v>
      </c>
      <c r="C314" s="19" t="s">
        <v>656</v>
      </c>
      <c r="E314" s="3" t="s">
        <v>654</v>
      </c>
    </row>
    <row r="315" spans="1:5">
      <c r="A315" s="26" t="s">
        <v>2150</v>
      </c>
      <c r="C315" s="19" t="s">
        <v>655</v>
      </c>
      <c r="E315" s="3" t="s">
        <v>653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8"/>
  <sheetViews>
    <sheetView zoomScale="70" zoomScaleNormal="70" workbookViewId="0">
      <pane xSplit="2" ySplit="1" topLeftCell="C275" activePane="bottomRight" state="frozen"/>
      <selection pane="topRight" activeCell="C1" sqref="C1"/>
      <selection pane="bottomLeft" activeCell="A2" sqref="A2"/>
      <selection pane="bottomRight" activeCell="H290" sqref="H290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18.375" style="3" customWidth="1"/>
    <col min="5" max="5" width="29.875" style="3" bestFit="1" customWidth="1"/>
    <col min="6" max="6" width="23" style="3" customWidth="1"/>
    <col min="7" max="7" width="10.625" style="8" customWidth="1"/>
    <col min="8" max="8" width="20.625" style="3" bestFit="1" customWidth="1"/>
    <col min="9" max="16384" width="10.875" style="3"/>
  </cols>
  <sheetData>
    <row r="1" spans="1:9">
      <c r="A1" s="22" t="s">
        <v>0</v>
      </c>
      <c r="B1" s="22" t="s">
        <v>657</v>
      </c>
      <c r="C1" s="22" t="s">
        <v>1</v>
      </c>
      <c r="D1" s="22" t="s">
        <v>2</v>
      </c>
      <c r="E1" s="22" t="s">
        <v>658</v>
      </c>
      <c r="F1" s="22" t="s">
        <v>734</v>
      </c>
      <c r="G1" s="23" t="s">
        <v>949</v>
      </c>
      <c r="H1" s="1" t="s">
        <v>951</v>
      </c>
    </row>
    <row r="2" spans="1:9" ht="29.25">
      <c r="A2" s="108" t="s">
        <v>3</v>
      </c>
      <c r="B2" s="3" t="s">
        <v>37</v>
      </c>
      <c r="C2" s="29" t="s">
        <v>36</v>
      </c>
      <c r="D2" s="15"/>
      <c r="E2" s="16" t="s">
        <v>621</v>
      </c>
      <c r="G2" s="8">
        <f>1/11</f>
        <v>9.0909090909090912E-2</v>
      </c>
      <c r="H2" s="73" t="s">
        <v>950</v>
      </c>
      <c r="I2" s="14"/>
    </row>
    <row r="3" spans="1:9">
      <c r="A3" s="108"/>
      <c r="B3" s="3" t="s">
        <v>38</v>
      </c>
      <c r="C3" s="29" t="s">
        <v>46</v>
      </c>
      <c r="D3" s="15"/>
      <c r="E3" s="16" t="s">
        <v>316</v>
      </c>
      <c r="G3" s="8">
        <f t="shared" ref="G3:G12" si="0">1/11</f>
        <v>9.0909090909090912E-2</v>
      </c>
      <c r="H3" s="73" t="s">
        <v>950</v>
      </c>
      <c r="I3" s="14"/>
    </row>
    <row r="4" spans="1:9">
      <c r="A4" s="108"/>
      <c r="B4" s="3" t="s">
        <v>39</v>
      </c>
      <c r="C4" s="29" t="s">
        <v>40</v>
      </c>
      <c r="D4" s="15"/>
      <c r="E4" s="16" t="s">
        <v>317</v>
      </c>
      <c r="G4" s="8">
        <f t="shared" si="0"/>
        <v>9.0909090909090912E-2</v>
      </c>
      <c r="H4" s="73" t="s">
        <v>950</v>
      </c>
      <c r="I4" s="14"/>
    </row>
    <row r="5" spans="1:9">
      <c r="A5" s="108"/>
      <c r="B5" s="3" t="s">
        <v>40</v>
      </c>
      <c r="C5" s="29" t="s">
        <v>44</v>
      </c>
      <c r="D5" s="15"/>
      <c r="E5" s="16" t="s">
        <v>318</v>
      </c>
      <c r="G5" s="8">
        <f t="shared" si="0"/>
        <v>9.0909090909090912E-2</v>
      </c>
      <c r="H5" s="73" t="s">
        <v>950</v>
      </c>
      <c r="I5" s="14"/>
    </row>
    <row r="6" spans="1:9">
      <c r="A6" s="108"/>
      <c r="B6" s="3" t="s">
        <v>41</v>
      </c>
      <c r="C6" s="29" t="s">
        <v>45</v>
      </c>
      <c r="D6" s="15"/>
      <c r="E6" s="16" t="s">
        <v>319</v>
      </c>
      <c r="G6" s="8">
        <f t="shared" si="0"/>
        <v>9.0909090909090912E-2</v>
      </c>
      <c r="H6" s="73" t="s">
        <v>950</v>
      </c>
      <c r="I6" s="14"/>
    </row>
    <row r="7" spans="1:9">
      <c r="A7" s="108"/>
      <c r="B7" s="3" t="s">
        <v>42</v>
      </c>
      <c r="C7" s="29" t="s">
        <v>37</v>
      </c>
      <c r="D7" s="15"/>
      <c r="E7" s="16" t="s">
        <v>320</v>
      </c>
      <c r="G7" s="8">
        <f t="shared" si="0"/>
        <v>9.0909090909090912E-2</v>
      </c>
      <c r="H7" s="73" t="s">
        <v>950</v>
      </c>
      <c r="I7" s="14"/>
    </row>
    <row r="8" spans="1:9">
      <c r="A8" s="108"/>
      <c r="B8" s="3" t="s">
        <v>43</v>
      </c>
      <c r="C8" s="29" t="s">
        <v>43</v>
      </c>
      <c r="D8" s="15"/>
      <c r="E8" s="16" t="s">
        <v>321</v>
      </c>
      <c r="G8" s="8">
        <f t="shared" si="0"/>
        <v>9.0909090909090912E-2</v>
      </c>
      <c r="H8" s="73" t="s">
        <v>950</v>
      </c>
      <c r="I8" s="14"/>
    </row>
    <row r="9" spans="1:9">
      <c r="A9" s="108"/>
      <c r="B9" s="3" t="s">
        <v>44</v>
      </c>
      <c r="C9" s="29" t="s">
        <v>42</v>
      </c>
      <c r="D9" s="15"/>
      <c r="E9" s="16" t="s">
        <v>322</v>
      </c>
      <c r="G9" s="8">
        <f t="shared" si="0"/>
        <v>9.0909090909090912E-2</v>
      </c>
      <c r="H9" s="73" t="s">
        <v>950</v>
      </c>
      <c r="I9" s="14"/>
    </row>
    <row r="10" spans="1:9">
      <c r="A10" s="108"/>
      <c r="B10" s="3" t="s">
        <v>45</v>
      </c>
      <c r="C10" s="29" t="s">
        <v>41</v>
      </c>
      <c r="D10" s="15"/>
      <c r="E10" s="16" t="s">
        <v>323</v>
      </c>
      <c r="G10" s="8">
        <f t="shared" si="0"/>
        <v>9.0909090909090912E-2</v>
      </c>
      <c r="H10" s="73" t="s">
        <v>950</v>
      </c>
      <c r="I10" s="14"/>
    </row>
    <row r="11" spans="1:9">
      <c r="A11" s="108"/>
      <c r="B11" s="3" t="s">
        <v>36</v>
      </c>
      <c r="C11" s="29" t="s">
        <v>39</v>
      </c>
      <c r="D11" s="15"/>
      <c r="E11" s="16" t="s">
        <v>324</v>
      </c>
      <c r="G11" s="8">
        <f t="shared" si="0"/>
        <v>9.0909090909090912E-2</v>
      </c>
      <c r="H11" s="73" t="s">
        <v>950</v>
      </c>
      <c r="I11" s="14"/>
    </row>
    <row r="12" spans="1:9">
      <c r="A12" s="108"/>
      <c r="B12" s="3" t="s">
        <v>46</v>
      </c>
      <c r="C12" s="29" t="s">
        <v>38</v>
      </c>
      <c r="D12" s="15"/>
      <c r="E12" s="16" t="s">
        <v>325</v>
      </c>
      <c r="G12" s="8">
        <f t="shared" si="0"/>
        <v>9.0909090909090912E-2</v>
      </c>
      <c r="H12" s="73" t="s">
        <v>950</v>
      </c>
      <c r="I12" s="14"/>
    </row>
    <row r="13" spans="1:9">
      <c r="A13" s="108" t="s">
        <v>4</v>
      </c>
      <c r="B13" s="3" t="s">
        <v>47</v>
      </c>
      <c r="C13" s="29" t="s">
        <v>47</v>
      </c>
      <c r="D13" s="15"/>
      <c r="E13" s="16" t="s">
        <v>326</v>
      </c>
      <c r="G13" s="8">
        <f>1/6</f>
        <v>0.16666666666666666</v>
      </c>
      <c r="H13" s="73" t="s">
        <v>950</v>
      </c>
      <c r="I13" s="14"/>
    </row>
    <row r="14" spans="1:9">
      <c r="A14" s="108"/>
      <c r="B14" s="3" t="s">
        <v>48</v>
      </c>
      <c r="C14" s="29" t="s">
        <v>49</v>
      </c>
      <c r="D14" s="15"/>
      <c r="E14" s="16" t="s">
        <v>327</v>
      </c>
      <c r="G14" s="8">
        <f t="shared" ref="G14:G18" si="1">1/6</f>
        <v>0.16666666666666666</v>
      </c>
      <c r="H14" s="73" t="s">
        <v>950</v>
      </c>
      <c r="I14" s="14"/>
    </row>
    <row r="15" spans="1:9">
      <c r="A15" s="108"/>
      <c r="B15" s="3" t="s">
        <v>49</v>
      </c>
      <c r="C15" s="29" t="s">
        <v>50</v>
      </c>
      <c r="D15" s="15"/>
      <c r="E15" s="16" t="s">
        <v>328</v>
      </c>
      <c r="G15" s="8">
        <f t="shared" si="1"/>
        <v>0.16666666666666666</v>
      </c>
      <c r="H15" s="73" t="s">
        <v>950</v>
      </c>
      <c r="I15" s="14"/>
    </row>
    <row r="16" spans="1:9">
      <c r="A16" s="108"/>
      <c r="B16" s="3" t="s">
        <v>50</v>
      </c>
      <c r="C16" s="29" t="s">
        <v>51</v>
      </c>
      <c r="D16" s="15"/>
      <c r="E16" s="16" t="s">
        <v>329</v>
      </c>
      <c r="G16" s="8">
        <f t="shared" si="1"/>
        <v>0.16666666666666666</v>
      </c>
      <c r="H16" s="73" t="s">
        <v>950</v>
      </c>
      <c r="I16" s="14"/>
    </row>
    <row r="17" spans="1:9">
      <c r="A17" s="108"/>
      <c r="B17" s="3" t="s">
        <v>51</v>
      </c>
      <c r="C17" s="29" t="s">
        <v>52</v>
      </c>
      <c r="D17" s="15"/>
      <c r="E17" s="16" t="s">
        <v>330</v>
      </c>
      <c r="G17" s="8">
        <f t="shared" si="1"/>
        <v>0.16666666666666666</v>
      </c>
      <c r="H17" s="73" t="s">
        <v>950</v>
      </c>
      <c r="I17" s="14"/>
    </row>
    <row r="18" spans="1:9">
      <c r="A18" s="108"/>
      <c r="B18" s="3" t="s">
        <v>52</v>
      </c>
      <c r="C18" s="29" t="s">
        <v>48</v>
      </c>
      <c r="D18" s="15"/>
      <c r="E18" s="16" t="s">
        <v>331</v>
      </c>
      <c r="G18" s="8">
        <f t="shared" si="1"/>
        <v>0.16666666666666666</v>
      </c>
      <c r="H18" s="73" t="s">
        <v>950</v>
      </c>
      <c r="I18" s="14"/>
    </row>
    <row r="19" spans="1:9">
      <c r="A19" s="108" t="s">
        <v>5</v>
      </c>
      <c r="B19" s="3" t="s">
        <v>53</v>
      </c>
      <c r="C19" s="29" t="s">
        <v>54</v>
      </c>
      <c r="D19" s="15"/>
      <c r="E19" s="16" t="s">
        <v>332</v>
      </c>
      <c r="G19" s="8">
        <f>1/8</f>
        <v>0.125</v>
      </c>
      <c r="H19" s="73" t="s">
        <v>950</v>
      </c>
      <c r="I19" s="14"/>
    </row>
    <row r="20" spans="1:9">
      <c r="A20" s="108"/>
      <c r="B20" s="3" t="s">
        <v>54</v>
      </c>
      <c r="C20" s="29" t="s">
        <v>53</v>
      </c>
      <c r="D20" s="15"/>
      <c r="E20" s="16" t="s">
        <v>333</v>
      </c>
      <c r="G20" s="8">
        <f t="shared" ref="G20:G26" si="2">1/8</f>
        <v>0.125</v>
      </c>
      <c r="H20" s="73" t="s">
        <v>950</v>
      </c>
      <c r="I20" s="14"/>
    </row>
    <row r="21" spans="1:9">
      <c r="A21" s="108"/>
      <c r="B21" s="3" t="s">
        <v>55</v>
      </c>
      <c r="C21" s="29" t="s">
        <v>60</v>
      </c>
      <c r="D21" s="15"/>
      <c r="E21" s="16" t="s">
        <v>334</v>
      </c>
      <c r="G21" s="8">
        <f t="shared" si="2"/>
        <v>0.125</v>
      </c>
      <c r="H21" s="73" t="s">
        <v>950</v>
      </c>
      <c r="I21" s="14"/>
    </row>
    <row r="22" spans="1:9">
      <c r="A22" s="108"/>
      <c r="B22" s="3" t="s">
        <v>56</v>
      </c>
      <c r="C22" s="29" t="s">
        <v>58</v>
      </c>
      <c r="D22" s="18"/>
      <c r="E22" s="16" t="s">
        <v>335</v>
      </c>
      <c r="G22" s="8">
        <f t="shared" si="2"/>
        <v>0.125</v>
      </c>
      <c r="H22" s="73" t="s">
        <v>950</v>
      </c>
      <c r="I22" s="14"/>
    </row>
    <row r="23" spans="1:9">
      <c r="A23" s="108"/>
      <c r="B23" s="3" t="s">
        <v>57</v>
      </c>
      <c r="C23" s="29" t="s">
        <v>57</v>
      </c>
      <c r="D23" s="15"/>
      <c r="E23" s="16" t="s">
        <v>336</v>
      </c>
      <c r="G23" s="8">
        <f t="shared" si="2"/>
        <v>0.125</v>
      </c>
      <c r="H23" s="73" t="s">
        <v>950</v>
      </c>
      <c r="I23" s="14"/>
    </row>
    <row r="24" spans="1:9">
      <c r="A24" s="108"/>
      <c r="B24" s="3" t="s">
        <v>58</v>
      </c>
      <c r="C24" s="29" t="s">
        <v>59</v>
      </c>
      <c r="D24" s="15"/>
      <c r="E24" s="16" t="s">
        <v>337</v>
      </c>
      <c r="G24" s="8">
        <f t="shared" si="2"/>
        <v>0.125</v>
      </c>
      <c r="H24" s="73" t="s">
        <v>950</v>
      </c>
      <c r="I24" s="14"/>
    </row>
    <row r="25" spans="1:9">
      <c r="A25" s="108"/>
      <c r="B25" s="3" t="s">
        <v>59</v>
      </c>
      <c r="C25" s="29" t="s">
        <v>55</v>
      </c>
      <c r="D25" s="15"/>
      <c r="E25" s="16" t="s">
        <v>338</v>
      </c>
      <c r="G25" s="8">
        <f t="shared" si="2"/>
        <v>0.125</v>
      </c>
      <c r="H25" s="73" t="s">
        <v>950</v>
      </c>
      <c r="I25" s="14"/>
    </row>
    <row r="26" spans="1:9">
      <c r="A26" s="108"/>
      <c r="B26" s="3" t="s">
        <v>60</v>
      </c>
      <c r="C26" s="29" t="s">
        <v>56</v>
      </c>
      <c r="D26" s="15"/>
      <c r="E26" s="16" t="s">
        <v>339</v>
      </c>
      <c r="G26" s="8">
        <f t="shared" si="2"/>
        <v>0.125</v>
      </c>
      <c r="H26" s="73" t="s">
        <v>950</v>
      </c>
      <c r="I26" s="14"/>
    </row>
    <row r="27" spans="1:9">
      <c r="A27" s="108" t="s">
        <v>6</v>
      </c>
      <c r="B27" s="3" t="s">
        <v>61</v>
      </c>
      <c r="C27" s="29" t="s">
        <v>64</v>
      </c>
      <c r="D27" s="15"/>
      <c r="E27" s="16" t="s">
        <v>340</v>
      </c>
      <c r="G27" s="8">
        <f>1/5</f>
        <v>0.2</v>
      </c>
      <c r="H27" s="73" t="s">
        <v>950</v>
      </c>
      <c r="I27" s="14"/>
    </row>
    <row r="28" spans="1:9">
      <c r="A28" s="108"/>
      <c r="B28" s="3" t="s">
        <v>62</v>
      </c>
      <c r="C28" s="29" t="s">
        <v>61</v>
      </c>
      <c r="D28" s="15"/>
      <c r="E28" s="16" t="s">
        <v>341</v>
      </c>
      <c r="G28" s="8">
        <f t="shared" ref="G28:G31" si="3">1/5</f>
        <v>0.2</v>
      </c>
      <c r="H28" s="73" t="s">
        <v>950</v>
      </c>
      <c r="I28" s="14"/>
    </row>
    <row r="29" spans="1:9">
      <c r="A29" s="108"/>
      <c r="B29" s="3" t="s">
        <v>63</v>
      </c>
      <c r="C29" s="29" t="s">
        <v>63</v>
      </c>
      <c r="D29" s="15"/>
      <c r="E29" s="16" t="s">
        <v>342</v>
      </c>
      <c r="G29" s="8">
        <f t="shared" si="3"/>
        <v>0.2</v>
      </c>
      <c r="H29" s="73" t="s">
        <v>950</v>
      </c>
      <c r="I29" s="14"/>
    </row>
    <row r="30" spans="1:9">
      <c r="A30" s="108"/>
      <c r="B30" s="3" t="s">
        <v>64</v>
      </c>
      <c r="C30" s="29" t="s">
        <v>65</v>
      </c>
      <c r="D30" s="15"/>
      <c r="E30" s="16" t="s">
        <v>343</v>
      </c>
      <c r="G30" s="8">
        <f t="shared" si="3"/>
        <v>0.2</v>
      </c>
      <c r="H30" s="73" t="s">
        <v>950</v>
      </c>
      <c r="I30" s="14"/>
    </row>
    <row r="31" spans="1:9">
      <c r="A31" s="108"/>
      <c r="B31" s="3" t="s">
        <v>65</v>
      </c>
      <c r="C31" s="29" t="s">
        <v>62</v>
      </c>
      <c r="D31" s="15"/>
      <c r="E31" s="16" t="s">
        <v>344</v>
      </c>
      <c r="G31" s="8">
        <f t="shared" si="3"/>
        <v>0.2</v>
      </c>
      <c r="H31" s="73" t="s">
        <v>950</v>
      </c>
      <c r="I31" s="14"/>
    </row>
    <row r="32" spans="1:9" ht="31.5">
      <c r="A32" s="108" t="s">
        <v>7</v>
      </c>
      <c r="B32" s="3" t="s">
        <v>66</v>
      </c>
      <c r="C32" s="29" t="s">
        <v>101</v>
      </c>
      <c r="D32" s="72" t="s">
        <v>945</v>
      </c>
      <c r="E32" s="16" t="s">
        <v>345</v>
      </c>
      <c r="I32" s="14"/>
    </row>
    <row r="33" spans="1:9">
      <c r="A33" s="108"/>
      <c r="B33" s="3" t="s">
        <v>67</v>
      </c>
      <c r="C33" s="29" t="s">
        <v>102</v>
      </c>
      <c r="D33" s="15"/>
      <c r="E33" s="16" t="s">
        <v>346</v>
      </c>
      <c r="I33" s="14"/>
    </row>
    <row r="34" spans="1:9" ht="78.75">
      <c r="A34" s="108"/>
      <c r="B34" s="3" t="s">
        <v>68</v>
      </c>
      <c r="C34" s="29" t="s">
        <v>103</v>
      </c>
      <c r="D34" s="72" t="s">
        <v>948</v>
      </c>
      <c r="E34" s="16" t="s">
        <v>347</v>
      </c>
      <c r="I34" s="14"/>
    </row>
    <row r="35" spans="1:9" ht="43.5">
      <c r="A35" s="108"/>
      <c r="B35" s="3" t="s">
        <v>69</v>
      </c>
      <c r="C35" s="29" t="s">
        <v>100</v>
      </c>
      <c r="D35" s="15" t="s">
        <v>942</v>
      </c>
      <c r="E35" s="16" t="s">
        <v>348</v>
      </c>
      <c r="I35" s="14"/>
    </row>
    <row r="36" spans="1:9" ht="43.5">
      <c r="A36" s="108"/>
      <c r="B36" s="3" t="s">
        <v>70</v>
      </c>
      <c r="C36" s="29" t="s">
        <v>97</v>
      </c>
      <c r="D36" s="31" t="s">
        <v>946</v>
      </c>
      <c r="E36" s="16" t="s">
        <v>349</v>
      </c>
      <c r="I36" s="14"/>
    </row>
    <row r="37" spans="1:9" ht="15.75">
      <c r="A37" s="108"/>
      <c r="B37" s="3" t="s">
        <v>71</v>
      </c>
      <c r="C37" s="29" t="s">
        <v>98</v>
      </c>
      <c r="D37" t="s">
        <v>939</v>
      </c>
      <c r="E37" s="16" t="s">
        <v>350</v>
      </c>
      <c r="I37" s="14"/>
    </row>
    <row r="38" spans="1:9">
      <c r="A38" s="108"/>
      <c r="B38" s="3" t="s">
        <v>72</v>
      </c>
      <c r="C38" s="29" t="s">
        <v>95</v>
      </c>
      <c r="D38" s="15"/>
      <c r="E38" s="16" t="s">
        <v>351</v>
      </c>
      <c r="I38" s="14"/>
    </row>
    <row r="39" spans="1:9">
      <c r="A39" s="108"/>
      <c r="B39" s="3" t="s">
        <v>73</v>
      </c>
      <c r="C39" s="29" t="s">
        <v>96</v>
      </c>
      <c r="D39" s="15"/>
      <c r="E39" s="16" t="s">
        <v>352</v>
      </c>
      <c r="I39" s="14"/>
    </row>
    <row r="40" spans="1:9">
      <c r="A40" s="108"/>
      <c r="B40" s="3" t="s">
        <v>74</v>
      </c>
      <c r="C40" s="29" t="s">
        <v>99</v>
      </c>
      <c r="D40" s="15"/>
      <c r="E40" s="16" t="s">
        <v>353</v>
      </c>
      <c r="I40" s="14"/>
    </row>
    <row r="41" spans="1:9">
      <c r="A41" s="108"/>
      <c r="B41" s="3" t="s">
        <v>75</v>
      </c>
      <c r="C41" s="29" t="s">
        <v>93</v>
      </c>
      <c r="D41" s="15"/>
      <c r="E41" s="16" t="s">
        <v>354</v>
      </c>
      <c r="I41" s="14"/>
    </row>
    <row r="42" spans="1:9" ht="47.25">
      <c r="A42" s="108"/>
      <c r="B42" s="3" t="s">
        <v>76</v>
      </c>
      <c r="C42" s="29" t="s">
        <v>94</v>
      </c>
      <c r="D42" s="72" t="s">
        <v>947</v>
      </c>
      <c r="E42" s="16" t="s">
        <v>355</v>
      </c>
      <c r="I42" s="14"/>
    </row>
    <row r="43" spans="1:9">
      <c r="A43" s="108"/>
      <c r="B43" s="3" t="s">
        <v>77</v>
      </c>
      <c r="C43" s="29" t="s">
        <v>92</v>
      </c>
      <c r="D43" s="15" t="s">
        <v>356</v>
      </c>
      <c r="E43" s="16" t="s">
        <v>356</v>
      </c>
      <c r="I43" s="14"/>
    </row>
    <row r="44" spans="1:9">
      <c r="A44" s="108"/>
      <c r="B44" s="3" t="s">
        <v>78</v>
      </c>
      <c r="C44" s="29" t="s">
        <v>91</v>
      </c>
      <c r="D44" s="15"/>
      <c r="E44" s="16" t="s">
        <v>357</v>
      </c>
      <c r="I44" s="14"/>
    </row>
    <row r="45" spans="1:9">
      <c r="A45" s="108"/>
      <c r="B45" s="3" t="s">
        <v>79</v>
      </c>
      <c r="C45" s="29" t="s">
        <v>90</v>
      </c>
      <c r="D45" s="15"/>
      <c r="E45" s="16" t="s">
        <v>358</v>
      </c>
      <c r="I45" s="14"/>
    </row>
    <row r="46" spans="1:9" ht="30">
      <c r="A46" s="108"/>
      <c r="B46" s="3" t="s">
        <v>80</v>
      </c>
      <c r="C46" s="29" t="s">
        <v>89</v>
      </c>
      <c r="D46" s="17" t="s">
        <v>938</v>
      </c>
      <c r="E46" s="16" t="s">
        <v>359</v>
      </c>
      <c r="F46" s="3">
        <v>135</v>
      </c>
      <c r="G46" s="8">
        <f>F46/(F46+F55)</f>
        <v>0.21394611727416799</v>
      </c>
      <c r="I46" s="14"/>
    </row>
    <row r="47" spans="1:9">
      <c r="A47" s="108"/>
      <c r="B47" s="3" t="s">
        <v>81</v>
      </c>
      <c r="C47" s="29" t="s">
        <v>88</v>
      </c>
      <c r="D47" s="15"/>
      <c r="E47" s="16" t="s">
        <v>360</v>
      </c>
      <c r="I47" s="14"/>
    </row>
    <row r="48" spans="1:9">
      <c r="A48" s="108"/>
      <c r="B48" s="3" t="s">
        <v>82</v>
      </c>
      <c r="C48" s="29" t="s">
        <v>87</v>
      </c>
      <c r="D48" s="15"/>
      <c r="E48" s="16" t="s">
        <v>361</v>
      </c>
      <c r="I48" s="14"/>
    </row>
    <row r="49" spans="1:9" ht="15.75">
      <c r="A49" s="108"/>
      <c r="B49" s="3" t="s">
        <v>83</v>
      </c>
      <c r="C49" s="29" t="s">
        <v>86</v>
      </c>
      <c r="D49" t="s">
        <v>935</v>
      </c>
      <c r="E49" s="16" t="s">
        <v>362</v>
      </c>
      <c r="I49" s="14"/>
    </row>
    <row r="50" spans="1:9">
      <c r="A50" s="108"/>
      <c r="B50" s="3" t="s">
        <v>84</v>
      </c>
      <c r="C50" s="29" t="s">
        <v>85</v>
      </c>
      <c r="D50" s="15"/>
      <c r="E50" s="16" t="s">
        <v>363</v>
      </c>
      <c r="I50" s="14"/>
    </row>
    <row r="51" spans="1:9" ht="15.75">
      <c r="A51" s="108"/>
      <c r="B51" s="3" t="s">
        <v>85</v>
      </c>
      <c r="C51" s="29" t="s">
        <v>84</v>
      </c>
      <c r="D51" s="72" t="s">
        <v>937</v>
      </c>
      <c r="E51" s="16" t="s">
        <v>364</v>
      </c>
      <c r="I51" s="14"/>
    </row>
    <row r="52" spans="1:9" ht="15.75">
      <c r="A52" s="108"/>
      <c r="B52" s="3" t="s">
        <v>86</v>
      </c>
      <c r="C52" s="29" t="s">
        <v>83</v>
      </c>
      <c r="D52" t="s">
        <v>365</v>
      </c>
      <c r="E52" s="16" t="s">
        <v>365</v>
      </c>
      <c r="I52" s="14"/>
    </row>
    <row r="53" spans="1:9">
      <c r="A53" s="108"/>
      <c r="B53" s="3" t="s">
        <v>87</v>
      </c>
      <c r="C53" s="29" t="s">
        <v>82</v>
      </c>
      <c r="D53" s="15"/>
      <c r="E53" s="16" t="s">
        <v>366</v>
      </c>
      <c r="I53" s="14"/>
    </row>
    <row r="54" spans="1:9">
      <c r="A54" s="108"/>
      <c r="B54" s="3" t="s">
        <v>88</v>
      </c>
      <c r="C54" s="29" t="s">
        <v>81</v>
      </c>
      <c r="D54" s="15"/>
      <c r="E54" s="16" t="s">
        <v>367</v>
      </c>
      <c r="I54" s="14"/>
    </row>
    <row r="55" spans="1:9" ht="131.25">
      <c r="A55" s="108"/>
      <c r="B55" s="3" t="s">
        <v>89</v>
      </c>
      <c r="C55" s="29" t="s">
        <v>78</v>
      </c>
      <c r="D55" s="71" t="s">
        <v>943</v>
      </c>
      <c r="E55" s="16" t="s">
        <v>368</v>
      </c>
      <c r="F55" s="3">
        <f>230+170+96</f>
        <v>496</v>
      </c>
      <c r="G55" s="8">
        <f>F55/(F55+F46)</f>
        <v>0.78605388272583199</v>
      </c>
      <c r="I55" s="14"/>
    </row>
    <row r="56" spans="1:9">
      <c r="A56" s="108"/>
      <c r="B56" s="3" t="s">
        <v>90</v>
      </c>
      <c r="C56" s="29" t="s">
        <v>77</v>
      </c>
      <c r="D56" s="31"/>
      <c r="E56" s="16" t="s">
        <v>369</v>
      </c>
      <c r="I56" s="14"/>
    </row>
    <row r="57" spans="1:9" ht="15.75">
      <c r="A57" s="108"/>
      <c r="B57" s="3" t="s">
        <v>91</v>
      </c>
      <c r="C57" s="29" t="s">
        <v>76</v>
      </c>
      <c r="D57" t="s">
        <v>686</v>
      </c>
      <c r="E57" s="16" t="s">
        <v>370</v>
      </c>
      <c r="I57" s="14"/>
    </row>
    <row r="58" spans="1:9">
      <c r="A58" s="108"/>
      <c r="B58" s="3" t="s">
        <v>92</v>
      </c>
      <c r="C58" s="29" t="s">
        <v>79</v>
      </c>
      <c r="D58" s="15"/>
      <c r="E58" s="16" t="s">
        <v>371</v>
      </c>
      <c r="I58" s="14"/>
    </row>
    <row r="59" spans="1:9" ht="63">
      <c r="A59" s="108"/>
      <c r="B59" s="3" t="s">
        <v>93</v>
      </c>
      <c r="C59" s="29" t="s">
        <v>80</v>
      </c>
      <c r="D59" s="72" t="s">
        <v>940</v>
      </c>
      <c r="E59" s="16" t="s">
        <v>372</v>
      </c>
      <c r="I59" s="14"/>
    </row>
    <row r="60" spans="1:9">
      <c r="A60" s="108"/>
      <c r="B60" s="3" t="s">
        <v>94</v>
      </c>
      <c r="C60" s="29" t="s">
        <v>75</v>
      </c>
      <c r="D60" s="15"/>
      <c r="E60" s="16" t="s">
        <v>373</v>
      </c>
      <c r="I60" s="14"/>
    </row>
    <row r="61" spans="1:9">
      <c r="A61" s="108"/>
      <c r="B61" s="3" t="s">
        <v>95</v>
      </c>
      <c r="C61" s="29" t="s">
        <v>73</v>
      </c>
      <c r="D61" s="15"/>
      <c r="E61" s="16" t="s">
        <v>374</v>
      </c>
      <c r="I61" s="14"/>
    </row>
    <row r="62" spans="1:9">
      <c r="A62" s="108"/>
      <c r="B62" s="3" t="s">
        <v>96</v>
      </c>
      <c r="C62" s="29" t="s">
        <v>74</v>
      </c>
      <c r="D62" s="32"/>
      <c r="E62" s="16" t="s">
        <v>375</v>
      </c>
      <c r="I62" s="14"/>
    </row>
    <row r="63" spans="1:9">
      <c r="A63" s="108"/>
      <c r="B63" s="3" t="s">
        <v>97</v>
      </c>
      <c r="C63" s="29" t="s">
        <v>72</v>
      </c>
      <c r="D63" s="15"/>
      <c r="E63" s="16" t="s">
        <v>376</v>
      </c>
      <c r="I63" s="14"/>
    </row>
    <row r="64" spans="1:9">
      <c r="A64" s="108"/>
      <c r="B64" s="3" t="s">
        <v>98</v>
      </c>
      <c r="C64" s="29" t="s">
        <v>69</v>
      </c>
      <c r="D64" s="15"/>
      <c r="E64" s="16" t="s">
        <v>377</v>
      </c>
      <c r="I64" s="14"/>
    </row>
    <row r="65" spans="1:9">
      <c r="A65" s="108"/>
      <c r="B65" s="3" t="s">
        <v>99</v>
      </c>
      <c r="C65" s="29" t="s">
        <v>70</v>
      </c>
      <c r="D65" s="15" t="s">
        <v>936</v>
      </c>
      <c r="E65" s="16" t="s">
        <v>378</v>
      </c>
      <c r="I65" s="14"/>
    </row>
    <row r="66" spans="1:9">
      <c r="A66" s="108"/>
      <c r="B66" s="3" t="s">
        <v>100</v>
      </c>
      <c r="C66" s="29" t="s">
        <v>68</v>
      </c>
      <c r="D66" s="32" t="s">
        <v>944</v>
      </c>
      <c r="E66" s="16" t="s">
        <v>379</v>
      </c>
      <c r="I66" s="14"/>
    </row>
    <row r="67" spans="1:9" ht="57.75">
      <c r="A67" s="108"/>
      <c r="B67" s="3" t="s">
        <v>101</v>
      </c>
      <c r="C67" s="29" t="s">
        <v>71</v>
      </c>
      <c r="D67" s="15" t="s">
        <v>941</v>
      </c>
      <c r="E67" s="16" t="s">
        <v>380</v>
      </c>
      <c r="I67" s="14"/>
    </row>
    <row r="68" spans="1:9">
      <c r="A68" s="108"/>
      <c r="B68" s="3" t="s">
        <v>102</v>
      </c>
      <c r="C68" s="29" t="s">
        <v>67</v>
      </c>
      <c r="D68" s="32"/>
      <c r="E68" s="16" t="s">
        <v>381</v>
      </c>
      <c r="I68" s="14"/>
    </row>
    <row r="69" spans="1:9">
      <c r="A69" s="108"/>
      <c r="B69" s="3" t="s">
        <v>103</v>
      </c>
      <c r="C69" s="29" t="s">
        <v>66</v>
      </c>
      <c r="D69" s="15"/>
      <c r="E69" s="16" t="s">
        <v>382</v>
      </c>
      <c r="I69" s="14"/>
    </row>
    <row r="70" spans="1:9">
      <c r="A70" s="24" t="s">
        <v>622</v>
      </c>
      <c r="B70" s="3" t="s">
        <v>383</v>
      </c>
      <c r="C70" s="29" t="s">
        <v>383</v>
      </c>
      <c r="D70" s="15"/>
      <c r="E70" s="16" t="s">
        <v>384</v>
      </c>
      <c r="I70" s="14"/>
    </row>
    <row r="71" spans="1:9">
      <c r="A71" s="108" t="s">
        <v>8</v>
      </c>
      <c r="B71" s="3" t="s">
        <v>104</v>
      </c>
      <c r="C71" s="29" t="s">
        <v>106</v>
      </c>
      <c r="D71" s="15"/>
      <c r="E71" s="16" t="s">
        <v>385</v>
      </c>
      <c r="G71" s="8">
        <f>1/3</f>
        <v>0.33333333333333331</v>
      </c>
      <c r="H71" s="73" t="s">
        <v>950</v>
      </c>
      <c r="I71" s="14"/>
    </row>
    <row r="72" spans="1:9">
      <c r="A72" s="108"/>
      <c r="B72" s="3" t="s">
        <v>105</v>
      </c>
      <c r="C72" s="29" t="s">
        <v>105</v>
      </c>
      <c r="D72" s="15"/>
      <c r="E72" s="16" t="s">
        <v>386</v>
      </c>
      <c r="G72" s="8">
        <f t="shared" ref="G72:G73" si="4">1/3</f>
        <v>0.33333333333333331</v>
      </c>
      <c r="H72" s="73" t="s">
        <v>950</v>
      </c>
      <c r="I72" s="14"/>
    </row>
    <row r="73" spans="1:9">
      <c r="A73" s="108"/>
      <c r="B73" s="3" t="s">
        <v>106</v>
      </c>
      <c r="C73" s="29" t="s">
        <v>104</v>
      </c>
      <c r="D73" s="15"/>
      <c r="E73" s="16" t="s">
        <v>387</v>
      </c>
      <c r="G73" s="8">
        <f t="shared" si="4"/>
        <v>0.33333333333333331</v>
      </c>
      <c r="H73" s="73" t="s">
        <v>950</v>
      </c>
      <c r="I73" s="14"/>
    </row>
    <row r="74" spans="1:9">
      <c r="A74" s="108" t="s">
        <v>9</v>
      </c>
      <c r="B74" s="3" t="s">
        <v>107</v>
      </c>
      <c r="C74" s="29" t="s">
        <v>114</v>
      </c>
      <c r="D74" s="15"/>
      <c r="E74" s="16" t="s">
        <v>388</v>
      </c>
      <c r="I74" s="14"/>
    </row>
    <row r="75" spans="1:9">
      <c r="A75" s="108"/>
      <c r="B75" s="3" t="s">
        <v>108</v>
      </c>
      <c r="C75" s="29" t="s">
        <v>389</v>
      </c>
      <c r="D75" s="15"/>
      <c r="E75" s="16" t="s">
        <v>390</v>
      </c>
      <c r="I75" s="14"/>
    </row>
    <row r="76" spans="1:9">
      <c r="A76" s="108"/>
      <c r="B76" s="3" t="s">
        <v>109</v>
      </c>
      <c r="C76" s="29" t="s">
        <v>391</v>
      </c>
      <c r="D76" s="15"/>
      <c r="E76" s="16" t="s">
        <v>392</v>
      </c>
    </row>
    <row r="77" spans="1:9">
      <c r="A77" s="108"/>
      <c r="B77" s="3" t="s">
        <v>110</v>
      </c>
      <c r="C77" s="29" t="s">
        <v>393</v>
      </c>
      <c r="D77" s="15" t="s">
        <v>742</v>
      </c>
      <c r="E77" s="16" t="s">
        <v>394</v>
      </c>
      <c r="F77" s="3">
        <v>190</v>
      </c>
      <c r="G77" s="8">
        <v>1</v>
      </c>
    </row>
    <row r="78" spans="1:9">
      <c r="A78" s="108"/>
      <c r="B78" s="3" t="s">
        <v>111</v>
      </c>
      <c r="C78" s="29" t="s">
        <v>115</v>
      </c>
      <c r="D78" s="15"/>
      <c r="E78" s="16" t="s">
        <v>395</v>
      </c>
    </row>
    <row r="79" spans="1:9">
      <c r="A79" s="108"/>
      <c r="B79" s="3" t="s">
        <v>112</v>
      </c>
      <c r="C79" s="29" t="s">
        <v>110</v>
      </c>
      <c r="D79" s="15"/>
      <c r="E79" s="16" t="s">
        <v>396</v>
      </c>
    </row>
    <row r="80" spans="1:9">
      <c r="A80" s="108"/>
      <c r="B80" s="3" t="s">
        <v>113</v>
      </c>
      <c r="C80" s="29" t="s">
        <v>112</v>
      </c>
      <c r="D80" s="15"/>
      <c r="E80" s="16" t="s">
        <v>397</v>
      </c>
    </row>
    <row r="81" spans="1:7">
      <c r="A81" s="108"/>
      <c r="B81" s="3" t="s">
        <v>114</v>
      </c>
      <c r="C81" s="29" t="s">
        <v>111</v>
      </c>
      <c r="D81" s="15"/>
      <c r="E81" s="16" t="s">
        <v>398</v>
      </c>
    </row>
    <row r="82" spans="1:7">
      <c r="A82" s="108"/>
      <c r="B82" s="3" t="s">
        <v>115</v>
      </c>
      <c r="C82" s="29" t="s">
        <v>107</v>
      </c>
      <c r="D82" s="15"/>
      <c r="E82" s="16" t="s">
        <v>399</v>
      </c>
    </row>
    <row r="83" spans="1:7">
      <c r="A83" s="108"/>
      <c r="C83" s="29" t="s">
        <v>400</v>
      </c>
      <c r="D83" s="15"/>
      <c r="E83" s="16" t="s">
        <v>401</v>
      </c>
    </row>
    <row r="84" spans="1:7">
      <c r="A84" s="108"/>
      <c r="C84" s="29" t="s">
        <v>113</v>
      </c>
      <c r="D84" s="15"/>
      <c r="E84" s="16" t="s">
        <v>402</v>
      </c>
    </row>
    <row r="85" spans="1:7">
      <c r="A85" s="108"/>
      <c r="C85" s="29" t="s">
        <v>108</v>
      </c>
      <c r="D85" s="15"/>
      <c r="E85" s="16" t="s">
        <v>403</v>
      </c>
    </row>
    <row r="86" spans="1:7">
      <c r="A86" s="108"/>
      <c r="C86" s="29" t="s">
        <v>109</v>
      </c>
      <c r="D86" s="15"/>
      <c r="E86" s="16" t="s">
        <v>404</v>
      </c>
    </row>
    <row r="87" spans="1:7" ht="29.25">
      <c r="A87" s="108" t="s">
        <v>10</v>
      </c>
      <c r="B87" s="3" t="s">
        <v>116</v>
      </c>
      <c r="C87" s="29" t="s">
        <v>120</v>
      </c>
      <c r="D87" s="15" t="s">
        <v>737</v>
      </c>
      <c r="E87" s="16" t="s">
        <v>405</v>
      </c>
      <c r="F87" s="3">
        <f>250+87</f>
        <v>337</v>
      </c>
      <c r="G87" s="8">
        <f>F87/SUM($F$87:$F$88)</f>
        <v>0.78372093023255818</v>
      </c>
    </row>
    <row r="88" spans="1:7">
      <c r="A88" s="108"/>
      <c r="B88" s="3" t="s">
        <v>117</v>
      </c>
      <c r="C88" s="29" t="s">
        <v>117</v>
      </c>
      <c r="D88" s="15" t="s">
        <v>738</v>
      </c>
      <c r="E88" s="16" t="s">
        <v>406</v>
      </c>
      <c r="F88" s="3">
        <v>93</v>
      </c>
      <c r="G88" s="8">
        <f>F88/SUM($F$87:$F$88)</f>
        <v>0.21627906976744185</v>
      </c>
    </row>
    <row r="89" spans="1:7">
      <c r="A89" s="108"/>
      <c r="B89" s="3" t="s">
        <v>118</v>
      </c>
      <c r="C89" s="29" t="s">
        <v>128</v>
      </c>
      <c r="D89" s="15"/>
      <c r="E89" s="16" t="s">
        <v>407</v>
      </c>
    </row>
    <row r="90" spans="1:7">
      <c r="A90" s="108"/>
      <c r="B90" s="3" t="s">
        <v>119</v>
      </c>
      <c r="C90" s="29" t="s">
        <v>118</v>
      </c>
      <c r="D90" s="15"/>
      <c r="E90" s="16" t="s">
        <v>408</v>
      </c>
    </row>
    <row r="91" spans="1:7">
      <c r="A91" s="108"/>
      <c r="B91" s="3" t="s">
        <v>120</v>
      </c>
      <c r="C91" s="29" t="s">
        <v>123</v>
      </c>
      <c r="D91" s="15"/>
      <c r="E91" s="16" t="s">
        <v>409</v>
      </c>
    </row>
    <row r="92" spans="1:7">
      <c r="A92" s="108"/>
      <c r="B92" s="3" t="s">
        <v>121</v>
      </c>
      <c r="C92" s="29" t="s">
        <v>119</v>
      </c>
      <c r="D92" s="15"/>
      <c r="E92" s="16" t="s">
        <v>410</v>
      </c>
    </row>
    <row r="93" spans="1:7">
      <c r="A93" s="108"/>
      <c r="B93" s="3" t="s">
        <v>122</v>
      </c>
      <c r="C93" s="29" t="s">
        <v>129</v>
      </c>
      <c r="D93" s="15"/>
      <c r="E93" s="16" t="s">
        <v>411</v>
      </c>
    </row>
    <row r="94" spans="1:7">
      <c r="A94" s="108"/>
      <c r="B94" s="3" t="s">
        <v>123</v>
      </c>
      <c r="C94" s="29" t="s">
        <v>124</v>
      </c>
      <c r="D94" s="15"/>
      <c r="E94" s="16" t="s">
        <v>412</v>
      </c>
    </row>
    <row r="95" spans="1:7">
      <c r="A95" s="108"/>
      <c r="B95" s="3" t="s">
        <v>124</v>
      </c>
      <c r="C95" s="29" t="s">
        <v>126</v>
      </c>
      <c r="D95" s="15"/>
      <c r="E95" s="16" t="s">
        <v>413</v>
      </c>
    </row>
    <row r="96" spans="1:7">
      <c r="A96" s="108"/>
      <c r="B96" s="3" t="s">
        <v>125</v>
      </c>
      <c r="C96" s="29" t="s">
        <v>127</v>
      </c>
      <c r="D96" s="15"/>
      <c r="E96" s="16" t="s">
        <v>414</v>
      </c>
    </row>
    <row r="97" spans="1:7">
      <c r="A97" s="108"/>
      <c r="B97" s="3" t="s">
        <v>126</v>
      </c>
      <c r="C97" s="29" t="s">
        <v>121</v>
      </c>
      <c r="D97" s="15"/>
      <c r="E97" s="16" t="s">
        <v>415</v>
      </c>
    </row>
    <row r="98" spans="1:7">
      <c r="A98" s="108"/>
      <c r="B98" s="3" t="s">
        <v>127</v>
      </c>
      <c r="C98" s="29" t="s">
        <v>125</v>
      </c>
      <c r="D98" s="15"/>
      <c r="E98" s="16" t="s">
        <v>416</v>
      </c>
    </row>
    <row r="99" spans="1:7">
      <c r="A99" s="108"/>
      <c r="B99" s="3" t="s">
        <v>128</v>
      </c>
      <c r="C99" s="29" t="s">
        <v>122</v>
      </c>
      <c r="D99" s="15"/>
      <c r="E99" s="16" t="s">
        <v>417</v>
      </c>
    </row>
    <row r="100" spans="1:7">
      <c r="A100" s="108"/>
      <c r="B100" s="3" t="s">
        <v>129</v>
      </c>
      <c r="C100" s="29" t="s">
        <v>418</v>
      </c>
      <c r="D100" s="15"/>
      <c r="E100" s="16" t="s">
        <v>419</v>
      </c>
    </row>
    <row r="101" spans="1:7">
      <c r="A101" s="108"/>
      <c r="B101" s="3" t="s">
        <v>130</v>
      </c>
      <c r="C101" s="29" t="s">
        <v>130</v>
      </c>
      <c r="D101" s="15"/>
      <c r="E101" s="16" t="s">
        <v>420</v>
      </c>
    </row>
    <row r="102" spans="1:7">
      <c r="A102" s="108"/>
      <c r="C102" s="29" t="s">
        <v>116</v>
      </c>
      <c r="D102" s="15"/>
      <c r="E102" s="16" t="s">
        <v>421</v>
      </c>
    </row>
    <row r="103" spans="1:7">
      <c r="A103" s="108"/>
      <c r="C103" s="29" t="s">
        <v>422</v>
      </c>
      <c r="D103" s="15"/>
      <c r="E103" s="16" t="s">
        <v>423</v>
      </c>
    </row>
    <row r="104" spans="1:7">
      <c r="A104" s="108"/>
      <c r="C104" s="29" t="s">
        <v>424</v>
      </c>
      <c r="D104" s="15"/>
      <c r="E104" s="16" t="s">
        <v>425</v>
      </c>
    </row>
    <row r="105" spans="1:7">
      <c r="A105" s="108"/>
      <c r="C105" s="29" t="s">
        <v>426</v>
      </c>
      <c r="D105" s="15"/>
      <c r="E105" s="16" t="s">
        <v>427</v>
      </c>
    </row>
    <row r="106" spans="1:7">
      <c r="A106" s="108" t="s">
        <v>11</v>
      </c>
      <c r="B106" s="3" t="s">
        <v>131</v>
      </c>
      <c r="C106" s="29" t="s">
        <v>132</v>
      </c>
      <c r="D106" s="15"/>
      <c r="E106" s="16" t="s">
        <v>428</v>
      </c>
    </row>
    <row r="107" spans="1:7">
      <c r="A107" s="108"/>
      <c r="B107" s="3" t="s">
        <v>132</v>
      </c>
      <c r="C107" s="29" t="s">
        <v>143</v>
      </c>
      <c r="D107" s="15"/>
      <c r="E107" s="16" t="s">
        <v>429</v>
      </c>
    </row>
    <row r="108" spans="1:7">
      <c r="A108" s="108"/>
      <c r="B108" s="3" t="s">
        <v>133</v>
      </c>
      <c r="C108" s="29" t="s">
        <v>141</v>
      </c>
      <c r="D108" s="15"/>
      <c r="E108" s="16" t="s">
        <v>430</v>
      </c>
    </row>
    <row r="109" spans="1:7">
      <c r="A109" s="108"/>
      <c r="B109" s="3" t="s">
        <v>134</v>
      </c>
      <c r="C109" s="29" t="s">
        <v>138</v>
      </c>
      <c r="D109" s="15"/>
      <c r="E109" s="16" t="s">
        <v>431</v>
      </c>
    </row>
    <row r="110" spans="1:7">
      <c r="A110" s="108"/>
      <c r="B110" s="3" t="s">
        <v>135</v>
      </c>
      <c r="C110" s="30" t="s">
        <v>145</v>
      </c>
      <c r="D110" s="16"/>
      <c r="E110" s="19" t="s">
        <v>432</v>
      </c>
    </row>
    <row r="111" spans="1:7">
      <c r="A111" s="108"/>
      <c r="B111" s="3" t="s">
        <v>136</v>
      </c>
      <c r="C111" s="30" t="s">
        <v>137</v>
      </c>
      <c r="D111" s="31"/>
      <c r="E111" s="19" t="s">
        <v>433</v>
      </c>
    </row>
    <row r="112" spans="1:7">
      <c r="A112" s="108"/>
      <c r="B112" s="3" t="s">
        <v>137</v>
      </c>
      <c r="C112" s="29" t="s">
        <v>134</v>
      </c>
      <c r="D112" s="32" t="s">
        <v>666</v>
      </c>
      <c r="E112" s="16" t="s">
        <v>434</v>
      </c>
      <c r="F112" s="3">
        <v>285</v>
      </c>
      <c r="G112" s="8">
        <f>F112/(F112+F125)</f>
        <v>0.66279069767441856</v>
      </c>
    </row>
    <row r="113" spans="1:7">
      <c r="A113" s="108"/>
      <c r="B113" s="3" t="s">
        <v>138</v>
      </c>
      <c r="C113" s="29" t="s">
        <v>151</v>
      </c>
      <c r="D113" s="15"/>
      <c r="E113" s="16" t="s">
        <v>435</v>
      </c>
    </row>
    <row r="114" spans="1:7">
      <c r="A114" s="108"/>
      <c r="B114" s="3" t="s">
        <v>139</v>
      </c>
      <c r="C114" s="29" t="s">
        <v>133</v>
      </c>
      <c r="D114" s="15"/>
      <c r="E114" s="16" t="s">
        <v>436</v>
      </c>
    </row>
    <row r="115" spans="1:7">
      <c r="A115" s="108"/>
      <c r="B115" s="3" t="s">
        <v>140</v>
      </c>
      <c r="C115" s="29" t="s">
        <v>148</v>
      </c>
      <c r="D115" s="15"/>
      <c r="E115" s="16" t="s">
        <v>437</v>
      </c>
    </row>
    <row r="116" spans="1:7">
      <c r="A116" s="108"/>
      <c r="B116" s="3" t="s">
        <v>141</v>
      </c>
      <c r="C116" s="29" t="s">
        <v>135</v>
      </c>
      <c r="D116" s="15"/>
      <c r="E116" s="16" t="s">
        <v>438</v>
      </c>
    </row>
    <row r="117" spans="1:7">
      <c r="A117" s="108"/>
      <c r="B117" s="3" t="s">
        <v>142</v>
      </c>
      <c r="C117" s="29" t="s">
        <v>136</v>
      </c>
      <c r="D117" s="15"/>
      <c r="E117" s="16" t="s">
        <v>439</v>
      </c>
    </row>
    <row r="118" spans="1:7">
      <c r="A118" s="108"/>
      <c r="B118" s="3" t="s">
        <v>143</v>
      </c>
      <c r="C118" s="29" t="s">
        <v>140</v>
      </c>
      <c r="D118" s="15"/>
      <c r="E118" s="16" t="s">
        <v>440</v>
      </c>
    </row>
    <row r="119" spans="1:7">
      <c r="A119" s="108"/>
      <c r="B119" s="3" t="s">
        <v>144</v>
      </c>
      <c r="C119" s="29" t="s">
        <v>139</v>
      </c>
      <c r="D119" s="15"/>
      <c r="E119" s="16" t="s">
        <v>441</v>
      </c>
    </row>
    <row r="120" spans="1:7">
      <c r="A120" s="108"/>
      <c r="B120" s="3" t="s">
        <v>145</v>
      </c>
      <c r="C120" s="29" t="s">
        <v>142</v>
      </c>
      <c r="D120" s="15"/>
      <c r="E120" s="16" t="s">
        <v>442</v>
      </c>
    </row>
    <row r="121" spans="1:7">
      <c r="A121" s="108"/>
      <c r="B121" s="3" t="s">
        <v>146</v>
      </c>
      <c r="C121" s="29" t="s">
        <v>144</v>
      </c>
      <c r="D121" s="15"/>
      <c r="E121" s="16" t="s">
        <v>443</v>
      </c>
    </row>
    <row r="122" spans="1:7">
      <c r="A122" s="108"/>
      <c r="B122" s="3" t="s">
        <v>147</v>
      </c>
      <c r="C122" s="29" t="s">
        <v>146</v>
      </c>
      <c r="D122" s="15"/>
      <c r="E122" s="16" t="s">
        <v>444</v>
      </c>
    </row>
    <row r="123" spans="1:7">
      <c r="A123" s="108"/>
      <c r="B123" s="3" t="s">
        <v>148</v>
      </c>
      <c r="C123" s="29" t="s">
        <v>147</v>
      </c>
      <c r="D123" s="15"/>
      <c r="E123" s="16" t="s">
        <v>445</v>
      </c>
    </row>
    <row r="124" spans="1:7">
      <c r="A124" s="108"/>
      <c r="B124" s="3" t="s">
        <v>149</v>
      </c>
      <c r="C124" s="29" t="s">
        <v>150</v>
      </c>
      <c r="D124" s="15"/>
      <c r="E124" s="16" t="s">
        <v>446</v>
      </c>
    </row>
    <row r="125" spans="1:7" ht="29.25">
      <c r="A125" s="108"/>
      <c r="B125" s="3" t="s">
        <v>150</v>
      </c>
      <c r="C125" s="29" t="s">
        <v>152</v>
      </c>
      <c r="D125" s="15" t="s">
        <v>739</v>
      </c>
      <c r="E125" s="16" t="s">
        <v>447</v>
      </c>
      <c r="F125" s="3">
        <v>145</v>
      </c>
      <c r="G125" s="8">
        <f>F125/(F112+F125)</f>
        <v>0.33720930232558138</v>
      </c>
    </row>
    <row r="126" spans="1:7">
      <c r="A126" s="108"/>
      <c r="B126" s="3" t="s">
        <v>151</v>
      </c>
      <c r="C126" s="29" t="s">
        <v>149</v>
      </c>
      <c r="D126" s="15"/>
      <c r="E126" s="16" t="s">
        <v>448</v>
      </c>
    </row>
    <row r="127" spans="1:7">
      <c r="A127" s="108"/>
      <c r="B127" s="3" t="s">
        <v>152</v>
      </c>
      <c r="C127" s="29" t="s">
        <v>131</v>
      </c>
      <c r="D127" s="15"/>
      <c r="E127" s="16" t="s">
        <v>449</v>
      </c>
    </row>
    <row r="128" spans="1:7">
      <c r="A128" s="108"/>
      <c r="C128" s="29" t="s">
        <v>450</v>
      </c>
      <c r="D128" s="15"/>
      <c r="E128" s="16" t="s">
        <v>451</v>
      </c>
    </row>
    <row r="129" spans="1:8">
      <c r="A129" s="108"/>
      <c r="C129" s="29" t="s">
        <v>452</v>
      </c>
      <c r="D129" s="15"/>
      <c r="E129" s="16" t="s">
        <v>453</v>
      </c>
    </row>
    <row r="130" spans="1:8">
      <c r="A130" s="108"/>
      <c r="C130" s="29" t="s">
        <v>454</v>
      </c>
      <c r="D130" s="15"/>
      <c r="E130" s="16" t="s">
        <v>455</v>
      </c>
    </row>
    <row r="131" spans="1:8">
      <c r="A131" s="108"/>
      <c r="C131" s="29" t="s">
        <v>456</v>
      </c>
      <c r="D131" s="15"/>
      <c r="E131" s="16" t="s">
        <v>457</v>
      </c>
    </row>
    <row r="132" spans="1:8">
      <c r="A132" s="108"/>
      <c r="C132" s="29" t="s">
        <v>458</v>
      </c>
      <c r="D132" s="15"/>
      <c r="E132" s="16" t="s">
        <v>459</v>
      </c>
      <c r="H132" s="73"/>
    </row>
    <row r="133" spans="1:8">
      <c r="A133" s="108" t="s">
        <v>12</v>
      </c>
      <c r="B133" s="3" t="s">
        <v>153</v>
      </c>
      <c r="C133" s="19" t="s">
        <v>460</v>
      </c>
      <c r="D133" s="16"/>
      <c r="E133" s="19" t="s">
        <v>461</v>
      </c>
      <c r="G133" s="8">
        <f>1/3*$G$135</f>
        <v>0.16666666666666666</v>
      </c>
      <c r="H133" s="73" t="s">
        <v>950</v>
      </c>
    </row>
    <row r="134" spans="1:8">
      <c r="A134" s="108"/>
      <c r="B134" s="3" t="s">
        <v>154</v>
      </c>
      <c r="C134" s="29" t="s">
        <v>154</v>
      </c>
      <c r="D134" s="15"/>
      <c r="E134" s="16" t="s">
        <v>462</v>
      </c>
      <c r="G134" s="8">
        <f>0.5</f>
        <v>0.5</v>
      </c>
      <c r="H134" s="73" t="s">
        <v>950</v>
      </c>
    </row>
    <row r="135" spans="1:8">
      <c r="A135" s="108"/>
      <c r="C135" s="29" t="s">
        <v>153</v>
      </c>
      <c r="D135" s="15"/>
      <c r="E135" s="16"/>
      <c r="F135" s="7">
        <f>F133+F136+F137</f>
        <v>0</v>
      </c>
      <c r="G135" s="7">
        <v>0.5</v>
      </c>
      <c r="H135" s="73" t="s">
        <v>950</v>
      </c>
    </row>
    <row r="136" spans="1:8">
      <c r="A136" s="108"/>
      <c r="C136" s="29" t="s">
        <v>463</v>
      </c>
      <c r="D136" s="15"/>
      <c r="E136" s="16" t="s">
        <v>464</v>
      </c>
      <c r="G136" s="8">
        <f>1/3*$G$135</f>
        <v>0.16666666666666666</v>
      </c>
      <c r="H136" s="73" t="s">
        <v>950</v>
      </c>
    </row>
    <row r="137" spans="1:8">
      <c r="A137" s="108"/>
      <c r="C137" s="29" t="s">
        <v>465</v>
      </c>
      <c r="D137" s="15"/>
      <c r="E137" s="16" t="s">
        <v>466</v>
      </c>
      <c r="G137" s="8">
        <f>1/3*$G$135</f>
        <v>0.16666666666666666</v>
      </c>
      <c r="H137" s="73" t="s">
        <v>950</v>
      </c>
    </row>
    <row r="138" spans="1:8">
      <c r="A138" s="108" t="s">
        <v>13</v>
      </c>
      <c r="B138" s="3" t="s">
        <v>155</v>
      </c>
      <c r="C138" s="29" t="s">
        <v>163</v>
      </c>
      <c r="D138" s="15"/>
      <c r="E138" s="16" t="s">
        <v>467</v>
      </c>
      <c r="G138" s="8">
        <f>1/21</f>
        <v>4.7619047619047616E-2</v>
      </c>
      <c r="H138" s="73" t="s">
        <v>950</v>
      </c>
    </row>
    <row r="139" spans="1:8">
      <c r="A139" s="108"/>
      <c r="B139" s="3" t="s">
        <v>156</v>
      </c>
      <c r="C139" s="29" t="s">
        <v>156</v>
      </c>
      <c r="D139" s="15"/>
      <c r="E139" s="16" t="s">
        <v>468</v>
      </c>
      <c r="G139" s="8">
        <f t="shared" ref="G139:G158" si="5">1/21</f>
        <v>4.7619047619047616E-2</v>
      </c>
      <c r="H139" s="73" t="s">
        <v>950</v>
      </c>
    </row>
    <row r="140" spans="1:8">
      <c r="A140" s="108"/>
      <c r="B140" s="3" t="s">
        <v>157</v>
      </c>
      <c r="C140" s="29" t="s">
        <v>167</v>
      </c>
      <c r="D140" s="15"/>
      <c r="E140" s="16" t="s">
        <v>469</v>
      </c>
      <c r="G140" s="8">
        <f t="shared" si="5"/>
        <v>4.7619047619047616E-2</v>
      </c>
      <c r="H140" s="73" t="s">
        <v>950</v>
      </c>
    </row>
    <row r="141" spans="1:8">
      <c r="A141" s="108"/>
      <c r="B141" s="3" t="s">
        <v>158</v>
      </c>
      <c r="C141" s="29" t="s">
        <v>166</v>
      </c>
      <c r="D141" s="15"/>
      <c r="E141" s="16" t="s">
        <v>470</v>
      </c>
      <c r="G141" s="8">
        <f t="shared" si="5"/>
        <v>4.7619047619047616E-2</v>
      </c>
      <c r="H141" s="73" t="s">
        <v>950</v>
      </c>
    </row>
    <row r="142" spans="1:8">
      <c r="A142" s="108"/>
      <c r="B142" s="3" t="s">
        <v>159</v>
      </c>
      <c r="C142" s="29" t="s">
        <v>175</v>
      </c>
      <c r="D142" s="15"/>
      <c r="E142" s="16" t="s">
        <v>471</v>
      </c>
      <c r="G142" s="8">
        <f t="shared" si="5"/>
        <v>4.7619047619047616E-2</v>
      </c>
      <c r="H142" s="73" t="s">
        <v>950</v>
      </c>
    </row>
    <row r="143" spans="1:8">
      <c r="A143" s="108"/>
      <c r="B143" s="3" t="s">
        <v>160</v>
      </c>
      <c r="C143" s="29" t="s">
        <v>164</v>
      </c>
      <c r="D143" s="15"/>
      <c r="E143" s="16" t="s">
        <v>472</v>
      </c>
      <c r="G143" s="8">
        <f t="shared" si="5"/>
        <v>4.7619047619047616E-2</v>
      </c>
      <c r="H143" s="73" t="s">
        <v>950</v>
      </c>
    </row>
    <row r="144" spans="1:8">
      <c r="A144" s="108"/>
      <c r="B144" s="3" t="s">
        <v>161</v>
      </c>
      <c r="C144" s="29" t="s">
        <v>171</v>
      </c>
      <c r="D144" s="15"/>
      <c r="E144" s="16" t="s">
        <v>473</v>
      </c>
      <c r="G144" s="8">
        <f t="shared" si="5"/>
        <v>4.7619047619047616E-2</v>
      </c>
      <c r="H144" s="73" t="s">
        <v>950</v>
      </c>
    </row>
    <row r="145" spans="1:8">
      <c r="A145" s="108"/>
      <c r="B145" s="3" t="s">
        <v>162</v>
      </c>
      <c r="C145" s="29" t="s">
        <v>174</v>
      </c>
      <c r="D145" s="32"/>
      <c r="E145" s="16" t="s">
        <v>474</v>
      </c>
      <c r="G145" s="8">
        <f t="shared" si="5"/>
        <v>4.7619047619047616E-2</v>
      </c>
      <c r="H145" s="73" t="s">
        <v>950</v>
      </c>
    </row>
    <row r="146" spans="1:8">
      <c r="A146" s="108"/>
      <c r="B146" s="3" t="s">
        <v>163</v>
      </c>
      <c r="C146" s="29" t="s">
        <v>173</v>
      </c>
      <c r="D146" s="15"/>
      <c r="E146" s="16" t="s">
        <v>475</v>
      </c>
      <c r="G146" s="8">
        <f t="shared" si="5"/>
        <v>4.7619047619047616E-2</v>
      </c>
      <c r="H146" s="73" t="s">
        <v>950</v>
      </c>
    </row>
    <row r="147" spans="1:8">
      <c r="A147" s="108"/>
      <c r="B147" s="3" t="s">
        <v>164</v>
      </c>
      <c r="C147" s="29" t="s">
        <v>172</v>
      </c>
      <c r="D147" s="15"/>
      <c r="E147" s="16" t="s">
        <v>476</v>
      </c>
      <c r="G147" s="8">
        <f t="shared" si="5"/>
        <v>4.7619047619047616E-2</v>
      </c>
      <c r="H147" s="73" t="s">
        <v>950</v>
      </c>
    </row>
    <row r="148" spans="1:8">
      <c r="A148" s="108"/>
      <c r="B148" s="3" t="s">
        <v>165</v>
      </c>
      <c r="C148" s="29" t="s">
        <v>161</v>
      </c>
      <c r="D148" s="32"/>
      <c r="E148" s="16" t="s">
        <v>477</v>
      </c>
      <c r="G148" s="8">
        <f t="shared" si="5"/>
        <v>4.7619047619047616E-2</v>
      </c>
      <c r="H148" s="73" t="s">
        <v>950</v>
      </c>
    </row>
    <row r="149" spans="1:8">
      <c r="A149" s="108"/>
      <c r="B149" s="3" t="s">
        <v>166</v>
      </c>
      <c r="C149" s="29" t="s">
        <v>162</v>
      </c>
      <c r="D149" s="15"/>
      <c r="E149" s="16" t="s">
        <v>478</v>
      </c>
      <c r="G149" s="8">
        <f t="shared" si="5"/>
        <v>4.7619047619047616E-2</v>
      </c>
      <c r="H149" s="73" t="s">
        <v>950</v>
      </c>
    </row>
    <row r="150" spans="1:8" ht="29.25">
      <c r="A150" s="108"/>
      <c r="B150" s="3" t="s">
        <v>167</v>
      </c>
      <c r="C150" s="29" t="s">
        <v>158</v>
      </c>
      <c r="D150" s="15"/>
      <c r="E150" s="16" t="s">
        <v>479</v>
      </c>
      <c r="G150" s="8">
        <f t="shared" si="5"/>
        <v>4.7619047619047616E-2</v>
      </c>
      <c r="H150" s="73" t="s">
        <v>950</v>
      </c>
    </row>
    <row r="151" spans="1:8">
      <c r="A151" s="108"/>
      <c r="B151" s="3" t="s">
        <v>168</v>
      </c>
      <c r="C151" s="29" t="s">
        <v>159</v>
      </c>
      <c r="D151" s="15"/>
      <c r="E151" s="16" t="s">
        <v>480</v>
      </c>
      <c r="G151" s="8">
        <f t="shared" si="5"/>
        <v>4.7619047619047616E-2</v>
      </c>
      <c r="H151" s="73" t="s">
        <v>950</v>
      </c>
    </row>
    <row r="152" spans="1:8">
      <c r="A152" s="108"/>
      <c r="B152" s="3" t="s">
        <v>169</v>
      </c>
      <c r="C152" s="29" t="s">
        <v>155</v>
      </c>
      <c r="D152" s="32"/>
      <c r="E152" s="16" t="s">
        <v>481</v>
      </c>
      <c r="G152" s="8">
        <f t="shared" si="5"/>
        <v>4.7619047619047616E-2</v>
      </c>
      <c r="H152" s="73" t="s">
        <v>950</v>
      </c>
    </row>
    <row r="153" spans="1:8">
      <c r="A153" s="108"/>
      <c r="B153" s="3" t="s">
        <v>170</v>
      </c>
      <c r="C153" s="29" t="s">
        <v>169</v>
      </c>
      <c r="D153" s="15"/>
      <c r="E153" s="16" t="s">
        <v>482</v>
      </c>
      <c r="G153" s="8">
        <f t="shared" si="5"/>
        <v>4.7619047619047616E-2</v>
      </c>
      <c r="H153" s="73" t="s">
        <v>950</v>
      </c>
    </row>
    <row r="154" spans="1:8">
      <c r="A154" s="108"/>
      <c r="B154" s="3" t="s">
        <v>171</v>
      </c>
      <c r="C154" s="29" t="s">
        <v>170</v>
      </c>
      <c r="D154" s="15"/>
      <c r="E154" s="16" t="s">
        <v>483</v>
      </c>
      <c r="G154" s="8">
        <f t="shared" si="5"/>
        <v>4.7619047619047616E-2</v>
      </c>
      <c r="H154" s="73" t="s">
        <v>950</v>
      </c>
    </row>
    <row r="155" spans="1:8">
      <c r="A155" s="108"/>
      <c r="B155" s="3" t="s">
        <v>172</v>
      </c>
      <c r="C155" s="29" t="s">
        <v>160</v>
      </c>
      <c r="D155" s="15"/>
      <c r="E155" s="16" t="s">
        <v>484</v>
      </c>
      <c r="G155" s="8">
        <f t="shared" si="5"/>
        <v>4.7619047619047616E-2</v>
      </c>
      <c r="H155" s="73" t="s">
        <v>950</v>
      </c>
    </row>
    <row r="156" spans="1:8">
      <c r="A156" s="108"/>
      <c r="B156" s="3" t="s">
        <v>173</v>
      </c>
      <c r="C156" s="29" t="s">
        <v>157</v>
      </c>
      <c r="D156" s="15"/>
      <c r="E156" s="16" t="s">
        <v>485</v>
      </c>
      <c r="G156" s="8">
        <f t="shared" si="5"/>
        <v>4.7619047619047616E-2</v>
      </c>
      <c r="H156" s="73" t="s">
        <v>950</v>
      </c>
    </row>
    <row r="157" spans="1:8">
      <c r="A157" s="108"/>
      <c r="B157" s="3" t="s">
        <v>174</v>
      </c>
      <c r="C157" s="29" t="s">
        <v>165</v>
      </c>
      <c r="D157" s="15"/>
      <c r="E157" s="16" t="s">
        <v>486</v>
      </c>
      <c r="G157" s="8">
        <f t="shared" si="5"/>
        <v>4.7619047619047616E-2</v>
      </c>
      <c r="H157" s="73" t="s">
        <v>950</v>
      </c>
    </row>
    <row r="158" spans="1:8">
      <c r="A158" s="108"/>
      <c r="B158" s="3" t="s">
        <v>175</v>
      </c>
      <c r="C158" s="29" t="s">
        <v>168</v>
      </c>
      <c r="D158" s="15"/>
      <c r="E158" s="16" t="s">
        <v>487</v>
      </c>
      <c r="G158" s="8">
        <f t="shared" si="5"/>
        <v>4.7619047619047616E-2</v>
      </c>
      <c r="H158" s="73" t="s">
        <v>950</v>
      </c>
    </row>
    <row r="159" spans="1:8">
      <c r="A159" s="26" t="s">
        <v>624</v>
      </c>
      <c r="C159" s="29" t="s">
        <v>488</v>
      </c>
      <c r="D159" s="15"/>
      <c r="E159" s="16" t="s">
        <v>489</v>
      </c>
      <c r="G159" s="8">
        <f>1</f>
        <v>1</v>
      </c>
      <c r="H159" s="73" t="s">
        <v>950</v>
      </c>
    </row>
    <row r="160" spans="1:8">
      <c r="A160" s="26" t="s">
        <v>14</v>
      </c>
      <c r="B160" s="3" t="s">
        <v>176</v>
      </c>
      <c r="C160" s="29" t="s">
        <v>176</v>
      </c>
      <c r="D160" s="15"/>
      <c r="E160" s="16" t="s">
        <v>490</v>
      </c>
      <c r="G160" s="8">
        <f>1</f>
        <v>1</v>
      </c>
      <c r="H160" s="73" t="s">
        <v>950</v>
      </c>
    </row>
    <row r="161" spans="1:8">
      <c r="A161" s="108" t="s">
        <v>623</v>
      </c>
      <c r="B161" s="3" t="s">
        <v>491</v>
      </c>
      <c r="C161" s="29" t="s">
        <v>491</v>
      </c>
      <c r="D161" s="15"/>
      <c r="E161" s="16" t="s">
        <v>492</v>
      </c>
      <c r="G161" s="8">
        <f>1/2</f>
        <v>0.5</v>
      </c>
      <c r="H161" s="73" t="s">
        <v>950</v>
      </c>
    </row>
    <row r="162" spans="1:8">
      <c r="A162" s="108"/>
      <c r="B162" s="3" t="s">
        <v>493</v>
      </c>
      <c r="C162" s="29" t="s">
        <v>493</v>
      </c>
      <c r="D162" s="15"/>
      <c r="E162" s="16" t="s">
        <v>494</v>
      </c>
      <c r="G162" s="8">
        <f>1/2</f>
        <v>0.5</v>
      </c>
      <c r="H162" s="73" t="s">
        <v>950</v>
      </c>
    </row>
    <row r="163" spans="1:8">
      <c r="A163" s="26" t="s">
        <v>15</v>
      </c>
      <c r="B163" s="3" t="s">
        <v>177</v>
      </c>
      <c r="C163" s="29" t="s">
        <v>177</v>
      </c>
      <c r="D163" s="15"/>
      <c r="E163" s="16" t="s">
        <v>15</v>
      </c>
      <c r="G163" s="8">
        <f>1</f>
        <v>1</v>
      </c>
      <c r="H163" s="73" t="s">
        <v>950</v>
      </c>
    </row>
    <row r="164" spans="1:8">
      <c r="A164" s="108" t="s">
        <v>16</v>
      </c>
      <c r="B164" s="3" t="s">
        <v>178</v>
      </c>
      <c r="C164" s="29" t="s">
        <v>182</v>
      </c>
      <c r="D164" s="15"/>
      <c r="E164" s="16" t="s">
        <v>495</v>
      </c>
      <c r="G164" s="8">
        <f>1/8</f>
        <v>0.125</v>
      </c>
      <c r="H164" s="73" t="s">
        <v>950</v>
      </c>
    </row>
    <row r="165" spans="1:8">
      <c r="A165" s="108"/>
      <c r="B165" s="3" t="s">
        <v>179</v>
      </c>
      <c r="C165" s="29" t="s">
        <v>181</v>
      </c>
      <c r="D165" s="15"/>
      <c r="E165" s="16" t="s">
        <v>496</v>
      </c>
      <c r="G165" s="8">
        <f t="shared" ref="G165:G171" si="6">1/8</f>
        <v>0.125</v>
      </c>
      <c r="H165" s="73" t="s">
        <v>950</v>
      </c>
    </row>
    <row r="166" spans="1:8">
      <c r="A166" s="108"/>
      <c r="B166" s="3" t="s">
        <v>180</v>
      </c>
      <c r="C166" s="29" t="s">
        <v>180</v>
      </c>
      <c r="D166" s="15"/>
      <c r="E166" s="16" t="s">
        <v>497</v>
      </c>
      <c r="G166" s="8">
        <f t="shared" si="6"/>
        <v>0.125</v>
      </c>
      <c r="H166" s="73" t="s">
        <v>950</v>
      </c>
    </row>
    <row r="167" spans="1:8">
      <c r="A167" s="108"/>
      <c r="B167" s="3" t="s">
        <v>181</v>
      </c>
      <c r="C167" s="29" t="s">
        <v>179</v>
      </c>
      <c r="D167" s="15"/>
      <c r="E167" s="16" t="s">
        <v>498</v>
      </c>
      <c r="G167" s="8">
        <f t="shared" si="6"/>
        <v>0.125</v>
      </c>
      <c r="H167" s="73" t="s">
        <v>950</v>
      </c>
    </row>
    <row r="168" spans="1:8">
      <c r="A168" s="108"/>
      <c r="B168" s="3" t="s">
        <v>182</v>
      </c>
      <c r="C168" s="29" t="s">
        <v>184</v>
      </c>
      <c r="D168" s="15"/>
      <c r="E168" s="16" t="s">
        <v>499</v>
      </c>
      <c r="G168" s="8">
        <f t="shared" si="6"/>
        <v>0.125</v>
      </c>
      <c r="H168" s="73" t="s">
        <v>950</v>
      </c>
    </row>
    <row r="169" spans="1:8">
      <c r="A169" s="108"/>
      <c r="B169" s="3" t="s">
        <v>183</v>
      </c>
      <c r="C169" s="29" t="s">
        <v>183</v>
      </c>
      <c r="D169" s="32"/>
      <c r="E169" s="16" t="s">
        <v>500</v>
      </c>
      <c r="G169" s="8">
        <f t="shared" si="6"/>
        <v>0.125</v>
      </c>
      <c r="H169" s="73" t="s">
        <v>950</v>
      </c>
    </row>
    <row r="170" spans="1:8">
      <c r="A170" s="108"/>
      <c r="B170" s="3" t="s">
        <v>184</v>
      </c>
      <c r="C170" s="29" t="s">
        <v>178</v>
      </c>
      <c r="D170" s="15"/>
      <c r="E170" s="16" t="s">
        <v>501</v>
      </c>
      <c r="G170" s="8">
        <f t="shared" si="6"/>
        <v>0.125</v>
      </c>
      <c r="H170" s="73" t="s">
        <v>950</v>
      </c>
    </row>
    <row r="171" spans="1:8">
      <c r="A171" s="108"/>
      <c r="B171" s="3" t="s">
        <v>185</v>
      </c>
      <c r="C171" s="29" t="s">
        <v>185</v>
      </c>
      <c r="D171" s="15"/>
      <c r="E171" s="16" t="s">
        <v>502</v>
      </c>
      <c r="G171" s="8">
        <f t="shared" si="6"/>
        <v>0.125</v>
      </c>
      <c r="H171" s="73" t="s">
        <v>950</v>
      </c>
    </row>
    <row r="172" spans="1:8">
      <c r="A172" s="26" t="s">
        <v>504</v>
      </c>
      <c r="C172" s="29" t="s">
        <v>503</v>
      </c>
      <c r="D172" s="15"/>
      <c r="E172" s="16" t="s">
        <v>504</v>
      </c>
      <c r="G172" s="8">
        <v>1</v>
      </c>
      <c r="H172" s="91" t="s">
        <v>950</v>
      </c>
    </row>
    <row r="173" spans="1:8">
      <c r="A173" s="108" t="s">
        <v>17</v>
      </c>
      <c r="B173" s="3" t="s">
        <v>186</v>
      </c>
      <c r="C173" s="29" t="s">
        <v>193</v>
      </c>
      <c r="D173" s="37" t="s">
        <v>728</v>
      </c>
      <c r="E173" s="16" t="s">
        <v>505</v>
      </c>
      <c r="F173" s="3">
        <v>111</v>
      </c>
      <c r="G173" s="8">
        <v>1</v>
      </c>
    </row>
    <row r="174" spans="1:8">
      <c r="A174" s="108"/>
      <c r="B174" s="3" t="s">
        <v>187</v>
      </c>
      <c r="C174" s="29" t="s">
        <v>195</v>
      </c>
      <c r="D174" s="15"/>
      <c r="E174" s="16" t="s">
        <v>506</v>
      </c>
    </row>
    <row r="175" spans="1:8">
      <c r="A175" s="108"/>
      <c r="B175" s="3" t="s">
        <v>188</v>
      </c>
      <c r="C175" s="29" t="s">
        <v>197</v>
      </c>
      <c r="D175" s="15"/>
      <c r="E175" s="16" t="s">
        <v>507</v>
      </c>
    </row>
    <row r="176" spans="1:8">
      <c r="A176" s="108"/>
      <c r="B176" s="3" t="s">
        <v>189</v>
      </c>
      <c r="C176" s="29" t="s">
        <v>188</v>
      </c>
      <c r="D176" s="15"/>
      <c r="E176" s="16" t="s">
        <v>508</v>
      </c>
    </row>
    <row r="177" spans="1:8">
      <c r="A177" s="108"/>
      <c r="B177" s="3" t="s">
        <v>190</v>
      </c>
      <c r="C177" s="29" t="s">
        <v>194</v>
      </c>
      <c r="D177" s="15"/>
      <c r="E177" s="16" t="s">
        <v>509</v>
      </c>
    </row>
    <row r="178" spans="1:8">
      <c r="A178" s="108"/>
      <c r="B178" s="3" t="s">
        <v>191</v>
      </c>
      <c r="C178" s="29" t="s">
        <v>196</v>
      </c>
      <c r="D178" s="15"/>
      <c r="E178" s="16" t="s">
        <v>510</v>
      </c>
    </row>
    <row r="179" spans="1:8">
      <c r="A179" s="108"/>
      <c r="B179" s="3" t="s">
        <v>192</v>
      </c>
      <c r="C179" s="29" t="s">
        <v>190</v>
      </c>
      <c r="D179" s="15"/>
      <c r="E179" s="16" t="s">
        <v>511</v>
      </c>
    </row>
    <row r="180" spans="1:8">
      <c r="A180" s="108"/>
      <c r="B180" s="3" t="s">
        <v>193</v>
      </c>
      <c r="C180" s="29" t="s">
        <v>189</v>
      </c>
      <c r="D180" s="15"/>
      <c r="E180" s="16" t="s">
        <v>512</v>
      </c>
    </row>
    <row r="181" spans="1:8">
      <c r="A181" s="108"/>
      <c r="B181" s="3" t="s">
        <v>194</v>
      </c>
      <c r="C181" s="29" t="s">
        <v>186</v>
      </c>
      <c r="D181" s="15"/>
      <c r="E181" s="16" t="s">
        <v>513</v>
      </c>
    </row>
    <row r="182" spans="1:8">
      <c r="A182" s="108"/>
      <c r="B182" s="3" t="s">
        <v>195</v>
      </c>
      <c r="C182" s="29" t="s">
        <v>187</v>
      </c>
      <c r="D182" s="32"/>
      <c r="E182" s="16" t="s">
        <v>514</v>
      </c>
    </row>
    <row r="183" spans="1:8">
      <c r="A183" s="108"/>
      <c r="B183" s="3" t="s">
        <v>196</v>
      </c>
      <c r="C183" s="29" t="s">
        <v>191</v>
      </c>
      <c r="D183" s="32"/>
      <c r="E183" s="16" t="s">
        <v>515</v>
      </c>
    </row>
    <row r="184" spans="1:8">
      <c r="A184" s="108"/>
      <c r="B184" s="3" t="s">
        <v>197</v>
      </c>
      <c r="C184" s="29" t="s">
        <v>192</v>
      </c>
      <c r="D184" s="32"/>
      <c r="E184" s="16" t="s">
        <v>516</v>
      </c>
    </row>
    <row r="185" spans="1:8">
      <c r="A185" s="108" t="s">
        <v>18</v>
      </c>
      <c r="B185" s="3" t="s">
        <v>198</v>
      </c>
      <c r="C185" s="29" t="s">
        <v>206</v>
      </c>
      <c r="D185" s="15"/>
      <c r="E185" s="16" t="s">
        <v>517</v>
      </c>
      <c r="G185" s="8">
        <f t="shared" ref="G185:G192" si="7">1/9</f>
        <v>0.1111111111111111</v>
      </c>
      <c r="H185" s="73" t="s">
        <v>950</v>
      </c>
    </row>
    <row r="186" spans="1:8">
      <c r="A186" s="108"/>
      <c r="B186" s="3" t="s">
        <v>199</v>
      </c>
      <c r="C186" s="29" t="s">
        <v>204</v>
      </c>
      <c r="D186" s="15"/>
      <c r="E186" s="16" t="s">
        <v>518</v>
      </c>
      <c r="G186" s="8">
        <f t="shared" si="7"/>
        <v>0.1111111111111111</v>
      </c>
      <c r="H186" s="73" t="s">
        <v>950</v>
      </c>
    </row>
    <row r="187" spans="1:8">
      <c r="A187" s="108"/>
      <c r="B187" s="3" t="s">
        <v>200</v>
      </c>
      <c r="C187" s="29" t="s">
        <v>203</v>
      </c>
      <c r="D187" s="15"/>
      <c r="E187" s="16" t="s">
        <v>519</v>
      </c>
      <c r="G187" s="8">
        <f t="shared" si="7"/>
        <v>0.1111111111111111</v>
      </c>
      <c r="H187" s="73" t="s">
        <v>950</v>
      </c>
    </row>
    <row r="188" spans="1:8">
      <c r="A188" s="108"/>
      <c r="B188" s="3" t="s">
        <v>201</v>
      </c>
      <c r="C188" s="29" t="s">
        <v>205</v>
      </c>
      <c r="D188" s="15"/>
      <c r="E188" s="16" t="s">
        <v>520</v>
      </c>
      <c r="G188" s="8">
        <f t="shared" si="7"/>
        <v>0.1111111111111111</v>
      </c>
      <c r="H188" s="73" t="s">
        <v>950</v>
      </c>
    </row>
    <row r="189" spans="1:8">
      <c r="A189" s="108"/>
      <c r="B189" s="3" t="s">
        <v>202</v>
      </c>
      <c r="C189" s="29" t="s">
        <v>200</v>
      </c>
      <c r="D189" s="15"/>
      <c r="E189" s="16" t="s">
        <v>521</v>
      </c>
      <c r="G189" s="8">
        <f t="shared" si="7"/>
        <v>0.1111111111111111</v>
      </c>
      <c r="H189" s="73" t="s">
        <v>950</v>
      </c>
    </row>
    <row r="190" spans="1:8">
      <c r="A190" s="108"/>
      <c r="B190" s="3" t="s">
        <v>203</v>
      </c>
      <c r="C190" s="29" t="s">
        <v>202</v>
      </c>
      <c r="D190" s="15"/>
      <c r="E190" s="16" t="s">
        <v>522</v>
      </c>
      <c r="G190" s="8">
        <f t="shared" si="7"/>
        <v>0.1111111111111111</v>
      </c>
      <c r="H190" s="73" t="s">
        <v>950</v>
      </c>
    </row>
    <row r="191" spans="1:8">
      <c r="A191" s="108"/>
      <c r="B191" s="3" t="s">
        <v>204</v>
      </c>
      <c r="C191" s="29" t="s">
        <v>201</v>
      </c>
      <c r="D191" s="15"/>
      <c r="E191" s="16" t="s">
        <v>523</v>
      </c>
      <c r="G191" s="8">
        <f t="shared" si="7"/>
        <v>0.1111111111111111</v>
      </c>
      <c r="H191" s="73" t="s">
        <v>950</v>
      </c>
    </row>
    <row r="192" spans="1:8">
      <c r="A192" s="108"/>
      <c r="B192" s="3" t="s">
        <v>205</v>
      </c>
      <c r="C192" s="29" t="s">
        <v>199</v>
      </c>
      <c r="D192" s="15"/>
      <c r="E192" s="16" t="s">
        <v>524</v>
      </c>
      <c r="G192" s="8">
        <f t="shared" si="7"/>
        <v>0.1111111111111111</v>
      </c>
      <c r="H192" s="73" t="s">
        <v>950</v>
      </c>
    </row>
    <row r="193" spans="1:8">
      <c r="A193" s="108"/>
      <c r="B193" s="3" t="s">
        <v>206</v>
      </c>
      <c r="C193" s="29" t="s">
        <v>198</v>
      </c>
      <c r="D193" s="15"/>
      <c r="E193" s="16" t="s">
        <v>525</v>
      </c>
      <c r="G193" s="8">
        <f>1/9</f>
        <v>0.1111111111111111</v>
      </c>
      <c r="H193" s="73" t="s">
        <v>950</v>
      </c>
    </row>
    <row r="194" spans="1:8">
      <c r="A194" s="108" t="s">
        <v>19</v>
      </c>
      <c r="B194" s="3" t="s">
        <v>207</v>
      </c>
      <c r="C194" s="29" t="s">
        <v>219</v>
      </c>
      <c r="D194" s="15"/>
      <c r="E194" s="16" t="s">
        <v>526</v>
      </c>
      <c r="G194" s="8">
        <f t="shared" ref="G194:G209" si="8">1/17</f>
        <v>5.8823529411764705E-2</v>
      </c>
      <c r="H194" s="73" t="s">
        <v>950</v>
      </c>
    </row>
    <row r="195" spans="1:8">
      <c r="A195" s="108"/>
      <c r="B195" s="3" t="s">
        <v>208</v>
      </c>
      <c r="C195" s="29" t="s">
        <v>210</v>
      </c>
      <c r="D195" s="15"/>
      <c r="E195" s="16" t="s">
        <v>527</v>
      </c>
      <c r="G195" s="8">
        <f t="shared" si="8"/>
        <v>5.8823529411764705E-2</v>
      </c>
      <c r="H195" s="73" t="s">
        <v>950</v>
      </c>
    </row>
    <row r="196" spans="1:8">
      <c r="A196" s="108"/>
      <c r="B196" s="3" t="s">
        <v>209</v>
      </c>
      <c r="C196" s="29" t="s">
        <v>221</v>
      </c>
      <c r="D196" s="15"/>
      <c r="E196" s="16" t="s">
        <v>528</v>
      </c>
      <c r="G196" s="8">
        <f t="shared" si="8"/>
        <v>5.8823529411764705E-2</v>
      </c>
      <c r="H196" s="73" t="s">
        <v>950</v>
      </c>
    </row>
    <row r="197" spans="1:8">
      <c r="A197" s="108"/>
      <c r="B197" s="3" t="s">
        <v>210</v>
      </c>
      <c r="C197" s="29" t="s">
        <v>207</v>
      </c>
      <c r="D197" s="15"/>
      <c r="E197" s="16" t="s">
        <v>529</v>
      </c>
      <c r="G197" s="8">
        <f t="shared" si="8"/>
        <v>5.8823529411764705E-2</v>
      </c>
      <c r="H197" s="73" t="s">
        <v>950</v>
      </c>
    </row>
    <row r="198" spans="1:8">
      <c r="A198" s="108"/>
      <c r="B198" s="3" t="s">
        <v>211</v>
      </c>
      <c r="C198" s="29" t="s">
        <v>216</v>
      </c>
      <c r="D198" s="15"/>
      <c r="E198" s="16" t="s">
        <v>530</v>
      </c>
      <c r="G198" s="8">
        <f t="shared" si="8"/>
        <v>5.8823529411764705E-2</v>
      </c>
      <c r="H198" s="73" t="s">
        <v>950</v>
      </c>
    </row>
    <row r="199" spans="1:8">
      <c r="A199" s="108"/>
      <c r="B199" s="3" t="s">
        <v>212</v>
      </c>
      <c r="C199" s="29" t="s">
        <v>218</v>
      </c>
      <c r="D199" s="15"/>
      <c r="E199" s="16" t="s">
        <v>531</v>
      </c>
      <c r="G199" s="8">
        <f t="shared" si="8"/>
        <v>5.8823529411764705E-2</v>
      </c>
      <c r="H199" s="73" t="s">
        <v>950</v>
      </c>
    </row>
    <row r="200" spans="1:8">
      <c r="A200" s="108"/>
      <c r="B200" s="3" t="s">
        <v>213</v>
      </c>
      <c r="C200" s="29" t="s">
        <v>213</v>
      </c>
      <c r="D200" s="15"/>
      <c r="E200" s="16" t="s">
        <v>532</v>
      </c>
      <c r="G200" s="8">
        <f t="shared" si="8"/>
        <v>5.8823529411764705E-2</v>
      </c>
      <c r="H200" s="73" t="s">
        <v>950</v>
      </c>
    </row>
    <row r="201" spans="1:8">
      <c r="A201" s="108"/>
      <c r="B201" s="3" t="s">
        <v>214</v>
      </c>
      <c r="C201" s="29" t="s">
        <v>220</v>
      </c>
      <c r="D201" s="15"/>
      <c r="E201" s="16" t="s">
        <v>533</v>
      </c>
      <c r="G201" s="8">
        <f t="shared" si="8"/>
        <v>5.8823529411764705E-2</v>
      </c>
      <c r="H201" s="73" t="s">
        <v>950</v>
      </c>
    </row>
    <row r="202" spans="1:8">
      <c r="A202" s="108"/>
      <c r="B202" s="3" t="s">
        <v>215</v>
      </c>
      <c r="C202" s="29" t="s">
        <v>208</v>
      </c>
      <c r="D202" s="15"/>
      <c r="E202" s="16" t="s">
        <v>534</v>
      </c>
      <c r="G202" s="8">
        <f t="shared" si="8"/>
        <v>5.8823529411764705E-2</v>
      </c>
      <c r="H202" s="73" t="s">
        <v>950</v>
      </c>
    </row>
    <row r="203" spans="1:8">
      <c r="A203" s="108"/>
      <c r="B203" s="3" t="s">
        <v>216</v>
      </c>
      <c r="C203" s="29" t="s">
        <v>211</v>
      </c>
      <c r="D203" s="15"/>
      <c r="E203" s="16" t="s">
        <v>535</v>
      </c>
      <c r="G203" s="8">
        <f t="shared" si="8"/>
        <v>5.8823529411764705E-2</v>
      </c>
      <c r="H203" s="73" t="s">
        <v>950</v>
      </c>
    </row>
    <row r="204" spans="1:8">
      <c r="A204" s="108"/>
      <c r="B204" s="3" t="s">
        <v>217</v>
      </c>
      <c r="C204" s="29" t="s">
        <v>223</v>
      </c>
      <c r="D204" s="15"/>
      <c r="E204" s="16" t="s">
        <v>536</v>
      </c>
      <c r="G204" s="8">
        <f t="shared" si="8"/>
        <v>5.8823529411764705E-2</v>
      </c>
      <c r="H204" s="73" t="s">
        <v>950</v>
      </c>
    </row>
    <row r="205" spans="1:8">
      <c r="A205" s="108"/>
      <c r="B205" s="3" t="s">
        <v>218</v>
      </c>
      <c r="C205" s="29" t="s">
        <v>222</v>
      </c>
      <c r="D205" s="15"/>
      <c r="E205" s="16" t="s">
        <v>537</v>
      </c>
      <c r="G205" s="8">
        <f t="shared" si="8"/>
        <v>5.8823529411764705E-2</v>
      </c>
      <c r="H205" s="73" t="s">
        <v>950</v>
      </c>
    </row>
    <row r="206" spans="1:8">
      <c r="A206" s="108"/>
      <c r="B206" s="3" t="s">
        <v>219</v>
      </c>
      <c r="C206" s="29" t="s">
        <v>217</v>
      </c>
      <c r="D206" s="15"/>
      <c r="E206" s="16" t="s">
        <v>538</v>
      </c>
      <c r="G206" s="8">
        <f t="shared" si="8"/>
        <v>5.8823529411764705E-2</v>
      </c>
      <c r="H206" s="73" t="s">
        <v>950</v>
      </c>
    </row>
    <row r="207" spans="1:8">
      <c r="A207" s="108"/>
      <c r="B207" s="3" t="s">
        <v>220</v>
      </c>
      <c r="C207" s="29" t="s">
        <v>209</v>
      </c>
      <c r="D207" s="15"/>
      <c r="E207" s="16" t="s">
        <v>539</v>
      </c>
      <c r="G207" s="8">
        <f t="shared" si="8"/>
        <v>5.8823529411764705E-2</v>
      </c>
      <c r="H207" s="73" t="s">
        <v>950</v>
      </c>
    </row>
    <row r="208" spans="1:8">
      <c r="A208" s="108"/>
      <c r="B208" s="3" t="s">
        <v>221</v>
      </c>
      <c r="C208" s="29" t="s">
        <v>212</v>
      </c>
      <c r="D208" s="15"/>
      <c r="E208" s="16" t="s">
        <v>540</v>
      </c>
      <c r="G208" s="8">
        <f t="shared" si="8"/>
        <v>5.8823529411764705E-2</v>
      </c>
      <c r="H208" s="73" t="s">
        <v>950</v>
      </c>
    </row>
    <row r="209" spans="1:8">
      <c r="A209" s="108"/>
      <c r="B209" s="3" t="s">
        <v>222</v>
      </c>
      <c r="C209" s="29" t="s">
        <v>214</v>
      </c>
      <c r="D209" s="15"/>
      <c r="E209" s="16" t="s">
        <v>541</v>
      </c>
      <c r="G209" s="8">
        <f t="shared" si="8"/>
        <v>5.8823529411764705E-2</v>
      </c>
      <c r="H209" s="73" t="s">
        <v>950</v>
      </c>
    </row>
    <row r="210" spans="1:8">
      <c r="A210" s="108"/>
      <c r="B210" s="3" t="s">
        <v>223</v>
      </c>
      <c r="C210" s="29" t="s">
        <v>215</v>
      </c>
      <c r="D210" s="32"/>
      <c r="E210" s="16" t="s">
        <v>542</v>
      </c>
      <c r="G210" s="8">
        <f>1/17</f>
        <v>5.8823529411764705E-2</v>
      </c>
      <c r="H210" s="73" t="s">
        <v>950</v>
      </c>
    </row>
    <row r="211" spans="1:8">
      <c r="A211" s="108" t="s">
        <v>20</v>
      </c>
      <c r="B211" s="3" t="s">
        <v>224</v>
      </c>
      <c r="C211" s="29" t="s">
        <v>226</v>
      </c>
      <c r="D211" s="15"/>
      <c r="E211" s="16" t="s">
        <v>543</v>
      </c>
      <c r="G211" s="8">
        <f t="shared" ref="G211:G216" si="9">1/7</f>
        <v>0.14285714285714285</v>
      </c>
      <c r="H211" s="73" t="s">
        <v>950</v>
      </c>
    </row>
    <row r="212" spans="1:8">
      <c r="A212" s="108"/>
      <c r="B212" s="3" t="s">
        <v>225</v>
      </c>
      <c r="C212" s="29" t="s">
        <v>225</v>
      </c>
      <c r="D212" s="15"/>
      <c r="E212" s="16" t="s">
        <v>544</v>
      </c>
      <c r="G212" s="8">
        <f t="shared" si="9"/>
        <v>0.14285714285714285</v>
      </c>
      <c r="H212" s="73" t="s">
        <v>950</v>
      </c>
    </row>
    <row r="213" spans="1:8">
      <c r="A213" s="108"/>
      <c r="B213" s="3" t="s">
        <v>226</v>
      </c>
      <c r="C213" s="29" t="s">
        <v>228</v>
      </c>
      <c r="D213" s="15"/>
      <c r="E213" s="16" t="s">
        <v>545</v>
      </c>
      <c r="G213" s="8">
        <f t="shared" si="9"/>
        <v>0.14285714285714285</v>
      </c>
      <c r="H213" s="73" t="s">
        <v>950</v>
      </c>
    </row>
    <row r="214" spans="1:8">
      <c r="A214" s="108"/>
      <c r="B214" s="3" t="s">
        <v>227</v>
      </c>
      <c r="C214" s="29" t="s">
        <v>224</v>
      </c>
      <c r="D214" s="15"/>
      <c r="E214" s="16" t="s">
        <v>546</v>
      </c>
      <c r="G214" s="8">
        <f t="shared" si="9"/>
        <v>0.14285714285714285</v>
      </c>
      <c r="H214" s="73" t="s">
        <v>950</v>
      </c>
    </row>
    <row r="215" spans="1:8">
      <c r="A215" s="108"/>
      <c r="B215" s="3" t="s">
        <v>228</v>
      </c>
      <c r="C215" s="29" t="s">
        <v>227</v>
      </c>
      <c r="D215" s="32"/>
      <c r="E215" s="16" t="s">
        <v>547</v>
      </c>
      <c r="G215" s="8">
        <f t="shared" si="9"/>
        <v>0.14285714285714285</v>
      </c>
      <c r="H215" s="73" t="s">
        <v>950</v>
      </c>
    </row>
    <row r="216" spans="1:8">
      <c r="A216" s="108"/>
      <c r="C216" s="29" t="s">
        <v>548</v>
      </c>
      <c r="D216" s="15"/>
      <c r="E216" s="16" t="s">
        <v>549</v>
      </c>
      <c r="G216" s="8">
        <f t="shared" si="9"/>
        <v>0.14285714285714285</v>
      </c>
      <c r="H216" s="73" t="s">
        <v>950</v>
      </c>
    </row>
    <row r="217" spans="1:8">
      <c r="A217" s="108"/>
      <c r="C217" s="29" t="s">
        <v>550</v>
      </c>
      <c r="D217" s="15"/>
      <c r="E217" s="16" t="s">
        <v>551</v>
      </c>
      <c r="G217" s="8">
        <f>1/7</f>
        <v>0.14285714285714285</v>
      </c>
      <c r="H217" s="73" t="s">
        <v>950</v>
      </c>
    </row>
    <row r="218" spans="1:8">
      <c r="A218" s="108" t="s">
        <v>21</v>
      </c>
      <c r="B218" s="3" t="s">
        <v>229</v>
      </c>
      <c r="C218" s="29" t="s">
        <v>231</v>
      </c>
      <c r="D218" s="15"/>
      <c r="E218" s="16" t="s">
        <v>552</v>
      </c>
    </row>
    <row r="219" spans="1:8">
      <c r="A219" s="108"/>
      <c r="B219" s="3" t="s">
        <v>230</v>
      </c>
      <c r="C219" s="29" t="s">
        <v>236</v>
      </c>
      <c r="D219" s="15"/>
      <c r="E219" s="16" t="s">
        <v>553</v>
      </c>
    </row>
    <row r="220" spans="1:8">
      <c r="A220" s="108"/>
      <c r="B220" s="3" t="s">
        <v>231</v>
      </c>
      <c r="C220" s="29" t="s">
        <v>232</v>
      </c>
      <c r="D220" s="15"/>
      <c r="E220" s="16" t="s">
        <v>554</v>
      </c>
    </row>
    <row r="221" spans="1:8">
      <c r="A221" s="108"/>
      <c r="B221" s="3" t="s">
        <v>232</v>
      </c>
      <c r="C221" s="29" t="s">
        <v>230</v>
      </c>
      <c r="D221" s="15"/>
      <c r="E221" s="16" t="s">
        <v>555</v>
      </c>
    </row>
    <row r="222" spans="1:8">
      <c r="A222" s="108"/>
      <c r="B222" s="3" t="s">
        <v>233</v>
      </c>
      <c r="C222" s="29" t="s">
        <v>234</v>
      </c>
      <c r="D222" s="15"/>
      <c r="E222" s="16" t="s">
        <v>556</v>
      </c>
    </row>
    <row r="223" spans="1:8">
      <c r="A223" s="108"/>
      <c r="B223" s="3" t="s">
        <v>234</v>
      </c>
      <c r="C223" s="29" t="s">
        <v>233</v>
      </c>
      <c r="D223" s="15"/>
      <c r="E223" s="16" t="s">
        <v>557</v>
      </c>
    </row>
    <row r="224" spans="1:8">
      <c r="A224" s="108"/>
      <c r="B224" s="3" t="s">
        <v>235</v>
      </c>
      <c r="C224" s="29" t="s">
        <v>229</v>
      </c>
      <c r="D224" s="15" t="s">
        <v>736</v>
      </c>
      <c r="E224" s="16" t="s">
        <v>558</v>
      </c>
      <c r="F224" s="3">
        <v>282</v>
      </c>
      <c r="G224" s="8">
        <v>1</v>
      </c>
    </row>
    <row r="225" spans="1:8">
      <c r="A225" s="108"/>
      <c r="B225" s="3" t="s">
        <v>236</v>
      </c>
      <c r="C225" s="29" t="s">
        <v>235</v>
      </c>
      <c r="D225" s="15"/>
      <c r="E225" s="16" t="s">
        <v>559</v>
      </c>
    </row>
    <row r="226" spans="1:8">
      <c r="A226" s="108" t="s">
        <v>22</v>
      </c>
      <c r="B226" s="3" t="s">
        <v>237</v>
      </c>
      <c r="C226" s="29" t="s">
        <v>237</v>
      </c>
      <c r="D226" s="15" t="s">
        <v>744</v>
      </c>
      <c r="E226" s="16" t="s">
        <v>560</v>
      </c>
      <c r="F226" s="3">
        <v>85</v>
      </c>
      <c r="G226" s="8">
        <v>1</v>
      </c>
    </row>
    <row r="227" spans="1:8">
      <c r="A227" s="108"/>
      <c r="B227" s="3" t="s">
        <v>238</v>
      </c>
      <c r="C227" s="29" t="s">
        <v>238</v>
      </c>
      <c r="D227" s="15"/>
      <c r="E227" s="16" t="s">
        <v>561</v>
      </c>
    </row>
    <row r="228" spans="1:8">
      <c r="A228" s="108" t="s">
        <v>23</v>
      </c>
      <c r="B228" s="3" t="s">
        <v>239</v>
      </c>
      <c r="C228" s="29" t="s">
        <v>241</v>
      </c>
      <c r="D228" s="15"/>
      <c r="E228" s="16" t="s">
        <v>562</v>
      </c>
    </row>
    <row r="229" spans="1:8">
      <c r="A229" s="108"/>
      <c r="B229" s="3" t="s">
        <v>240</v>
      </c>
      <c r="C229" s="29" t="s">
        <v>239</v>
      </c>
      <c r="D229" s="15"/>
      <c r="E229" s="16" t="s">
        <v>563</v>
      </c>
    </row>
    <row r="230" spans="1:8">
      <c r="A230" s="108"/>
      <c r="B230" s="3" t="s">
        <v>241</v>
      </c>
      <c r="C230" s="29" t="s">
        <v>242</v>
      </c>
      <c r="D230" s="15" t="s">
        <v>741</v>
      </c>
      <c r="E230" s="16" t="s">
        <v>564</v>
      </c>
      <c r="F230" s="3">
        <v>175</v>
      </c>
      <c r="G230" s="8">
        <v>1</v>
      </c>
    </row>
    <row r="231" spans="1:8">
      <c r="A231" s="108"/>
      <c r="B231" s="3" t="s">
        <v>242</v>
      </c>
      <c r="C231" s="29" t="s">
        <v>240</v>
      </c>
      <c r="D231" s="15"/>
      <c r="E231" s="16" t="s">
        <v>565</v>
      </c>
    </row>
    <row r="232" spans="1:8">
      <c r="A232" s="108" t="s">
        <v>24</v>
      </c>
      <c r="B232" s="3" t="s">
        <v>243</v>
      </c>
      <c r="C232" s="29" t="s">
        <v>243</v>
      </c>
      <c r="D232" s="15"/>
      <c r="E232" s="16" t="s">
        <v>566</v>
      </c>
      <c r="G232" s="8">
        <f>1/5</f>
        <v>0.2</v>
      </c>
      <c r="H232" s="73" t="s">
        <v>950</v>
      </c>
    </row>
    <row r="233" spans="1:8">
      <c r="A233" s="108"/>
      <c r="B233" s="3" t="s">
        <v>244</v>
      </c>
      <c r="C233" s="29" t="s">
        <v>245</v>
      </c>
      <c r="D233" s="15"/>
      <c r="E233" s="16" t="s">
        <v>567</v>
      </c>
      <c r="G233" s="8">
        <f t="shared" ref="G233:G236" si="10">1/5</f>
        <v>0.2</v>
      </c>
      <c r="H233" s="73" t="s">
        <v>950</v>
      </c>
    </row>
    <row r="234" spans="1:8">
      <c r="A234" s="108"/>
      <c r="B234" s="3" t="s">
        <v>245</v>
      </c>
      <c r="C234" s="29" t="s">
        <v>244</v>
      </c>
      <c r="D234" s="15"/>
      <c r="E234" s="16" t="s">
        <v>568</v>
      </c>
      <c r="G234" s="8">
        <f t="shared" si="10"/>
        <v>0.2</v>
      </c>
      <c r="H234" s="73" t="s">
        <v>950</v>
      </c>
    </row>
    <row r="235" spans="1:8">
      <c r="A235" s="108"/>
      <c r="B235" s="3" t="s">
        <v>246</v>
      </c>
      <c r="C235" s="29" t="s">
        <v>246</v>
      </c>
      <c r="D235" s="15"/>
      <c r="E235" s="16" t="s">
        <v>569</v>
      </c>
      <c r="G235" s="8">
        <f t="shared" si="10"/>
        <v>0.2</v>
      </c>
      <c r="H235" s="73" t="s">
        <v>950</v>
      </c>
    </row>
    <row r="236" spans="1:8">
      <c r="A236" s="108"/>
      <c r="C236" s="29" t="s">
        <v>570</v>
      </c>
      <c r="D236" s="15"/>
      <c r="E236" s="16" t="s">
        <v>571</v>
      </c>
      <c r="G236" s="8">
        <f t="shared" si="10"/>
        <v>0.2</v>
      </c>
      <c r="H236" s="73" t="s">
        <v>950</v>
      </c>
    </row>
    <row r="237" spans="1:8">
      <c r="A237" s="108" t="s">
        <v>25</v>
      </c>
      <c r="B237" s="3" t="s">
        <v>247</v>
      </c>
      <c r="C237" s="29" t="s">
        <v>247</v>
      </c>
      <c r="D237" s="15"/>
      <c r="E237" s="16" t="s">
        <v>572</v>
      </c>
    </row>
    <row r="238" spans="1:8">
      <c r="A238" s="108"/>
      <c r="B238" s="3" t="s">
        <v>248</v>
      </c>
      <c r="C238" s="29" t="s">
        <v>248</v>
      </c>
      <c r="D238" s="15"/>
      <c r="E238" s="16" t="s">
        <v>573</v>
      </c>
    </row>
    <row r="239" spans="1:8">
      <c r="A239" s="108"/>
      <c r="B239" s="3" t="s">
        <v>249</v>
      </c>
      <c r="C239" s="29" t="s">
        <v>252</v>
      </c>
      <c r="D239" s="15"/>
      <c r="E239" s="16" t="s">
        <v>574</v>
      </c>
    </row>
    <row r="240" spans="1:8">
      <c r="A240" s="108"/>
      <c r="B240" s="3" t="s">
        <v>250</v>
      </c>
      <c r="C240" s="29" t="s">
        <v>254</v>
      </c>
      <c r="D240" s="15"/>
      <c r="E240" s="16" t="s">
        <v>575</v>
      </c>
    </row>
    <row r="241" spans="1:7">
      <c r="A241" s="108"/>
      <c r="B241" s="3" t="s">
        <v>251</v>
      </c>
      <c r="C241" s="29" t="s">
        <v>251</v>
      </c>
      <c r="D241" s="32"/>
      <c r="E241" s="16" t="s">
        <v>576</v>
      </c>
    </row>
    <row r="242" spans="1:7">
      <c r="A242" s="108"/>
      <c r="B242" s="3" t="s">
        <v>252</v>
      </c>
      <c r="C242" s="29" t="s">
        <v>253</v>
      </c>
      <c r="D242" s="15"/>
      <c r="E242" s="16" t="s">
        <v>577</v>
      </c>
    </row>
    <row r="243" spans="1:7">
      <c r="A243" s="108"/>
      <c r="B243" s="3" t="s">
        <v>253</v>
      </c>
      <c r="C243" s="29" t="s">
        <v>250</v>
      </c>
      <c r="D243" s="15" t="s">
        <v>743</v>
      </c>
      <c r="E243" s="16" t="s">
        <v>578</v>
      </c>
      <c r="F243" s="3">
        <v>130</v>
      </c>
      <c r="G243" s="8">
        <v>1</v>
      </c>
    </row>
    <row r="244" spans="1:7">
      <c r="A244" s="108"/>
      <c r="B244" s="3" t="s">
        <v>254</v>
      </c>
      <c r="C244" s="29" t="s">
        <v>249</v>
      </c>
      <c r="D244" s="15"/>
      <c r="E244" s="16" t="s">
        <v>579</v>
      </c>
    </row>
    <row r="245" spans="1:7">
      <c r="A245" s="108" t="s">
        <v>26</v>
      </c>
      <c r="B245" s="3" t="s">
        <v>255</v>
      </c>
      <c r="C245" s="29" t="s">
        <v>294</v>
      </c>
      <c r="D245" s="32"/>
      <c r="E245" s="16" t="s">
        <v>580</v>
      </c>
    </row>
    <row r="246" spans="1:7" ht="29.25">
      <c r="A246" s="108"/>
      <c r="B246" s="3" t="s">
        <v>256</v>
      </c>
      <c r="C246" s="29" t="s">
        <v>268</v>
      </c>
      <c r="D246" s="15"/>
      <c r="E246" s="16" t="s">
        <v>581</v>
      </c>
    </row>
    <row r="247" spans="1:7">
      <c r="A247" s="108"/>
      <c r="B247" s="3" t="s">
        <v>257</v>
      </c>
      <c r="C247" s="29" t="s">
        <v>280</v>
      </c>
      <c r="D247" s="15"/>
      <c r="E247" s="16" t="s">
        <v>582</v>
      </c>
    </row>
    <row r="248" spans="1:7">
      <c r="A248" s="108"/>
      <c r="B248" s="3" t="s">
        <v>258</v>
      </c>
      <c r="C248" s="29" t="s">
        <v>270</v>
      </c>
      <c r="D248" s="15"/>
      <c r="E248" s="16" t="s">
        <v>583</v>
      </c>
    </row>
    <row r="249" spans="1:7">
      <c r="A249" s="108"/>
      <c r="B249" s="3" t="s">
        <v>259</v>
      </c>
      <c r="C249" s="29" t="s">
        <v>285</v>
      </c>
      <c r="D249" s="15"/>
      <c r="E249" s="16" t="s">
        <v>584</v>
      </c>
    </row>
    <row r="250" spans="1:7">
      <c r="A250" s="108"/>
      <c r="B250" s="3" t="s">
        <v>260</v>
      </c>
      <c r="C250" s="29" t="s">
        <v>264</v>
      </c>
      <c r="D250" s="15"/>
      <c r="E250" s="16" t="s">
        <v>585</v>
      </c>
    </row>
    <row r="251" spans="1:7">
      <c r="A251" s="108"/>
      <c r="B251" s="3" t="s">
        <v>261</v>
      </c>
      <c r="C251" s="29" t="s">
        <v>269</v>
      </c>
      <c r="D251" s="15"/>
      <c r="E251" s="16" t="s">
        <v>586</v>
      </c>
    </row>
    <row r="252" spans="1:7" ht="29.25">
      <c r="A252" s="108"/>
      <c r="B252" s="3" t="s">
        <v>262</v>
      </c>
      <c r="C252" s="29" t="s">
        <v>277</v>
      </c>
      <c r="D252" s="15"/>
      <c r="E252" s="16" t="s">
        <v>587</v>
      </c>
    </row>
    <row r="253" spans="1:7">
      <c r="A253" s="108"/>
      <c r="B253" s="3" t="s">
        <v>263</v>
      </c>
      <c r="C253" s="29" t="s">
        <v>295</v>
      </c>
      <c r="D253" s="15"/>
      <c r="E253" s="16" t="s">
        <v>588</v>
      </c>
    </row>
    <row r="254" spans="1:7">
      <c r="A254" s="108"/>
      <c r="B254" s="3" t="s">
        <v>264</v>
      </c>
      <c r="C254" s="29" t="s">
        <v>266</v>
      </c>
      <c r="D254" s="15"/>
      <c r="E254" s="16" t="s">
        <v>589</v>
      </c>
    </row>
    <row r="255" spans="1:7">
      <c r="A255" s="108"/>
      <c r="B255" s="3" t="s">
        <v>265</v>
      </c>
      <c r="C255" s="29" t="s">
        <v>263</v>
      </c>
      <c r="D255" s="15"/>
      <c r="E255" s="16" t="s">
        <v>590</v>
      </c>
    </row>
    <row r="256" spans="1:7">
      <c r="A256" s="108"/>
      <c r="B256" s="3" t="s">
        <v>266</v>
      </c>
      <c r="C256" s="29" t="s">
        <v>279</v>
      </c>
      <c r="D256" s="15"/>
      <c r="E256" s="16" t="s">
        <v>591</v>
      </c>
    </row>
    <row r="257" spans="1:5" ht="29.25">
      <c r="A257" s="108"/>
      <c r="B257" s="3" t="s">
        <v>267</v>
      </c>
      <c r="C257" s="29" t="s">
        <v>272</v>
      </c>
      <c r="D257" s="15"/>
      <c r="E257" s="16" t="s">
        <v>592</v>
      </c>
    </row>
    <row r="258" spans="1:5">
      <c r="A258" s="108"/>
      <c r="B258" s="3" t="s">
        <v>268</v>
      </c>
      <c r="C258" s="29" t="s">
        <v>271</v>
      </c>
      <c r="D258" s="15"/>
      <c r="E258" s="16" t="s">
        <v>593</v>
      </c>
    </row>
    <row r="259" spans="1:5" ht="29.25">
      <c r="A259" s="108"/>
      <c r="B259" s="3" t="s">
        <v>269</v>
      </c>
      <c r="C259" s="29" t="s">
        <v>275</v>
      </c>
      <c r="D259" s="15"/>
      <c r="E259" s="16" t="s">
        <v>594</v>
      </c>
    </row>
    <row r="260" spans="1:5">
      <c r="A260" s="108"/>
      <c r="B260" s="3" t="s">
        <v>270</v>
      </c>
      <c r="C260" s="29" t="s">
        <v>267</v>
      </c>
      <c r="D260" s="15"/>
      <c r="E260" s="16" t="s">
        <v>595</v>
      </c>
    </row>
    <row r="261" spans="1:5">
      <c r="A261" s="108"/>
      <c r="B261" s="3" t="s">
        <v>271</v>
      </c>
      <c r="C261" s="29" t="s">
        <v>274</v>
      </c>
      <c r="D261" s="15"/>
      <c r="E261" s="16" t="s">
        <v>596</v>
      </c>
    </row>
    <row r="262" spans="1:5">
      <c r="A262" s="108"/>
      <c r="B262" s="3" t="s">
        <v>272</v>
      </c>
      <c r="C262" s="29" t="s">
        <v>282</v>
      </c>
      <c r="D262" s="15"/>
      <c r="E262" s="16" t="s">
        <v>597</v>
      </c>
    </row>
    <row r="263" spans="1:5">
      <c r="A263" s="108"/>
      <c r="B263" s="3" t="s">
        <v>273</v>
      </c>
      <c r="C263" s="29" t="s">
        <v>287</v>
      </c>
      <c r="D263" s="15"/>
      <c r="E263" s="16" t="s">
        <v>598</v>
      </c>
    </row>
    <row r="264" spans="1:5">
      <c r="A264" s="108"/>
      <c r="B264" s="3" t="s">
        <v>274</v>
      </c>
      <c r="C264" s="29" t="s">
        <v>265</v>
      </c>
      <c r="D264" s="15"/>
      <c r="E264" s="16" t="s">
        <v>599</v>
      </c>
    </row>
    <row r="265" spans="1:5">
      <c r="A265" s="108"/>
      <c r="B265" s="3" t="s">
        <v>275</v>
      </c>
      <c r="C265" s="29" t="s">
        <v>293</v>
      </c>
      <c r="D265" s="15"/>
      <c r="E265" s="16" t="s">
        <v>600</v>
      </c>
    </row>
    <row r="266" spans="1:5">
      <c r="A266" s="108"/>
      <c r="B266" s="3" t="s">
        <v>276</v>
      </c>
      <c r="C266" s="29" t="s">
        <v>292</v>
      </c>
      <c r="D266" s="15"/>
      <c r="E266" s="16" t="s">
        <v>601</v>
      </c>
    </row>
    <row r="267" spans="1:5" ht="29.25">
      <c r="A267" s="108"/>
      <c r="B267" s="3" t="s">
        <v>277</v>
      </c>
      <c r="C267" s="29" t="s">
        <v>291</v>
      </c>
      <c r="D267" s="15"/>
      <c r="E267" s="16" t="s">
        <v>602</v>
      </c>
    </row>
    <row r="268" spans="1:5">
      <c r="A268" s="108"/>
      <c r="B268" s="3" t="s">
        <v>278</v>
      </c>
      <c r="C268" s="29" t="s">
        <v>290</v>
      </c>
      <c r="D268" s="15"/>
      <c r="E268" s="16" t="s">
        <v>603</v>
      </c>
    </row>
    <row r="269" spans="1:5" ht="29.25">
      <c r="A269" s="108"/>
      <c r="B269" s="3" t="s">
        <v>279</v>
      </c>
      <c r="C269" s="29" t="s">
        <v>289</v>
      </c>
      <c r="D269" s="15"/>
      <c r="E269" s="16" t="s">
        <v>604</v>
      </c>
    </row>
    <row r="270" spans="1:5" ht="29.25">
      <c r="A270" s="108"/>
      <c r="B270" s="3" t="s">
        <v>280</v>
      </c>
      <c r="C270" s="29" t="s">
        <v>286</v>
      </c>
      <c r="D270" s="15"/>
      <c r="E270" s="16" t="s">
        <v>605</v>
      </c>
    </row>
    <row r="271" spans="1:5">
      <c r="A271" s="108"/>
      <c r="B271" s="3" t="s">
        <v>281</v>
      </c>
      <c r="C271" s="29" t="s">
        <v>283</v>
      </c>
      <c r="D271" s="15"/>
      <c r="E271" s="16" t="s">
        <v>606</v>
      </c>
    </row>
    <row r="272" spans="1:5">
      <c r="A272" s="108"/>
      <c r="B272" s="3" t="s">
        <v>282</v>
      </c>
      <c r="C272" s="29" t="s">
        <v>276</v>
      </c>
      <c r="D272" s="15"/>
      <c r="E272" s="16" t="s">
        <v>607</v>
      </c>
    </row>
    <row r="273" spans="1:7">
      <c r="A273" s="108"/>
      <c r="B273" s="3" t="s">
        <v>283</v>
      </c>
      <c r="C273" s="29" t="s">
        <v>273</v>
      </c>
      <c r="D273" s="15"/>
      <c r="E273" s="16" t="s">
        <v>608</v>
      </c>
    </row>
    <row r="274" spans="1:7" ht="29.25">
      <c r="A274" s="108"/>
      <c r="B274" s="3" t="s">
        <v>284</v>
      </c>
      <c r="C274" s="29" t="s">
        <v>288</v>
      </c>
      <c r="D274" s="15"/>
      <c r="E274" s="16" t="s">
        <v>609</v>
      </c>
    </row>
    <row r="275" spans="1:7">
      <c r="A275" s="108"/>
      <c r="B275" s="3" t="s">
        <v>285</v>
      </c>
      <c r="C275" s="29" t="s">
        <v>284</v>
      </c>
      <c r="D275" s="15"/>
      <c r="E275" s="16" t="s">
        <v>610</v>
      </c>
    </row>
    <row r="276" spans="1:7">
      <c r="A276" s="108"/>
      <c r="B276" s="3" t="s">
        <v>286</v>
      </c>
      <c r="C276" s="29" t="s">
        <v>281</v>
      </c>
      <c r="D276" s="15"/>
      <c r="E276" s="16" t="s">
        <v>611</v>
      </c>
    </row>
    <row r="277" spans="1:7">
      <c r="A277" s="108"/>
      <c r="B277" s="3" t="s">
        <v>287</v>
      </c>
      <c r="C277" s="29" t="s">
        <v>278</v>
      </c>
      <c r="D277" s="15"/>
      <c r="E277" s="16" t="s">
        <v>612</v>
      </c>
    </row>
    <row r="278" spans="1:7">
      <c r="A278" s="108"/>
      <c r="B278" s="3" t="s">
        <v>288</v>
      </c>
      <c r="C278" s="29" t="s">
        <v>255</v>
      </c>
      <c r="D278" s="15"/>
      <c r="E278" s="16" t="s">
        <v>613</v>
      </c>
    </row>
    <row r="279" spans="1:7">
      <c r="A279" s="108"/>
      <c r="B279" s="3" t="s">
        <v>289</v>
      </c>
      <c r="C279" s="29" t="s">
        <v>256</v>
      </c>
      <c r="D279" s="15"/>
      <c r="E279" s="16" t="s">
        <v>614</v>
      </c>
    </row>
    <row r="280" spans="1:7">
      <c r="A280" s="108"/>
      <c r="B280" s="3" t="s">
        <v>290</v>
      </c>
      <c r="C280" s="29" t="s">
        <v>261</v>
      </c>
      <c r="D280" s="15"/>
      <c r="E280" s="16" t="s">
        <v>615</v>
      </c>
    </row>
    <row r="281" spans="1:7">
      <c r="A281" s="108"/>
      <c r="B281" s="3" t="s">
        <v>291</v>
      </c>
      <c r="C281" s="29" t="s">
        <v>259</v>
      </c>
      <c r="D281" s="15" t="s">
        <v>740</v>
      </c>
      <c r="E281" s="16" t="s">
        <v>616</v>
      </c>
      <c r="F281" s="3">
        <v>50</v>
      </c>
      <c r="G281" s="8">
        <v>1</v>
      </c>
    </row>
    <row r="282" spans="1:7">
      <c r="A282" s="108"/>
      <c r="B282" s="3" t="s">
        <v>292</v>
      </c>
      <c r="C282" s="29" t="s">
        <v>260</v>
      </c>
      <c r="D282" s="31"/>
      <c r="E282" s="16" t="s">
        <v>617</v>
      </c>
    </row>
    <row r="283" spans="1:7">
      <c r="A283" s="108"/>
      <c r="B283" s="3" t="s">
        <v>293</v>
      </c>
      <c r="C283" s="29" t="s">
        <v>258</v>
      </c>
      <c r="D283" s="15"/>
      <c r="E283" s="16" t="s">
        <v>618</v>
      </c>
    </row>
    <row r="284" spans="1:7">
      <c r="A284" s="108"/>
      <c r="B284" s="3" t="s">
        <v>294</v>
      </c>
      <c r="C284" s="29" t="s">
        <v>257</v>
      </c>
      <c r="D284" s="15"/>
      <c r="E284" s="16" t="s">
        <v>619</v>
      </c>
    </row>
    <row r="285" spans="1:7">
      <c r="A285" s="108"/>
      <c r="B285" s="3" t="s">
        <v>295</v>
      </c>
      <c r="C285" s="29" t="s">
        <v>262</v>
      </c>
      <c r="D285" s="15"/>
      <c r="E285" s="16" t="s">
        <v>620</v>
      </c>
    </row>
    <row r="286" spans="1:7">
      <c r="A286" s="108" t="s">
        <v>27</v>
      </c>
      <c r="B286" s="3" t="s">
        <v>296</v>
      </c>
      <c r="C286" s="21" t="s">
        <v>298</v>
      </c>
      <c r="E286" s="19" t="s">
        <v>629</v>
      </c>
    </row>
    <row r="287" spans="1:7">
      <c r="A287" s="108"/>
      <c r="B287" s="3" t="s">
        <v>297</v>
      </c>
      <c r="C287" s="19" t="s">
        <v>297</v>
      </c>
      <c r="E287" s="19" t="s">
        <v>630</v>
      </c>
    </row>
    <row r="288" spans="1:7" ht="15.75">
      <c r="A288" s="108"/>
      <c r="B288" s="3" t="s">
        <v>298</v>
      </c>
      <c r="C288" s="19" t="s">
        <v>299</v>
      </c>
      <c r="D288" t="s">
        <v>747</v>
      </c>
      <c r="E288" s="19" t="s">
        <v>631</v>
      </c>
      <c r="F288" s="3">
        <v>190</v>
      </c>
      <c r="G288" s="8">
        <f>F288/SUM($F$288:$F$291)</f>
        <v>0.12881355932203389</v>
      </c>
    </row>
    <row r="289" spans="1:8">
      <c r="A289" s="108"/>
      <c r="B289" s="3" t="s">
        <v>299</v>
      </c>
      <c r="C289" s="29" t="s">
        <v>625</v>
      </c>
      <c r="E289" s="19" t="s">
        <v>632</v>
      </c>
    </row>
    <row r="290" spans="1:8">
      <c r="A290" s="108"/>
      <c r="B290" s="3" t="s">
        <v>300</v>
      </c>
      <c r="C290" s="21" t="s">
        <v>626</v>
      </c>
      <c r="D290" s="3" t="s">
        <v>748</v>
      </c>
      <c r="E290" s="19" t="s">
        <v>633</v>
      </c>
      <c r="F290" s="3">
        <v>95</v>
      </c>
      <c r="G290" s="8">
        <f t="shared" ref="G290:G291" si="11">F290/SUM($F$288:$F$291)</f>
        <v>6.4406779661016947E-2</v>
      </c>
    </row>
    <row r="291" spans="1:8" ht="75">
      <c r="A291" s="108"/>
      <c r="B291" s="3" t="s">
        <v>301</v>
      </c>
      <c r="C291" s="21" t="s">
        <v>627</v>
      </c>
      <c r="D291" s="25" t="s">
        <v>749</v>
      </c>
      <c r="E291" s="19" t="s">
        <v>634</v>
      </c>
      <c r="F291" s="3">
        <f>450+204+271+200+65</f>
        <v>1190</v>
      </c>
      <c r="G291" s="8">
        <f t="shared" si="11"/>
        <v>0.8067796610169492</v>
      </c>
    </row>
    <row r="292" spans="1:8">
      <c r="A292" s="108"/>
      <c r="B292" s="3" t="s">
        <v>302</v>
      </c>
      <c r="C292" s="21" t="s">
        <v>628</v>
      </c>
      <c r="E292" s="19" t="s">
        <v>635</v>
      </c>
    </row>
    <row r="293" spans="1:8">
      <c r="A293" s="108"/>
      <c r="C293" s="12" t="s">
        <v>302</v>
      </c>
      <c r="E293" s="19"/>
      <c r="G293" s="8">
        <f>G289*1.3/2.3</f>
        <v>0</v>
      </c>
    </row>
    <row r="294" spans="1:8">
      <c r="A294" s="108"/>
      <c r="C294" s="12" t="s">
        <v>301</v>
      </c>
      <c r="E294" s="19"/>
      <c r="G294" s="8">
        <f>G289*1/2.3</f>
        <v>0</v>
      </c>
    </row>
    <row r="295" spans="1:8">
      <c r="A295" s="108"/>
      <c r="C295" s="12" t="s">
        <v>300</v>
      </c>
      <c r="E295" s="19"/>
      <c r="G295" s="8">
        <f>G290</f>
        <v>6.4406779661016947E-2</v>
      </c>
    </row>
    <row r="296" spans="1:8">
      <c r="A296" s="108"/>
      <c r="C296" s="12" t="s">
        <v>296</v>
      </c>
      <c r="E296" s="19"/>
      <c r="G296" s="8">
        <f>G291</f>
        <v>0.8067796610169492</v>
      </c>
    </row>
    <row r="297" spans="1:8">
      <c r="A297" s="108" t="s">
        <v>636</v>
      </c>
      <c r="B297" s="3" t="s">
        <v>303</v>
      </c>
      <c r="C297" s="21" t="s">
        <v>305</v>
      </c>
      <c r="D297" s="20"/>
      <c r="E297" s="21" t="s">
        <v>637</v>
      </c>
      <c r="G297" s="8">
        <f>1/7</f>
        <v>0.14285714285714285</v>
      </c>
      <c r="H297" s="73" t="s">
        <v>950</v>
      </c>
    </row>
    <row r="298" spans="1:8">
      <c r="A298" s="108"/>
      <c r="B298" s="3" t="s">
        <v>304</v>
      </c>
      <c r="C298" s="21" t="s">
        <v>307</v>
      </c>
      <c r="D298" s="20"/>
      <c r="E298" s="21" t="s">
        <v>638</v>
      </c>
      <c r="G298" s="8">
        <f t="shared" ref="G298:G303" si="12">1/7</f>
        <v>0.14285714285714285</v>
      </c>
      <c r="H298" s="73" t="s">
        <v>950</v>
      </c>
    </row>
    <row r="299" spans="1:8">
      <c r="A299" s="108"/>
      <c r="B299" s="3" t="s">
        <v>305</v>
      </c>
      <c r="C299" s="21" t="s">
        <v>309</v>
      </c>
      <c r="D299" s="20"/>
      <c r="E299" s="21" t="s">
        <v>639</v>
      </c>
      <c r="G299" s="8">
        <f t="shared" si="12"/>
        <v>0.14285714285714285</v>
      </c>
      <c r="H299" s="73" t="s">
        <v>950</v>
      </c>
    </row>
    <row r="300" spans="1:8">
      <c r="A300" s="108"/>
      <c r="B300" s="3" t="s">
        <v>306</v>
      </c>
      <c r="C300" s="21" t="s">
        <v>303</v>
      </c>
      <c r="D300" s="20"/>
      <c r="E300" s="21" t="s">
        <v>640</v>
      </c>
      <c r="G300" s="8">
        <f t="shared" si="12"/>
        <v>0.14285714285714285</v>
      </c>
      <c r="H300" s="73" t="s">
        <v>950</v>
      </c>
    </row>
    <row r="301" spans="1:8">
      <c r="A301" s="108"/>
      <c r="B301" s="3" t="s">
        <v>307</v>
      </c>
      <c r="C301" s="21" t="s">
        <v>308</v>
      </c>
      <c r="D301" s="20"/>
      <c r="E301" s="21" t="s">
        <v>641</v>
      </c>
      <c r="G301" s="8">
        <f t="shared" si="12"/>
        <v>0.14285714285714285</v>
      </c>
      <c r="H301" s="73" t="s">
        <v>950</v>
      </c>
    </row>
    <row r="302" spans="1:8">
      <c r="A302" s="108"/>
      <c r="B302" s="3" t="s">
        <v>308</v>
      </c>
      <c r="C302" s="21" t="s">
        <v>304</v>
      </c>
      <c r="D302" s="20"/>
      <c r="E302" s="21" t="s">
        <v>642</v>
      </c>
      <c r="G302" s="8">
        <f t="shared" si="12"/>
        <v>0.14285714285714285</v>
      </c>
      <c r="H302" s="73" t="s">
        <v>950</v>
      </c>
    </row>
    <row r="303" spans="1:8">
      <c r="A303" s="108"/>
      <c r="B303" s="3" t="s">
        <v>309</v>
      </c>
      <c r="C303" s="21" t="s">
        <v>306</v>
      </c>
      <c r="D303" s="20"/>
      <c r="E303" s="21" t="s">
        <v>643</v>
      </c>
      <c r="G303" s="8">
        <f t="shared" si="12"/>
        <v>0.14285714285714285</v>
      </c>
      <c r="H303" s="73" t="s">
        <v>950</v>
      </c>
    </row>
    <row r="304" spans="1:8">
      <c r="A304" s="26" t="s">
        <v>28</v>
      </c>
      <c r="B304" s="3" t="s">
        <v>310</v>
      </c>
      <c r="C304" s="33" t="s">
        <v>310</v>
      </c>
      <c r="D304" s="34" t="s">
        <v>746</v>
      </c>
      <c r="E304" s="33" t="s">
        <v>644</v>
      </c>
      <c r="F304" s="3">
        <v>120</v>
      </c>
      <c r="G304" s="8">
        <v>1</v>
      </c>
    </row>
    <row r="305" spans="1:8">
      <c r="A305" s="24" t="s">
        <v>29</v>
      </c>
      <c r="B305" s="3" t="s">
        <v>311</v>
      </c>
      <c r="C305" s="19" t="s">
        <v>311</v>
      </c>
      <c r="D305" s="16"/>
      <c r="E305" s="16" t="s">
        <v>645</v>
      </c>
      <c r="G305" s="8">
        <f>1</f>
        <v>1</v>
      </c>
      <c r="H305" s="73" t="s">
        <v>950</v>
      </c>
    </row>
    <row r="306" spans="1:8">
      <c r="A306" s="108" t="s">
        <v>30</v>
      </c>
      <c r="B306" s="3" t="s">
        <v>35</v>
      </c>
      <c r="C306" s="19" t="s">
        <v>33</v>
      </c>
      <c r="D306" s="16"/>
      <c r="E306" s="19" t="s">
        <v>646</v>
      </c>
      <c r="G306" s="8">
        <f>1/3</f>
        <v>0.33333333333333331</v>
      </c>
      <c r="H306" s="73" t="s">
        <v>950</v>
      </c>
    </row>
    <row r="307" spans="1:8">
      <c r="A307" s="108"/>
      <c r="B307" s="3" t="s">
        <v>34</v>
      </c>
      <c r="C307" s="19" t="s">
        <v>34</v>
      </c>
      <c r="D307" s="16"/>
      <c r="E307" s="19" t="s">
        <v>647</v>
      </c>
      <c r="G307" s="8">
        <f t="shared" ref="G307:G308" si="13">1/3</f>
        <v>0.33333333333333331</v>
      </c>
      <c r="H307" s="73" t="s">
        <v>950</v>
      </c>
    </row>
    <row r="308" spans="1:8">
      <c r="A308" s="108"/>
      <c r="B308" s="3" t="s">
        <v>33</v>
      </c>
      <c r="C308" s="19" t="s">
        <v>35</v>
      </c>
      <c r="D308" s="16"/>
      <c r="E308" s="19" t="s">
        <v>648</v>
      </c>
      <c r="G308" s="8">
        <f t="shared" si="13"/>
        <v>0.33333333333333331</v>
      </c>
      <c r="H308" s="73" t="s">
        <v>950</v>
      </c>
    </row>
    <row r="309" spans="1:8">
      <c r="A309" s="108" t="s">
        <v>31</v>
      </c>
      <c r="B309" s="3" t="s">
        <v>312</v>
      </c>
      <c r="C309" s="19" t="s">
        <v>315</v>
      </c>
      <c r="D309" s="16"/>
      <c r="E309" s="19" t="s">
        <v>649</v>
      </c>
      <c r="G309" s="8">
        <f>1/4</f>
        <v>0.25</v>
      </c>
      <c r="H309" s="73" t="s">
        <v>950</v>
      </c>
    </row>
    <row r="310" spans="1:8">
      <c r="A310" s="108"/>
      <c r="B310" s="3" t="s">
        <v>313</v>
      </c>
      <c r="C310" s="19" t="s">
        <v>314</v>
      </c>
      <c r="D310" s="16"/>
      <c r="E310" s="19" t="s">
        <v>650</v>
      </c>
      <c r="G310" s="8">
        <f t="shared" ref="G310:G312" si="14">1/4</f>
        <v>0.25</v>
      </c>
      <c r="H310" s="73" t="s">
        <v>950</v>
      </c>
    </row>
    <row r="311" spans="1:8" ht="29.25">
      <c r="A311" s="108"/>
      <c r="B311" s="3" t="s">
        <v>314</v>
      </c>
      <c r="C311" s="19" t="s">
        <v>313</v>
      </c>
      <c r="D311" s="16"/>
      <c r="E311" s="16" t="s">
        <v>651</v>
      </c>
      <c r="G311" s="8">
        <f t="shared" si="14"/>
        <v>0.25</v>
      </c>
      <c r="H311" s="73" t="s">
        <v>950</v>
      </c>
    </row>
    <row r="312" spans="1:8">
      <c r="A312" s="108"/>
      <c r="B312" s="3" t="s">
        <v>315</v>
      </c>
      <c r="C312" s="19" t="s">
        <v>312</v>
      </c>
      <c r="D312" s="16"/>
      <c r="E312" s="16" t="s">
        <v>652</v>
      </c>
      <c r="G312" s="8">
        <f t="shared" si="14"/>
        <v>0.25</v>
      </c>
      <c r="H312" s="73" t="s">
        <v>950</v>
      </c>
    </row>
    <row r="313" spans="1:8">
      <c r="A313" s="26" t="s">
        <v>32</v>
      </c>
      <c r="B313" s="3" t="s">
        <v>5018</v>
      </c>
      <c r="C313" s="19" t="s">
        <v>5018</v>
      </c>
      <c r="G313" s="8">
        <f>1</f>
        <v>1</v>
      </c>
      <c r="H313" s="73" t="s">
        <v>950</v>
      </c>
    </row>
    <row r="314" spans="1:8">
      <c r="A314" s="26" t="s">
        <v>654</v>
      </c>
      <c r="B314" s="3" t="s">
        <v>656</v>
      </c>
      <c r="C314" s="19" t="s">
        <v>656</v>
      </c>
      <c r="E314" s="3" t="s">
        <v>654</v>
      </c>
      <c r="G314" s="8">
        <f>1</f>
        <v>1</v>
      </c>
      <c r="H314" s="73" t="s">
        <v>950</v>
      </c>
    </row>
    <row r="315" spans="1:8" ht="15.75">
      <c r="A315" s="26" t="s">
        <v>2150</v>
      </c>
      <c r="C315" s="19" t="s">
        <v>655</v>
      </c>
      <c r="D315" t="s">
        <v>745</v>
      </c>
      <c r="E315" s="3" t="s">
        <v>653</v>
      </c>
      <c r="F315" s="3">
        <f>346+312+205+250</f>
        <v>1113</v>
      </c>
      <c r="G315" s="8">
        <v>1</v>
      </c>
    </row>
    <row r="316" spans="1:8" ht="15.95" customHeight="1">
      <c r="D316" s="38"/>
    </row>
    <row r="317" spans="1:8" ht="15.95" customHeight="1">
      <c r="D317" s="39"/>
    </row>
    <row r="318" spans="1:8" ht="15.95" customHeight="1"/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9" sqref="H19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18.375" style="3" hidden="1" customWidth="1"/>
    <col min="5" max="5" width="29.875" style="3" bestFit="1" customWidth="1"/>
    <col min="6" max="6" width="23" style="3" bestFit="1" customWidth="1"/>
    <col min="7" max="7" width="16.875" style="84" bestFit="1" customWidth="1"/>
    <col min="8" max="8" width="20.625" style="3" bestFit="1" customWidth="1"/>
    <col min="9" max="16384" width="10.875" style="3"/>
  </cols>
  <sheetData>
    <row r="1" spans="1:9">
      <c r="A1" s="22" t="s">
        <v>0</v>
      </c>
      <c r="B1" s="22" t="s">
        <v>657</v>
      </c>
      <c r="C1" s="22" t="s">
        <v>1</v>
      </c>
      <c r="D1" s="22" t="s">
        <v>2</v>
      </c>
      <c r="E1" s="22" t="s">
        <v>658</v>
      </c>
      <c r="F1" s="22" t="s">
        <v>955</v>
      </c>
      <c r="G1" s="81" t="s">
        <v>956</v>
      </c>
      <c r="H1" s="1"/>
    </row>
    <row r="2" spans="1:9" ht="29.25">
      <c r="A2" s="108" t="s">
        <v>3</v>
      </c>
      <c r="B2" s="3" t="s">
        <v>37</v>
      </c>
      <c r="C2" s="29" t="s">
        <v>36</v>
      </c>
      <c r="D2" s="15"/>
      <c r="E2" s="16" t="s">
        <v>621</v>
      </c>
      <c r="G2" s="82"/>
      <c r="H2" s="73"/>
      <c r="I2" s="14"/>
    </row>
    <row r="3" spans="1:9">
      <c r="A3" s="108"/>
      <c r="B3" s="3" t="s">
        <v>38</v>
      </c>
      <c r="C3" s="29" t="s">
        <v>46</v>
      </c>
      <c r="D3" s="15"/>
      <c r="E3" s="16" t="s">
        <v>316</v>
      </c>
      <c r="G3" s="83"/>
      <c r="H3" s="73"/>
      <c r="I3" s="14"/>
    </row>
    <row r="4" spans="1:9">
      <c r="A4" s="108"/>
      <c r="B4" s="3" t="s">
        <v>39</v>
      </c>
      <c r="C4" s="29" t="s">
        <v>40</v>
      </c>
      <c r="D4" s="15"/>
      <c r="E4" s="16" t="s">
        <v>317</v>
      </c>
      <c r="F4" s="3">
        <v>104</v>
      </c>
      <c r="G4" s="82">
        <f>F4/254</f>
        <v>0.40944881889763779</v>
      </c>
      <c r="H4" s="73"/>
      <c r="I4" s="14"/>
    </row>
    <row r="5" spans="1:9">
      <c r="A5" s="108"/>
      <c r="B5" s="3" t="s">
        <v>40</v>
      </c>
      <c r="C5" s="29" t="s">
        <v>44</v>
      </c>
      <c r="D5" s="15"/>
      <c r="E5" s="16" t="s">
        <v>318</v>
      </c>
      <c r="G5" s="82"/>
      <c r="H5" s="73"/>
      <c r="I5" s="14"/>
    </row>
    <row r="6" spans="1:9">
      <c r="A6" s="108"/>
      <c r="B6" s="3" t="s">
        <v>41</v>
      </c>
      <c r="C6" s="29" t="s">
        <v>45</v>
      </c>
      <c r="D6" s="15"/>
      <c r="E6" s="16" t="s">
        <v>319</v>
      </c>
      <c r="G6" s="82"/>
      <c r="H6" s="73"/>
      <c r="I6" s="14"/>
    </row>
    <row r="7" spans="1:9">
      <c r="A7" s="108"/>
      <c r="B7" s="3" t="s">
        <v>42</v>
      </c>
      <c r="C7" s="29" t="s">
        <v>37</v>
      </c>
      <c r="D7" s="15"/>
      <c r="E7" s="16" t="s">
        <v>320</v>
      </c>
      <c r="F7" s="3">
        <f>30+30+30</f>
        <v>90</v>
      </c>
      <c r="G7" s="82">
        <f>F7/254</f>
        <v>0.3543307086614173</v>
      </c>
      <c r="H7" s="73"/>
      <c r="I7" s="14"/>
    </row>
    <row r="8" spans="1:9">
      <c r="A8" s="108"/>
      <c r="B8" s="3" t="s">
        <v>43</v>
      </c>
      <c r="C8" s="29" t="s">
        <v>43</v>
      </c>
      <c r="D8" s="15"/>
      <c r="E8" s="16" t="s">
        <v>321</v>
      </c>
      <c r="G8" s="82"/>
      <c r="H8" s="73"/>
      <c r="I8" s="14"/>
    </row>
    <row r="9" spans="1:9">
      <c r="A9" s="108"/>
      <c r="B9" s="3" t="s">
        <v>44</v>
      </c>
      <c r="C9" s="29" t="s">
        <v>42</v>
      </c>
      <c r="D9" s="15"/>
      <c r="E9" s="16" t="s">
        <v>322</v>
      </c>
      <c r="F9" s="3">
        <v>60</v>
      </c>
      <c r="G9" s="82">
        <f>F9/254</f>
        <v>0.23622047244094488</v>
      </c>
      <c r="H9" s="73"/>
      <c r="I9" s="14"/>
    </row>
    <row r="10" spans="1:9">
      <c r="A10" s="108"/>
      <c r="B10" s="3" t="s">
        <v>45</v>
      </c>
      <c r="C10" s="29" t="s">
        <v>41</v>
      </c>
      <c r="D10" s="15"/>
      <c r="E10" s="16" t="s">
        <v>323</v>
      </c>
      <c r="G10" s="82"/>
      <c r="H10" s="73"/>
      <c r="I10" s="14"/>
    </row>
    <row r="11" spans="1:9">
      <c r="A11" s="108"/>
      <c r="B11" s="3" t="s">
        <v>36</v>
      </c>
      <c r="C11" s="29" t="s">
        <v>39</v>
      </c>
      <c r="D11" s="15"/>
      <c r="E11" s="16" t="s">
        <v>324</v>
      </c>
      <c r="G11" s="82"/>
      <c r="H11" s="73"/>
      <c r="I11" s="14"/>
    </row>
    <row r="12" spans="1:9">
      <c r="A12" s="108"/>
      <c r="B12" s="3" t="s">
        <v>46</v>
      </c>
      <c r="C12" s="29" t="s">
        <v>38</v>
      </c>
      <c r="D12" s="15"/>
      <c r="E12" s="16" t="s">
        <v>325</v>
      </c>
      <c r="G12" s="82"/>
      <c r="H12" s="73"/>
      <c r="I12" s="14"/>
    </row>
    <row r="13" spans="1:9">
      <c r="A13" s="108" t="s">
        <v>4</v>
      </c>
      <c r="B13" s="3" t="s">
        <v>47</v>
      </c>
      <c r="C13" s="29" t="s">
        <v>47</v>
      </c>
      <c r="D13" s="15"/>
      <c r="E13" s="16" t="s">
        <v>326</v>
      </c>
      <c r="G13" s="82"/>
      <c r="H13" s="73"/>
      <c r="I13" s="14"/>
    </row>
    <row r="14" spans="1:9">
      <c r="A14" s="108"/>
      <c r="B14" s="3" t="s">
        <v>48</v>
      </c>
      <c r="C14" s="29" t="s">
        <v>49</v>
      </c>
      <c r="D14" s="15"/>
      <c r="E14" s="16" t="s">
        <v>327</v>
      </c>
      <c r="F14" s="3">
        <v>1</v>
      </c>
      <c r="G14" s="82">
        <f>F14/47.65</f>
        <v>2.0986358866736624E-2</v>
      </c>
      <c r="H14" s="73"/>
      <c r="I14" s="14"/>
    </row>
    <row r="15" spans="1:9">
      <c r="A15" s="108"/>
      <c r="B15" s="3" t="s">
        <v>49</v>
      </c>
      <c r="C15" s="29" t="s">
        <v>50</v>
      </c>
      <c r="D15" s="15"/>
      <c r="E15" s="16" t="s">
        <v>328</v>
      </c>
      <c r="F15" s="3">
        <v>40</v>
      </c>
      <c r="G15" s="82">
        <f>F15/47.65</f>
        <v>0.83945435466946483</v>
      </c>
      <c r="H15" s="73"/>
      <c r="I15" s="14"/>
    </row>
    <row r="16" spans="1:9">
      <c r="A16" s="108"/>
      <c r="B16" s="3" t="s">
        <v>50</v>
      </c>
      <c r="C16" s="29" t="s">
        <v>51</v>
      </c>
      <c r="D16" s="15"/>
      <c r="E16" s="16" t="s">
        <v>329</v>
      </c>
      <c r="F16" s="3">
        <v>1</v>
      </c>
      <c r="G16" s="82">
        <f>F16/47.65</f>
        <v>2.0986358866736624E-2</v>
      </c>
      <c r="H16" s="73"/>
      <c r="I16" s="14"/>
    </row>
    <row r="17" spans="1:9">
      <c r="A17" s="108"/>
      <c r="B17" s="3" t="s">
        <v>51</v>
      </c>
      <c r="C17" s="29" t="s">
        <v>52</v>
      </c>
      <c r="D17" s="15"/>
      <c r="E17" s="16" t="s">
        <v>330</v>
      </c>
      <c r="F17" s="3">
        <v>5.65</v>
      </c>
      <c r="G17" s="82">
        <f>F17/47.65</f>
        <v>0.11857292759706192</v>
      </c>
      <c r="H17" s="73"/>
      <c r="I17" s="14"/>
    </row>
    <row r="18" spans="1:9">
      <c r="A18" s="108"/>
      <c r="B18" s="3" t="s">
        <v>52</v>
      </c>
      <c r="C18" s="29" t="s">
        <v>48</v>
      </c>
      <c r="D18" s="15"/>
      <c r="E18" s="16" t="s">
        <v>331</v>
      </c>
      <c r="G18" s="82"/>
      <c r="H18" s="73"/>
      <c r="I18" s="14"/>
    </row>
    <row r="19" spans="1:9">
      <c r="A19" s="108" t="s">
        <v>5</v>
      </c>
      <c r="B19" s="3" t="s">
        <v>53</v>
      </c>
      <c r="C19" s="29" t="s">
        <v>54</v>
      </c>
      <c r="D19" s="15"/>
      <c r="E19" s="16" t="s">
        <v>332</v>
      </c>
      <c r="F19" s="3">
        <v>70</v>
      </c>
      <c r="G19" s="82">
        <f>F19/257</f>
        <v>0.2723735408560311</v>
      </c>
      <c r="H19" s="73"/>
      <c r="I19" s="14"/>
    </row>
    <row r="20" spans="1:9">
      <c r="A20" s="108"/>
      <c r="B20" s="3" t="s">
        <v>54</v>
      </c>
      <c r="C20" s="29" t="s">
        <v>53</v>
      </c>
      <c r="D20" s="15"/>
      <c r="E20" s="16" t="s">
        <v>333</v>
      </c>
      <c r="F20" s="3">
        <v>45</v>
      </c>
      <c r="G20" s="82">
        <f>F20/257</f>
        <v>0.17509727626459143</v>
      </c>
      <c r="H20" s="73"/>
      <c r="I20" s="14"/>
    </row>
    <row r="21" spans="1:9">
      <c r="A21" s="108"/>
      <c r="B21" s="3" t="s">
        <v>55</v>
      </c>
      <c r="C21" s="29" t="s">
        <v>60</v>
      </c>
      <c r="D21" s="15"/>
      <c r="E21" s="16" t="s">
        <v>334</v>
      </c>
      <c r="G21" s="82"/>
      <c r="H21" s="73"/>
      <c r="I21" s="14"/>
    </row>
    <row r="22" spans="1:9">
      <c r="A22" s="108"/>
      <c r="B22" s="3" t="s">
        <v>56</v>
      </c>
      <c r="C22" s="29" t="s">
        <v>58</v>
      </c>
      <c r="D22" s="18"/>
      <c r="E22" s="16" t="s">
        <v>335</v>
      </c>
      <c r="F22" s="3">
        <v>92</v>
      </c>
      <c r="G22" s="82">
        <f>F22/257</f>
        <v>0.35797665369649806</v>
      </c>
      <c r="H22" s="73"/>
      <c r="I22" s="14"/>
    </row>
    <row r="23" spans="1:9">
      <c r="A23" s="108"/>
      <c r="B23" s="3" t="s">
        <v>57</v>
      </c>
      <c r="C23" s="29" t="s">
        <v>57</v>
      </c>
      <c r="D23" s="15"/>
      <c r="E23" s="16" t="s">
        <v>336</v>
      </c>
      <c r="F23" s="3">
        <v>50</v>
      </c>
      <c r="G23" s="82">
        <f>F23/257</f>
        <v>0.19455252918287938</v>
      </c>
      <c r="H23" s="73"/>
      <c r="I23" s="14"/>
    </row>
    <row r="24" spans="1:9">
      <c r="A24" s="108"/>
      <c r="B24" s="3" t="s">
        <v>58</v>
      </c>
      <c r="C24" s="29" t="s">
        <v>59</v>
      </c>
      <c r="D24" s="15"/>
      <c r="E24" s="16" t="s">
        <v>337</v>
      </c>
      <c r="G24" s="82"/>
      <c r="H24" s="73"/>
      <c r="I24" s="14"/>
    </row>
    <row r="25" spans="1:9">
      <c r="A25" s="108"/>
      <c r="B25" s="3" t="s">
        <v>59</v>
      </c>
      <c r="C25" s="29" t="s">
        <v>55</v>
      </c>
      <c r="D25" s="15"/>
      <c r="E25" s="16" t="s">
        <v>338</v>
      </c>
      <c r="G25" s="82"/>
      <c r="H25" s="73"/>
      <c r="I25" s="14"/>
    </row>
    <row r="26" spans="1:9">
      <c r="A26" s="108"/>
      <c r="B26" s="3" t="s">
        <v>60</v>
      </c>
      <c r="C26" s="29" t="s">
        <v>56</v>
      </c>
      <c r="D26" s="15"/>
      <c r="E26" s="16" t="s">
        <v>339</v>
      </c>
      <c r="G26" s="82"/>
      <c r="H26" s="73"/>
      <c r="I26" s="14"/>
    </row>
    <row r="27" spans="1:9">
      <c r="A27" s="108" t="s">
        <v>6</v>
      </c>
      <c r="B27" s="3" t="s">
        <v>61</v>
      </c>
      <c r="C27" s="29" t="s">
        <v>64</v>
      </c>
      <c r="D27" s="15"/>
      <c r="E27" s="16" t="s">
        <v>340</v>
      </c>
      <c r="G27" s="82"/>
      <c r="H27" s="73"/>
      <c r="I27" s="14"/>
    </row>
    <row r="28" spans="1:9">
      <c r="A28" s="108"/>
      <c r="B28" s="3" t="s">
        <v>62</v>
      </c>
      <c r="C28" s="29" t="s">
        <v>61</v>
      </c>
      <c r="D28" s="15"/>
      <c r="E28" s="16" t="s">
        <v>341</v>
      </c>
      <c r="G28" s="82"/>
      <c r="H28" s="73"/>
      <c r="I28" s="14"/>
    </row>
    <row r="29" spans="1:9">
      <c r="A29" s="108"/>
      <c r="B29" s="3" t="s">
        <v>63</v>
      </c>
      <c r="C29" s="29" t="s">
        <v>63</v>
      </c>
      <c r="D29" s="15"/>
      <c r="E29" s="16" t="s">
        <v>342</v>
      </c>
      <c r="F29" s="3">
        <v>35</v>
      </c>
      <c r="G29" s="82">
        <v>1</v>
      </c>
      <c r="H29" s="73"/>
      <c r="I29" s="14"/>
    </row>
    <row r="30" spans="1:9">
      <c r="A30" s="108"/>
      <c r="B30" s="3" t="s">
        <v>64</v>
      </c>
      <c r="C30" s="29" t="s">
        <v>65</v>
      </c>
      <c r="D30" s="15"/>
      <c r="E30" s="16" t="s">
        <v>343</v>
      </c>
      <c r="G30" s="82"/>
      <c r="H30" s="73"/>
      <c r="I30" s="14"/>
    </row>
    <row r="31" spans="1:9">
      <c r="A31" s="108"/>
      <c r="B31" s="3" t="s">
        <v>65</v>
      </c>
      <c r="C31" s="29" t="s">
        <v>62</v>
      </c>
      <c r="D31" s="15"/>
      <c r="E31" s="16" t="s">
        <v>344</v>
      </c>
      <c r="G31" s="82"/>
      <c r="H31" s="73"/>
      <c r="I31" s="14"/>
    </row>
    <row r="32" spans="1:9" ht="31.5">
      <c r="A32" s="108" t="s">
        <v>7</v>
      </c>
      <c r="B32" s="3" t="s">
        <v>66</v>
      </c>
      <c r="C32" s="29" t="s">
        <v>101</v>
      </c>
      <c r="D32" s="72" t="s">
        <v>945</v>
      </c>
      <c r="E32" s="16" t="s">
        <v>345</v>
      </c>
      <c r="F32" s="3">
        <f>50+50</f>
        <v>100</v>
      </c>
      <c r="G32" s="82">
        <f>F32/SUM($F$32:$F$69)</f>
        <v>2.978850163836759E-2</v>
      </c>
      <c r="I32" s="14"/>
    </row>
    <row r="33" spans="1:9">
      <c r="A33" s="108"/>
      <c r="B33" s="3" t="s">
        <v>67</v>
      </c>
      <c r="C33" s="29" t="s">
        <v>102</v>
      </c>
      <c r="D33" s="15"/>
      <c r="E33" s="16" t="s">
        <v>346</v>
      </c>
      <c r="G33" s="82"/>
      <c r="I33" s="14"/>
    </row>
    <row r="34" spans="1:9" ht="78.75">
      <c r="A34" s="108"/>
      <c r="B34" s="3" t="s">
        <v>68</v>
      </c>
      <c r="C34" s="29" t="s">
        <v>103</v>
      </c>
      <c r="D34" s="72" t="s">
        <v>948</v>
      </c>
      <c r="E34" s="16" t="s">
        <v>347</v>
      </c>
      <c r="F34" s="3">
        <f>8+5+50+75+65</f>
        <v>203</v>
      </c>
      <c r="G34" s="82">
        <f>F34/SUM($F$32:$F$69)</f>
        <v>6.047065832588621E-2</v>
      </c>
      <c r="I34" s="14"/>
    </row>
    <row r="35" spans="1:9" ht="43.5">
      <c r="A35" s="108"/>
      <c r="B35" s="3" t="s">
        <v>69</v>
      </c>
      <c r="C35" s="29" t="s">
        <v>100</v>
      </c>
      <c r="D35" s="15" t="s">
        <v>942</v>
      </c>
      <c r="E35" s="16" t="s">
        <v>348</v>
      </c>
      <c r="F35" s="3">
        <f>23+6+75</f>
        <v>104</v>
      </c>
      <c r="G35" s="82">
        <f>F35/SUM($F$32:$F$69)</f>
        <v>3.0980041703902294E-2</v>
      </c>
      <c r="I35" s="14"/>
    </row>
    <row r="36" spans="1:9" ht="43.5">
      <c r="A36" s="108"/>
      <c r="B36" s="3" t="s">
        <v>70</v>
      </c>
      <c r="C36" s="29" t="s">
        <v>97</v>
      </c>
      <c r="D36" s="31" t="s">
        <v>946</v>
      </c>
      <c r="E36" s="16" t="s">
        <v>349</v>
      </c>
      <c r="F36" s="3">
        <f>4+10+130</f>
        <v>144</v>
      </c>
      <c r="G36" s="82">
        <f>F36/SUM($F$32:$F$69)</f>
        <v>4.2895442359249331E-2</v>
      </c>
      <c r="I36" s="14"/>
    </row>
    <row r="37" spans="1:9" ht="15.75">
      <c r="A37" s="108"/>
      <c r="B37" s="3" t="s">
        <v>71</v>
      </c>
      <c r="C37" s="29" t="s">
        <v>98</v>
      </c>
      <c r="D37" t="s">
        <v>939</v>
      </c>
      <c r="E37" s="16" t="s">
        <v>350</v>
      </c>
      <c r="F37" s="3">
        <v>69</v>
      </c>
      <c r="G37" s="82">
        <f>F37/SUM($F$32:$F$69)</f>
        <v>2.0554066130473638E-2</v>
      </c>
      <c r="I37" s="14"/>
    </row>
    <row r="38" spans="1:9">
      <c r="A38" s="108"/>
      <c r="B38" s="3" t="s">
        <v>72</v>
      </c>
      <c r="C38" s="29" t="s">
        <v>95</v>
      </c>
      <c r="D38" s="15"/>
      <c r="E38" s="16" t="s">
        <v>351</v>
      </c>
      <c r="G38" s="82"/>
      <c r="I38" s="14"/>
    </row>
    <row r="39" spans="1:9">
      <c r="A39" s="108"/>
      <c r="B39" s="3" t="s">
        <v>73</v>
      </c>
      <c r="C39" s="29" t="s">
        <v>96</v>
      </c>
      <c r="D39" s="15"/>
      <c r="E39" s="16" t="s">
        <v>352</v>
      </c>
      <c r="G39" s="82"/>
      <c r="I39" s="14"/>
    </row>
    <row r="40" spans="1:9">
      <c r="A40" s="108"/>
      <c r="B40" s="3" t="s">
        <v>74</v>
      </c>
      <c r="C40" s="29" t="s">
        <v>99</v>
      </c>
      <c r="D40" s="15"/>
      <c r="E40" s="16" t="s">
        <v>353</v>
      </c>
      <c r="G40" s="82"/>
      <c r="I40" s="14"/>
    </row>
    <row r="41" spans="1:9">
      <c r="A41" s="108"/>
      <c r="B41" s="3" t="s">
        <v>75</v>
      </c>
      <c r="C41" s="29" t="s">
        <v>93</v>
      </c>
      <c r="D41" s="15"/>
      <c r="E41" s="16" t="s">
        <v>354</v>
      </c>
      <c r="G41" s="82"/>
      <c r="I41" s="14"/>
    </row>
    <row r="42" spans="1:9" ht="47.25">
      <c r="A42" s="108"/>
      <c r="B42" s="3" t="s">
        <v>76</v>
      </c>
      <c r="C42" s="29" t="s">
        <v>94</v>
      </c>
      <c r="D42" s="72" t="s">
        <v>947</v>
      </c>
      <c r="E42" s="16" t="s">
        <v>355</v>
      </c>
      <c r="F42" s="3">
        <f>61+60+122</f>
        <v>243</v>
      </c>
      <c r="G42" s="82">
        <f>F42/SUM($F$32:$F$69)</f>
        <v>7.2386058981233251E-2</v>
      </c>
      <c r="I42" s="14"/>
    </row>
    <row r="43" spans="1:9">
      <c r="A43" s="108"/>
      <c r="B43" s="3" t="s">
        <v>77</v>
      </c>
      <c r="C43" s="29" t="s">
        <v>92</v>
      </c>
      <c r="D43" s="15" t="s">
        <v>356</v>
      </c>
      <c r="E43" s="16" t="s">
        <v>356</v>
      </c>
      <c r="F43" s="3">
        <v>90</v>
      </c>
      <c r="G43" s="82">
        <f>F43/SUM($F$32:$F$69)</f>
        <v>2.6809651474530832E-2</v>
      </c>
      <c r="I43" s="14"/>
    </row>
    <row r="44" spans="1:9">
      <c r="A44" s="108"/>
      <c r="B44" s="3" t="s">
        <v>78</v>
      </c>
      <c r="C44" s="29" t="s">
        <v>91</v>
      </c>
      <c r="D44" s="15"/>
      <c r="E44" s="16" t="s">
        <v>357</v>
      </c>
      <c r="G44" s="82"/>
      <c r="I44" s="14"/>
    </row>
    <row r="45" spans="1:9">
      <c r="A45" s="108"/>
      <c r="B45" s="3" t="s">
        <v>79</v>
      </c>
      <c r="C45" s="29" t="s">
        <v>90</v>
      </c>
      <c r="D45" s="15"/>
      <c r="E45" s="16" t="s">
        <v>358</v>
      </c>
      <c r="I45" s="14"/>
    </row>
    <row r="46" spans="1:9" ht="30">
      <c r="A46" s="108"/>
      <c r="B46" s="3" t="s">
        <v>80</v>
      </c>
      <c r="C46" s="29" t="s">
        <v>89</v>
      </c>
      <c r="D46" s="17" t="s">
        <v>938</v>
      </c>
      <c r="E46" s="16" t="s">
        <v>359</v>
      </c>
      <c r="F46" s="3">
        <v>190</v>
      </c>
      <c r="G46" s="82">
        <f>F46/SUM($F$32:$F$69)</f>
        <v>5.6598153112898418E-2</v>
      </c>
      <c r="I46" s="14"/>
    </row>
    <row r="47" spans="1:9">
      <c r="A47" s="108"/>
      <c r="B47" s="3" t="s">
        <v>81</v>
      </c>
      <c r="C47" s="29" t="s">
        <v>88</v>
      </c>
      <c r="D47" s="15"/>
      <c r="E47" s="16" t="s">
        <v>360</v>
      </c>
      <c r="I47" s="14"/>
    </row>
    <row r="48" spans="1:9">
      <c r="A48" s="108"/>
      <c r="B48" s="3" t="s">
        <v>82</v>
      </c>
      <c r="C48" s="29" t="s">
        <v>87</v>
      </c>
      <c r="D48" s="15"/>
      <c r="E48" s="16" t="s">
        <v>361</v>
      </c>
      <c r="I48" s="14"/>
    </row>
    <row r="49" spans="1:9" ht="15.75">
      <c r="A49" s="108"/>
      <c r="B49" s="3" t="s">
        <v>83</v>
      </c>
      <c r="C49" s="29" t="s">
        <v>86</v>
      </c>
      <c r="D49" t="s">
        <v>935</v>
      </c>
      <c r="E49" s="16" t="s">
        <v>362</v>
      </c>
      <c r="F49" s="3">
        <v>60</v>
      </c>
      <c r="G49" s="82">
        <f>F49/SUM($F$32:$F$69)</f>
        <v>1.7873100983020553E-2</v>
      </c>
      <c r="I49" s="14"/>
    </row>
    <row r="50" spans="1:9">
      <c r="A50" s="108"/>
      <c r="B50" s="3" t="s">
        <v>84</v>
      </c>
      <c r="C50" s="29" t="s">
        <v>85</v>
      </c>
      <c r="D50" s="15"/>
      <c r="E50" s="16" t="s">
        <v>363</v>
      </c>
      <c r="I50" s="14"/>
    </row>
    <row r="51" spans="1:9" ht="15.75">
      <c r="A51" s="108"/>
      <c r="B51" s="3" t="s">
        <v>85</v>
      </c>
      <c r="C51" s="29" t="s">
        <v>84</v>
      </c>
      <c r="D51" s="72" t="s">
        <v>937</v>
      </c>
      <c r="E51" s="16" t="s">
        <v>364</v>
      </c>
      <c r="F51" s="3">
        <f>60</f>
        <v>60</v>
      </c>
      <c r="G51" s="82">
        <f>F51/SUM($F$32:$F$69)</f>
        <v>1.7873100983020553E-2</v>
      </c>
      <c r="I51" s="14"/>
    </row>
    <row r="52" spans="1:9" ht="15.75">
      <c r="A52" s="108"/>
      <c r="B52" s="3" t="s">
        <v>86</v>
      </c>
      <c r="C52" s="29" t="s">
        <v>83</v>
      </c>
      <c r="D52" t="s">
        <v>365</v>
      </c>
      <c r="E52" s="16" t="s">
        <v>365</v>
      </c>
      <c r="F52" s="3">
        <v>107</v>
      </c>
      <c r="G52" s="82">
        <f>F52/SUM($F$32:$F$69)</f>
        <v>3.1873696753053321E-2</v>
      </c>
      <c r="I52" s="14"/>
    </row>
    <row r="53" spans="1:9">
      <c r="A53" s="108"/>
      <c r="B53" s="3" t="s">
        <v>87</v>
      </c>
      <c r="C53" s="29" t="s">
        <v>82</v>
      </c>
      <c r="D53" s="15"/>
      <c r="E53" s="16" t="s">
        <v>366</v>
      </c>
      <c r="I53" s="14"/>
    </row>
    <row r="54" spans="1:9">
      <c r="A54" s="108"/>
      <c r="B54" s="3" t="s">
        <v>88</v>
      </c>
      <c r="C54" s="29" t="s">
        <v>81</v>
      </c>
      <c r="D54" s="15"/>
      <c r="E54" s="16" t="s">
        <v>367</v>
      </c>
      <c r="I54" s="14"/>
    </row>
    <row r="55" spans="1:9" ht="131.25">
      <c r="A55" s="108"/>
      <c r="B55" s="3" t="s">
        <v>89</v>
      </c>
      <c r="C55" s="29" t="s">
        <v>78</v>
      </c>
      <c r="D55" s="71" t="s">
        <v>943</v>
      </c>
      <c r="E55" s="16" t="s">
        <v>368</v>
      </c>
      <c r="F55" s="3">
        <f>50+160+25+8+22+230+50+400</f>
        <v>945</v>
      </c>
      <c r="G55" s="82">
        <f>F55/SUM($F$32:$F$69)</f>
        <v>0.28150134048257375</v>
      </c>
      <c r="I55" s="14"/>
    </row>
    <row r="56" spans="1:9">
      <c r="A56" s="108"/>
      <c r="B56" s="3" t="s">
        <v>90</v>
      </c>
      <c r="C56" s="29" t="s">
        <v>77</v>
      </c>
      <c r="D56" s="31"/>
      <c r="E56" s="16" t="s">
        <v>369</v>
      </c>
      <c r="I56" s="14"/>
    </row>
    <row r="57" spans="1:9" ht="15.75">
      <c r="A57" s="108"/>
      <c r="B57" s="3" t="s">
        <v>91</v>
      </c>
      <c r="C57" s="29" t="s">
        <v>76</v>
      </c>
      <c r="D57" t="s">
        <v>686</v>
      </c>
      <c r="E57" s="16" t="s">
        <v>370</v>
      </c>
      <c r="F57" s="3">
        <v>110</v>
      </c>
      <c r="G57" s="82">
        <f>F57/SUM($F$32:$F$69)</f>
        <v>3.2767351802204352E-2</v>
      </c>
      <c r="I57" s="14"/>
    </row>
    <row r="58" spans="1:9">
      <c r="A58" s="108"/>
      <c r="B58" s="3" t="s">
        <v>92</v>
      </c>
      <c r="C58" s="29" t="s">
        <v>79</v>
      </c>
      <c r="D58" s="15"/>
      <c r="E58" s="16" t="s">
        <v>371</v>
      </c>
      <c r="I58" s="14"/>
    </row>
    <row r="59" spans="1:9" ht="63">
      <c r="A59" s="108"/>
      <c r="B59" s="3" t="s">
        <v>93</v>
      </c>
      <c r="C59" s="29" t="s">
        <v>80</v>
      </c>
      <c r="D59" s="72" t="s">
        <v>940</v>
      </c>
      <c r="E59" s="16" t="s">
        <v>372</v>
      </c>
      <c r="F59" s="3">
        <f>28+13+30+50+80</f>
        <v>201</v>
      </c>
      <c r="G59" s="82">
        <f>F59/SUM($F$32:$F$69)</f>
        <v>5.9874888293118857E-2</v>
      </c>
      <c r="I59" s="14"/>
    </row>
    <row r="60" spans="1:9">
      <c r="A60" s="108"/>
      <c r="B60" s="3" t="s">
        <v>94</v>
      </c>
      <c r="C60" s="29" t="s">
        <v>75</v>
      </c>
      <c r="D60" s="15"/>
      <c r="E60" s="16" t="s">
        <v>373</v>
      </c>
      <c r="I60" s="14"/>
    </row>
    <row r="61" spans="1:9">
      <c r="A61" s="108"/>
      <c r="B61" s="3" t="s">
        <v>95</v>
      </c>
      <c r="C61" s="29" t="s">
        <v>73</v>
      </c>
      <c r="D61" s="15"/>
      <c r="E61" s="16" t="s">
        <v>374</v>
      </c>
      <c r="I61" s="14"/>
    </row>
    <row r="62" spans="1:9">
      <c r="A62" s="108"/>
      <c r="B62" s="3" t="s">
        <v>96</v>
      </c>
      <c r="C62" s="29" t="s">
        <v>74</v>
      </c>
      <c r="D62" s="32"/>
      <c r="E62" s="16" t="s">
        <v>375</v>
      </c>
      <c r="I62" s="14"/>
    </row>
    <row r="63" spans="1:9">
      <c r="A63" s="108"/>
      <c r="B63" s="3" t="s">
        <v>97</v>
      </c>
      <c r="C63" s="29" t="s">
        <v>72</v>
      </c>
      <c r="D63" s="15"/>
      <c r="E63" s="16" t="s">
        <v>376</v>
      </c>
      <c r="I63" s="14"/>
    </row>
    <row r="64" spans="1:9">
      <c r="A64" s="108"/>
      <c r="B64" s="3" t="s">
        <v>98</v>
      </c>
      <c r="C64" s="29" t="s">
        <v>69</v>
      </c>
      <c r="D64" s="15"/>
      <c r="E64" s="16" t="s">
        <v>377</v>
      </c>
      <c r="I64" s="14"/>
    </row>
    <row r="65" spans="1:9">
      <c r="A65" s="108"/>
      <c r="B65" s="3" t="s">
        <v>99</v>
      </c>
      <c r="C65" s="29" t="s">
        <v>70</v>
      </c>
      <c r="D65" s="15" t="s">
        <v>936</v>
      </c>
      <c r="E65" s="16" t="s">
        <v>378</v>
      </c>
      <c r="I65" s="14"/>
    </row>
    <row r="66" spans="1:9">
      <c r="A66" s="108"/>
      <c r="B66" s="3" t="s">
        <v>100</v>
      </c>
      <c r="C66" s="29" t="s">
        <v>68</v>
      </c>
      <c r="D66" s="32" t="s">
        <v>944</v>
      </c>
      <c r="E66" s="16" t="s">
        <v>379</v>
      </c>
      <c r="F66" s="3">
        <v>100</v>
      </c>
      <c r="G66" s="82">
        <f>F66/SUM($F$32:$F$69)</f>
        <v>2.978850163836759E-2</v>
      </c>
      <c r="I66" s="14"/>
    </row>
    <row r="67" spans="1:9" ht="57.75">
      <c r="A67" s="108"/>
      <c r="B67" s="3" t="s">
        <v>101</v>
      </c>
      <c r="C67" s="29" t="s">
        <v>71</v>
      </c>
      <c r="D67" s="15" t="s">
        <v>941</v>
      </c>
      <c r="E67" s="16" t="s">
        <v>380</v>
      </c>
      <c r="F67" s="3">
        <f>130+65+36+400</f>
        <v>631</v>
      </c>
      <c r="G67" s="82">
        <f>F67/SUM($F$32:$F$69)</f>
        <v>0.1879654453380995</v>
      </c>
      <c r="I67" s="14"/>
    </row>
    <row r="68" spans="1:9">
      <c r="A68" s="108"/>
      <c r="B68" s="3" t="s">
        <v>102</v>
      </c>
      <c r="C68" s="29" t="s">
        <v>67</v>
      </c>
      <c r="D68" s="32"/>
      <c r="E68" s="16" t="s">
        <v>381</v>
      </c>
      <c r="I68" s="14"/>
    </row>
    <row r="69" spans="1:9">
      <c r="A69" s="108"/>
      <c r="B69" s="3" t="s">
        <v>103</v>
      </c>
      <c r="C69" s="29" t="s">
        <v>66</v>
      </c>
      <c r="D69" s="15"/>
      <c r="E69" s="16" t="s">
        <v>382</v>
      </c>
      <c r="I69" s="14"/>
    </row>
    <row r="70" spans="1:9">
      <c r="A70" s="24" t="s">
        <v>622</v>
      </c>
      <c r="B70" s="3" t="s">
        <v>383</v>
      </c>
      <c r="C70" s="29" t="s">
        <v>383</v>
      </c>
      <c r="D70" s="15"/>
      <c r="E70" s="16" t="s">
        <v>384</v>
      </c>
      <c r="F70" s="3">
        <v>18</v>
      </c>
      <c r="G70" s="84">
        <v>1</v>
      </c>
      <c r="I70" s="14"/>
    </row>
    <row r="71" spans="1:9">
      <c r="A71" s="108" t="s">
        <v>8</v>
      </c>
      <c r="B71" s="3" t="s">
        <v>104</v>
      </c>
      <c r="C71" s="29" t="s">
        <v>106</v>
      </c>
      <c r="D71" s="15"/>
      <c r="E71" s="16" t="s">
        <v>385</v>
      </c>
      <c r="H71" s="73"/>
      <c r="I71" s="14"/>
    </row>
    <row r="72" spans="1:9">
      <c r="A72" s="108"/>
      <c r="B72" s="3" t="s">
        <v>105</v>
      </c>
      <c r="C72" s="29" t="s">
        <v>105</v>
      </c>
      <c r="D72" s="15"/>
      <c r="E72" s="16" t="s">
        <v>386</v>
      </c>
      <c r="H72" s="73"/>
      <c r="I72" s="14"/>
    </row>
    <row r="73" spans="1:9">
      <c r="A73" s="108"/>
      <c r="B73" s="3" t="s">
        <v>106</v>
      </c>
      <c r="C73" s="29" t="s">
        <v>104</v>
      </c>
      <c r="D73" s="15"/>
      <c r="E73" s="16" t="s">
        <v>387</v>
      </c>
      <c r="F73" s="3">
        <v>8.5</v>
      </c>
      <c r="G73" s="84">
        <v>1</v>
      </c>
      <c r="H73" s="73"/>
      <c r="I73" s="14"/>
    </row>
    <row r="74" spans="1:9">
      <c r="A74" s="108" t="s">
        <v>9</v>
      </c>
      <c r="B74" s="3" t="s">
        <v>107</v>
      </c>
      <c r="C74" s="29" t="s">
        <v>114</v>
      </c>
      <c r="D74" s="15"/>
      <c r="E74" s="16" t="s">
        <v>388</v>
      </c>
      <c r="F74" s="3">
        <v>61</v>
      </c>
      <c r="G74" s="84">
        <f>F74/559</f>
        <v>0.10912343470483005</v>
      </c>
      <c r="I74" s="14"/>
    </row>
    <row r="75" spans="1:9">
      <c r="A75" s="108"/>
      <c r="B75" s="3" t="s">
        <v>108</v>
      </c>
      <c r="C75" s="29" t="s">
        <v>389</v>
      </c>
      <c r="D75" s="15"/>
      <c r="E75" s="16" t="s">
        <v>390</v>
      </c>
      <c r="I75" s="14"/>
    </row>
    <row r="76" spans="1:9">
      <c r="A76" s="108"/>
      <c r="B76" s="3" t="s">
        <v>109</v>
      </c>
      <c r="C76" s="29" t="s">
        <v>391</v>
      </c>
      <c r="D76" s="15"/>
      <c r="E76" s="16" t="s">
        <v>392</v>
      </c>
    </row>
    <row r="77" spans="1:9">
      <c r="A77" s="108"/>
      <c r="B77" s="3" t="s">
        <v>110</v>
      </c>
      <c r="C77" s="29" t="s">
        <v>393</v>
      </c>
      <c r="D77" s="15"/>
      <c r="E77" s="16" t="s">
        <v>394</v>
      </c>
      <c r="G77" s="84">
        <f>F77/559</f>
        <v>0</v>
      </c>
    </row>
    <row r="78" spans="1:9">
      <c r="A78" s="108"/>
      <c r="B78" s="3" t="s">
        <v>111</v>
      </c>
      <c r="C78" s="29" t="s">
        <v>115</v>
      </c>
      <c r="D78" s="15"/>
      <c r="E78" s="16" t="s">
        <v>395</v>
      </c>
      <c r="F78" s="3">
        <v>6</v>
      </c>
      <c r="G78" s="84">
        <f>F78/559</f>
        <v>1.0733452593917709E-2</v>
      </c>
    </row>
    <row r="79" spans="1:9">
      <c r="A79" s="108"/>
      <c r="B79" s="3" t="s">
        <v>112</v>
      </c>
      <c r="C79" s="29" t="s">
        <v>110</v>
      </c>
      <c r="D79" s="15"/>
      <c r="E79" s="16" t="s">
        <v>396</v>
      </c>
      <c r="F79" s="3">
        <v>22</v>
      </c>
      <c r="G79" s="84">
        <f>F79/559</f>
        <v>3.9355992844364938E-2</v>
      </c>
    </row>
    <row r="80" spans="1:9">
      <c r="A80" s="108"/>
      <c r="B80" s="3" t="s">
        <v>113</v>
      </c>
      <c r="C80" s="29" t="s">
        <v>112</v>
      </c>
      <c r="D80" s="15"/>
      <c r="E80" s="16" t="s">
        <v>397</v>
      </c>
    </row>
    <row r="81" spans="1:7">
      <c r="A81" s="108"/>
      <c r="B81" s="3" t="s">
        <v>114</v>
      </c>
      <c r="C81" s="29" t="s">
        <v>111</v>
      </c>
      <c r="D81" s="15"/>
      <c r="E81" s="16" t="s">
        <v>398</v>
      </c>
    </row>
    <row r="82" spans="1:7">
      <c r="A82" s="108"/>
      <c r="B82" s="3" t="s">
        <v>115</v>
      </c>
      <c r="C82" s="29" t="s">
        <v>107</v>
      </c>
      <c r="D82" s="15"/>
      <c r="E82" s="16" t="s">
        <v>399</v>
      </c>
    </row>
    <row r="83" spans="1:7">
      <c r="A83" s="108"/>
      <c r="C83" s="29" t="s">
        <v>400</v>
      </c>
      <c r="D83" s="15"/>
      <c r="E83" s="16" t="s">
        <v>401</v>
      </c>
    </row>
    <row r="84" spans="1:7">
      <c r="A84" s="108"/>
      <c r="C84" s="29" t="s">
        <v>113</v>
      </c>
      <c r="D84" s="15"/>
      <c r="E84" s="16" t="s">
        <v>402</v>
      </c>
    </row>
    <row r="85" spans="1:7">
      <c r="A85" s="108"/>
      <c r="C85" s="29" t="s">
        <v>108</v>
      </c>
      <c r="D85" s="15"/>
      <c r="E85" s="16" t="s">
        <v>403</v>
      </c>
      <c r="F85" s="3">
        <v>280</v>
      </c>
      <c r="G85" s="84">
        <f>F85/559</f>
        <v>0.50089445438282643</v>
      </c>
    </row>
    <row r="86" spans="1:7">
      <c r="A86" s="108"/>
      <c r="C86" s="29" t="s">
        <v>109</v>
      </c>
      <c r="D86" s="15"/>
      <c r="E86" s="16" t="s">
        <v>404</v>
      </c>
    </row>
    <row r="87" spans="1:7">
      <c r="A87" s="108" t="s">
        <v>10</v>
      </c>
      <c r="B87" s="3" t="s">
        <v>116</v>
      </c>
      <c r="C87" s="29" t="s">
        <v>120</v>
      </c>
      <c r="D87" s="15"/>
      <c r="E87" s="16" t="s">
        <v>405</v>
      </c>
      <c r="F87" s="3">
        <v>201</v>
      </c>
      <c r="G87" s="84">
        <f>F87/1040</f>
        <v>0.19326923076923078</v>
      </c>
    </row>
    <row r="88" spans="1:7">
      <c r="A88" s="108"/>
      <c r="B88" s="3" t="s">
        <v>117</v>
      </c>
      <c r="C88" s="29" t="s">
        <v>117</v>
      </c>
      <c r="D88" s="15"/>
      <c r="E88" s="16" t="s">
        <v>406</v>
      </c>
      <c r="F88" s="3">
        <v>32</v>
      </c>
      <c r="G88" s="84">
        <f t="shared" ref="G88:G101" si="0">F88/1040</f>
        <v>3.0769230769230771E-2</v>
      </c>
    </row>
    <row r="89" spans="1:7">
      <c r="A89" s="108"/>
      <c r="B89" s="3" t="s">
        <v>118</v>
      </c>
      <c r="C89" s="29" t="s">
        <v>128</v>
      </c>
      <c r="D89" s="15"/>
      <c r="E89" s="16" t="s">
        <v>407</v>
      </c>
    </row>
    <row r="90" spans="1:7">
      <c r="A90" s="108"/>
      <c r="B90" s="3" t="s">
        <v>119</v>
      </c>
      <c r="C90" s="29" t="s">
        <v>118</v>
      </c>
      <c r="D90" s="15"/>
      <c r="E90" s="16" t="s">
        <v>408</v>
      </c>
      <c r="F90" s="3">
        <v>165</v>
      </c>
      <c r="G90" s="84">
        <f t="shared" si="0"/>
        <v>0.15865384615384615</v>
      </c>
    </row>
    <row r="91" spans="1:7">
      <c r="A91" s="108"/>
      <c r="B91" s="3" t="s">
        <v>120</v>
      </c>
      <c r="C91" s="29" t="s">
        <v>123</v>
      </c>
      <c r="D91" s="15"/>
      <c r="E91" s="16" t="s">
        <v>409</v>
      </c>
      <c r="F91" s="3">
        <v>30</v>
      </c>
      <c r="G91" s="84">
        <f t="shared" si="0"/>
        <v>2.8846153846153848E-2</v>
      </c>
    </row>
    <row r="92" spans="1:7">
      <c r="A92" s="108"/>
      <c r="B92" s="3" t="s">
        <v>121</v>
      </c>
      <c r="C92" s="29" t="s">
        <v>119</v>
      </c>
      <c r="D92" s="15"/>
      <c r="E92" s="16" t="s">
        <v>410</v>
      </c>
    </row>
    <row r="93" spans="1:7">
      <c r="A93" s="108"/>
      <c r="B93" s="3" t="s">
        <v>122</v>
      </c>
      <c r="C93" s="29" t="s">
        <v>129</v>
      </c>
      <c r="D93" s="15"/>
      <c r="E93" s="16" t="s">
        <v>411</v>
      </c>
      <c r="F93" s="3">
        <v>62</v>
      </c>
      <c r="G93" s="84">
        <f t="shared" si="0"/>
        <v>5.9615384615384619E-2</v>
      </c>
    </row>
    <row r="94" spans="1:7">
      <c r="A94" s="108"/>
      <c r="B94" s="3" t="s">
        <v>123</v>
      </c>
      <c r="C94" s="29" t="s">
        <v>124</v>
      </c>
      <c r="D94" s="15"/>
      <c r="E94" s="16" t="s">
        <v>412</v>
      </c>
      <c r="F94" s="3">
        <v>15</v>
      </c>
      <c r="G94" s="84">
        <f t="shared" si="0"/>
        <v>1.4423076923076924E-2</v>
      </c>
    </row>
    <row r="95" spans="1:7">
      <c r="A95" s="108"/>
      <c r="B95" s="3" t="s">
        <v>124</v>
      </c>
      <c r="C95" s="29" t="s">
        <v>126</v>
      </c>
      <c r="D95" s="15"/>
      <c r="E95" s="16" t="s">
        <v>413</v>
      </c>
      <c r="F95" s="3">
        <v>192</v>
      </c>
      <c r="G95" s="84">
        <f t="shared" si="0"/>
        <v>0.18461538461538463</v>
      </c>
    </row>
    <row r="96" spans="1:7">
      <c r="A96" s="108"/>
      <c r="B96" s="3" t="s">
        <v>125</v>
      </c>
      <c r="C96" s="29" t="s">
        <v>127</v>
      </c>
      <c r="D96" s="15"/>
      <c r="E96" s="16" t="s">
        <v>414</v>
      </c>
      <c r="F96" s="3">
        <v>90</v>
      </c>
      <c r="G96" s="84">
        <f t="shared" si="0"/>
        <v>8.6538461538461536E-2</v>
      </c>
    </row>
    <row r="97" spans="1:7">
      <c r="A97" s="108"/>
      <c r="B97" s="3" t="s">
        <v>126</v>
      </c>
      <c r="C97" s="29" t="s">
        <v>121</v>
      </c>
      <c r="D97" s="15"/>
      <c r="E97" s="16" t="s">
        <v>415</v>
      </c>
    </row>
    <row r="98" spans="1:7">
      <c r="A98" s="108"/>
      <c r="B98" s="3" t="s">
        <v>127</v>
      </c>
      <c r="C98" s="29" t="s">
        <v>125</v>
      </c>
      <c r="D98" s="15"/>
      <c r="E98" s="16" t="s">
        <v>416</v>
      </c>
      <c r="F98" s="3">
        <v>95</v>
      </c>
      <c r="G98" s="84">
        <f t="shared" si="0"/>
        <v>9.1346153846153841E-2</v>
      </c>
    </row>
    <row r="99" spans="1:7">
      <c r="A99" s="108"/>
      <c r="B99" s="3" t="s">
        <v>128</v>
      </c>
      <c r="C99" s="29" t="s">
        <v>122</v>
      </c>
      <c r="D99" s="15"/>
      <c r="E99" s="16" t="s">
        <v>417</v>
      </c>
      <c r="F99" s="3">
        <v>150</v>
      </c>
      <c r="G99" s="84">
        <f t="shared" si="0"/>
        <v>0.14423076923076922</v>
      </c>
    </row>
    <row r="100" spans="1:7">
      <c r="A100" s="108"/>
      <c r="B100" s="3" t="s">
        <v>129</v>
      </c>
      <c r="C100" s="29" t="s">
        <v>418</v>
      </c>
      <c r="D100" s="15"/>
      <c r="E100" s="16" t="s">
        <v>419</v>
      </c>
    </row>
    <row r="101" spans="1:7">
      <c r="A101" s="108"/>
      <c r="B101" s="3" t="s">
        <v>130</v>
      </c>
      <c r="C101" s="29" t="s">
        <v>130</v>
      </c>
      <c r="D101" s="15"/>
      <c r="E101" s="16" t="s">
        <v>420</v>
      </c>
      <c r="F101" s="3">
        <v>8</v>
      </c>
      <c r="G101" s="84">
        <f t="shared" si="0"/>
        <v>7.6923076923076927E-3</v>
      </c>
    </row>
    <row r="102" spans="1:7">
      <c r="A102" s="108"/>
      <c r="C102" s="29" t="s">
        <v>116</v>
      </c>
      <c r="D102" s="15"/>
      <c r="E102" s="16" t="s">
        <v>421</v>
      </c>
    </row>
    <row r="103" spans="1:7">
      <c r="A103" s="108"/>
      <c r="C103" s="29" t="s">
        <v>422</v>
      </c>
      <c r="D103" s="15"/>
      <c r="E103" s="16" t="s">
        <v>423</v>
      </c>
    </row>
    <row r="104" spans="1:7">
      <c r="A104" s="108"/>
      <c r="C104" s="29" t="s">
        <v>424</v>
      </c>
      <c r="D104" s="15"/>
      <c r="E104" s="16" t="s">
        <v>425</v>
      </c>
    </row>
    <row r="105" spans="1:7">
      <c r="A105" s="108"/>
      <c r="C105" s="29" t="s">
        <v>426</v>
      </c>
      <c r="D105" s="15"/>
      <c r="E105" s="16" t="s">
        <v>427</v>
      </c>
    </row>
    <row r="106" spans="1:7">
      <c r="A106" s="108" t="s">
        <v>11</v>
      </c>
      <c r="B106" s="3" t="s">
        <v>131</v>
      </c>
      <c r="C106" s="29" t="s">
        <v>132</v>
      </c>
      <c r="D106" s="15"/>
      <c r="E106" s="16" t="s">
        <v>428</v>
      </c>
    </row>
    <row r="107" spans="1:7">
      <c r="A107" s="108"/>
      <c r="B107" s="3" t="s">
        <v>132</v>
      </c>
      <c r="C107" s="29" t="s">
        <v>143</v>
      </c>
      <c r="D107" s="15"/>
      <c r="E107" s="16" t="s">
        <v>429</v>
      </c>
      <c r="F107" s="3">
        <v>41</v>
      </c>
      <c r="G107" s="84">
        <f>F107/521</f>
        <v>7.8694817658349334E-2</v>
      </c>
    </row>
    <row r="108" spans="1:7">
      <c r="A108" s="108"/>
      <c r="B108" s="3" t="s">
        <v>133</v>
      </c>
      <c r="C108" s="29" t="s">
        <v>141</v>
      </c>
      <c r="D108" s="15"/>
      <c r="E108" s="16" t="s">
        <v>430</v>
      </c>
      <c r="F108" s="3">
        <v>65</v>
      </c>
      <c r="G108" s="84">
        <f t="shared" ref="G108:G126" si="1">F108/521</f>
        <v>0.12476007677543186</v>
      </c>
    </row>
    <row r="109" spans="1:7">
      <c r="A109" s="108"/>
      <c r="B109" s="3" t="s">
        <v>134</v>
      </c>
      <c r="C109" s="29" t="s">
        <v>138</v>
      </c>
      <c r="D109" s="15"/>
      <c r="E109" s="16" t="s">
        <v>431</v>
      </c>
    </row>
    <row r="110" spans="1:7">
      <c r="A110" s="108"/>
      <c r="B110" s="3" t="s">
        <v>135</v>
      </c>
      <c r="C110" s="30" t="s">
        <v>145</v>
      </c>
      <c r="D110" s="16"/>
      <c r="E110" s="19" t="s">
        <v>432</v>
      </c>
    </row>
    <row r="111" spans="1:7">
      <c r="A111" s="108"/>
      <c r="B111" s="3" t="s">
        <v>136</v>
      </c>
      <c r="C111" s="30" t="s">
        <v>137</v>
      </c>
      <c r="D111" s="31"/>
      <c r="E111" s="19" t="s">
        <v>433</v>
      </c>
      <c r="F111" s="3">
        <v>50</v>
      </c>
      <c r="G111" s="84">
        <f t="shared" si="1"/>
        <v>9.5969289827255277E-2</v>
      </c>
    </row>
    <row r="112" spans="1:7">
      <c r="A112" s="108"/>
      <c r="B112" s="3" t="s">
        <v>137</v>
      </c>
      <c r="C112" s="29" t="s">
        <v>134</v>
      </c>
      <c r="D112" s="32"/>
      <c r="E112" s="16" t="s">
        <v>434</v>
      </c>
    </row>
    <row r="113" spans="1:7">
      <c r="A113" s="108"/>
      <c r="B113" s="3" t="s">
        <v>138</v>
      </c>
      <c r="C113" s="29" t="s">
        <v>151</v>
      </c>
      <c r="D113" s="15"/>
      <c r="E113" s="16" t="s">
        <v>435</v>
      </c>
      <c r="F113" s="3">
        <v>130</v>
      </c>
      <c r="G113" s="84">
        <f t="shared" si="1"/>
        <v>0.24952015355086371</v>
      </c>
    </row>
    <row r="114" spans="1:7">
      <c r="A114" s="108"/>
      <c r="B114" s="3" t="s">
        <v>139</v>
      </c>
      <c r="C114" s="29" t="s">
        <v>133</v>
      </c>
      <c r="D114" s="15"/>
      <c r="E114" s="16" t="s">
        <v>436</v>
      </c>
      <c r="F114" s="3">
        <v>150</v>
      </c>
      <c r="G114" s="84">
        <f t="shared" si="1"/>
        <v>0.28790786948176583</v>
      </c>
    </row>
    <row r="115" spans="1:7">
      <c r="A115" s="108"/>
      <c r="B115" s="3" t="s">
        <v>140</v>
      </c>
      <c r="C115" s="29" t="s">
        <v>148</v>
      </c>
      <c r="D115" s="15"/>
      <c r="E115" s="16" t="s">
        <v>437</v>
      </c>
    </row>
    <row r="116" spans="1:7">
      <c r="A116" s="108"/>
      <c r="B116" s="3" t="s">
        <v>141</v>
      </c>
      <c r="C116" s="29" t="s">
        <v>135</v>
      </c>
      <c r="D116" s="15"/>
      <c r="E116" s="16" t="s">
        <v>438</v>
      </c>
    </row>
    <row r="117" spans="1:7">
      <c r="A117" s="108"/>
      <c r="B117" s="3" t="s">
        <v>142</v>
      </c>
      <c r="C117" s="29" t="s">
        <v>136</v>
      </c>
      <c r="D117" s="15"/>
      <c r="E117" s="16" t="s">
        <v>439</v>
      </c>
    </row>
    <row r="118" spans="1:7">
      <c r="A118" s="108"/>
      <c r="B118" s="3" t="s">
        <v>143</v>
      </c>
      <c r="C118" s="29" t="s">
        <v>140</v>
      </c>
      <c r="D118" s="15"/>
      <c r="E118" s="16" t="s">
        <v>440</v>
      </c>
    </row>
    <row r="119" spans="1:7">
      <c r="A119" s="108"/>
      <c r="B119" s="3" t="s">
        <v>144</v>
      </c>
      <c r="C119" s="29" t="s">
        <v>139</v>
      </c>
      <c r="D119" s="15"/>
      <c r="E119" s="16" t="s">
        <v>441</v>
      </c>
    </row>
    <row r="120" spans="1:7">
      <c r="A120" s="108"/>
      <c r="B120" s="3" t="s">
        <v>145</v>
      </c>
      <c r="C120" s="29" t="s">
        <v>142</v>
      </c>
      <c r="D120" s="15"/>
      <c r="E120" s="16" t="s">
        <v>442</v>
      </c>
    </row>
    <row r="121" spans="1:7">
      <c r="A121" s="108"/>
      <c r="B121" s="3" t="s">
        <v>146</v>
      </c>
      <c r="C121" s="29" t="s">
        <v>144</v>
      </c>
      <c r="D121" s="15"/>
      <c r="E121" s="16" t="s">
        <v>443</v>
      </c>
      <c r="F121" s="3">
        <v>20</v>
      </c>
      <c r="G121" s="84">
        <f t="shared" si="1"/>
        <v>3.8387715930902108E-2</v>
      </c>
    </row>
    <row r="122" spans="1:7">
      <c r="A122" s="108"/>
      <c r="B122" s="3" t="s">
        <v>147</v>
      </c>
      <c r="C122" s="29" t="s">
        <v>146</v>
      </c>
      <c r="D122" s="15"/>
      <c r="E122" s="16" t="s">
        <v>444</v>
      </c>
    </row>
    <row r="123" spans="1:7">
      <c r="A123" s="108"/>
      <c r="B123" s="3" t="s">
        <v>148</v>
      </c>
      <c r="C123" s="29" t="s">
        <v>147</v>
      </c>
      <c r="D123" s="15"/>
      <c r="E123" s="16" t="s">
        <v>445</v>
      </c>
    </row>
    <row r="124" spans="1:7">
      <c r="A124" s="108"/>
      <c r="B124" s="3" t="s">
        <v>149</v>
      </c>
      <c r="C124" s="29" t="s">
        <v>150</v>
      </c>
      <c r="D124" s="15"/>
      <c r="E124" s="16" t="s">
        <v>446</v>
      </c>
      <c r="F124" s="3">
        <v>40</v>
      </c>
      <c r="G124" s="84">
        <f t="shared" si="1"/>
        <v>7.6775431861804216E-2</v>
      </c>
    </row>
    <row r="125" spans="1:7">
      <c r="A125" s="108"/>
      <c r="B125" s="3" t="s">
        <v>150</v>
      </c>
      <c r="C125" s="29" t="s">
        <v>152</v>
      </c>
      <c r="D125" s="15"/>
      <c r="E125" s="16" t="s">
        <v>447</v>
      </c>
    </row>
    <row r="126" spans="1:7">
      <c r="A126" s="108"/>
      <c r="B126" s="3" t="s">
        <v>151</v>
      </c>
      <c r="C126" s="29" t="s">
        <v>149</v>
      </c>
      <c r="D126" s="15"/>
      <c r="E126" s="16" t="s">
        <v>448</v>
      </c>
      <c r="F126" s="3">
        <v>25</v>
      </c>
      <c r="G126" s="84">
        <f t="shared" si="1"/>
        <v>4.7984644913627639E-2</v>
      </c>
    </row>
    <row r="127" spans="1:7">
      <c r="A127" s="108"/>
      <c r="B127" s="3" t="s">
        <v>152</v>
      </c>
      <c r="C127" s="29" t="s">
        <v>131</v>
      </c>
      <c r="D127" s="15"/>
      <c r="E127" s="16" t="s">
        <v>449</v>
      </c>
    </row>
    <row r="128" spans="1:7">
      <c r="A128" s="108"/>
      <c r="C128" s="29" t="s">
        <v>450</v>
      </c>
      <c r="D128" s="15"/>
      <c r="E128" s="16" t="s">
        <v>451</v>
      </c>
    </row>
    <row r="129" spans="1:8">
      <c r="A129" s="108"/>
      <c r="C129" s="29" t="s">
        <v>452</v>
      </c>
      <c r="D129" s="15"/>
      <c r="E129" s="16" t="s">
        <v>453</v>
      </c>
    </row>
    <row r="130" spans="1:8">
      <c r="A130" s="108"/>
      <c r="C130" s="29" t="s">
        <v>454</v>
      </c>
      <c r="D130" s="15"/>
      <c r="E130" s="16" t="s">
        <v>455</v>
      </c>
    </row>
    <row r="131" spans="1:8">
      <c r="A131" s="108"/>
      <c r="C131" s="29" t="s">
        <v>456</v>
      </c>
      <c r="D131" s="15"/>
      <c r="E131" s="16" t="s">
        <v>457</v>
      </c>
    </row>
    <row r="132" spans="1:8">
      <c r="A132" s="108"/>
      <c r="C132" s="29" t="s">
        <v>458</v>
      </c>
      <c r="D132" s="15"/>
      <c r="E132" s="16" t="s">
        <v>459</v>
      </c>
      <c r="H132" s="73"/>
    </row>
    <row r="133" spans="1:8">
      <c r="A133" s="108" t="s">
        <v>12</v>
      </c>
      <c r="B133" s="3" t="s">
        <v>153</v>
      </c>
      <c r="C133" s="19" t="s">
        <v>460</v>
      </c>
      <c r="D133" s="16"/>
      <c r="E133" s="19" t="s">
        <v>461</v>
      </c>
      <c r="H133" s="73"/>
    </row>
    <row r="134" spans="1:8">
      <c r="A134" s="108"/>
      <c r="B134" s="3" t="s">
        <v>154</v>
      </c>
      <c r="C134" s="29" t="s">
        <v>154</v>
      </c>
      <c r="D134" s="15"/>
      <c r="E134" s="16" t="s">
        <v>462</v>
      </c>
      <c r="F134" s="3">
        <v>3</v>
      </c>
      <c r="G134" s="84">
        <v>1</v>
      </c>
      <c r="H134" s="73"/>
    </row>
    <row r="135" spans="1:8">
      <c r="A135" s="108"/>
      <c r="C135" s="29" t="s">
        <v>153</v>
      </c>
      <c r="D135" s="15"/>
      <c r="E135" s="16"/>
      <c r="H135" s="73"/>
    </row>
    <row r="136" spans="1:8">
      <c r="A136" s="108"/>
      <c r="C136" s="29" t="s">
        <v>463</v>
      </c>
      <c r="D136" s="15"/>
      <c r="E136" s="16" t="s">
        <v>464</v>
      </c>
      <c r="H136" s="73"/>
    </row>
    <row r="137" spans="1:8">
      <c r="A137" s="108"/>
      <c r="C137" s="29" t="s">
        <v>465</v>
      </c>
      <c r="D137" s="15"/>
      <c r="E137" s="16" t="s">
        <v>466</v>
      </c>
      <c r="H137" s="73"/>
    </row>
    <row r="138" spans="1:8">
      <c r="A138" s="108" t="s">
        <v>13</v>
      </c>
      <c r="B138" s="3" t="s">
        <v>155</v>
      </c>
      <c r="C138" s="29" t="s">
        <v>163</v>
      </c>
      <c r="D138" s="15"/>
      <c r="E138" s="16" t="s">
        <v>467</v>
      </c>
      <c r="F138" s="3">
        <v>80</v>
      </c>
      <c r="G138" s="84">
        <f>F138/1786.5</f>
        <v>4.4780296669465439E-2</v>
      </c>
      <c r="H138" s="73"/>
    </row>
    <row r="139" spans="1:8">
      <c r="A139" s="108"/>
      <c r="B139" s="3" t="s">
        <v>156</v>
      </c>
      <c r="C139" s="29" t="s">
        <v>156</v>
      </c>
      <c r="D139" s="15"/>
      <c r="E139" s="16" t="s">
        <v>468</v>
      </c>
      <c r="H139" s="73"/>
    </row>
    <row r="140" spans="1:8">
      <c r="A140" s="108"/>
      <c r="B140" s="3" t="s">
        <v>157</v>
      </c>
      <c r="C140" s="29" t="s">
        <v>167</v>
      </c>
      <c r="D140" s="15"/>
      <c r="E140" s="16" t="s">
        <v>469</v>
      </c>
      <c r="H140" s="73"/>
    </row>
    <row r="141" spans="1:8">
      <c r="A141" s="108"/>
      <c r="B141" s="3" t="s">
        <v>158</v>
      </c>
      <c r="C141" s="29" t="s">
        <v>166</v>
      </c>
      <c r="D141" s="15"/>
      <c r="E141" s="16" t="s">
        <v>470</v>
      </c>
      <c r="F141" s="3">
        <v>1148.5</v>
      </c>
      <c r="G141" s="84">
        <f>F141/1786.5</f>
        <v>0.6428771340610131</v>
      </c>
      <c r="H141" s="73"/>
    </row>
    <row r="142" spans="1:8">
      <c r="A142" s="108"/>
      <c r="B142" s="3" t="s">
        <v>159</v>
      </c>
      <c r="C142" s="29" t="s">
        <v>175</v>
      </c>
      <c r="D142" s="15"/>
      <c r="E142" s="16" t="s">
        <v>471</v>
      </c>
      <c r="F142" s="3">
        <v>25</v>
      </c>
      <c r="G142" s="84">
        <f>F142/1786.5</f>
        <v>1.3993842709207949E-2</v>
      </c>
      <c r="H142" s="73"/>
    </row>
    <row r="143" spans="1:8">
      <c r="A143" s="108"/>
      <c r="B143" s="3" t="s">
        <v>160</v>
      </c>
      <c r="C143" s="29" t="s">
        <v>164</v>
      </c>
      <c r="D143" s="15"/>
      <c r="E143" s="16" t="s">
        <v>472</v>
      </c>
      <c r="F143" s="3">
        <v>65</v>
      </c>
      <c r="G143" s="84">
        <f>F143/1786.5</f>
        <v>3.6383991043940668E-2</v>
      </c>
      <c r="H143" s="73"/>
    </row>
    <row r="144" spans="1:8">
      <c r="A144" s="108"/>
      <c r="B144" s="3" t="s">
        <v>161</v>
      </c>
      <c r="C144" s="29" t="s">
        <v>171</v>
      </c>
      <c r="D144" s="15"/>
      <c r="E144" s="16" t="s">
        <v>473</v>
      </c>
      <c r="H144" s="73"/>
    </row>
    <row r="145" spans="1:8">
      <c r="A145" s="108"/>
      <c r="B145" s="3" t="s">
        <v>162</v>
      </c>
      <c r="C145" s="29" t="s">
        <v>174</v>
      </c>
      <c r="D145" s="32"/>
      <c r="E145" s="16" t="s">
        <v>474</v>
      </c>
      <c r="F145" s="3">
        <v>24</v>
      </c>
      <c r="G145" s="84">
        <f>F145/1786.5</f>
        <v>1.343408900083963E-2</v>
      </c>
      <c r="H145" s="73"/>
    </row>
    <row r="146" spans="1:8">
      <c r="A146" s="108"/>
      <c r="B146" s="3" t="s">
        <v>163</v>
      </c>
      <c r="C146" s="29" t="s">
        <v>173</v>
      </c>
      <c r="D146" s="15"/>
      <c r="E146" s="16" t="s">
        <v>475</v>
      </c>
      <c r="H146" s="73"/>
    </row>
    <row r="147" spans="1:8">
      <c r="A147" s="108"/>
      <c r="B147" s="3" t="s">
        <v>164</v>
      </c>
      <c r="C147" s="29" t="s">
        <v>172</v>
      </c>
      <c r="D147" s="15"/>
      <c r="E147" s="16" t="s">
        <v>476</v>
      </c>
      <c r="H147" s="73"/>
    </row>
    <row r="148" spans="1:8">
      <c r="A148" s="108"/>
      <c r="B148" s="3" t="s">
        <v>165</v>
      </c>
      <c r="C148" s="29" t="s">
        <v>161</v>
      </c>
      <c r="D148" s="32"/>
      <c r="E148" s="16" t="s">
        <v>477</v>
      </c>
      <c r="H148" s="73"/>
    </row>
    <row r="149" spans="1:8">
      <c r="A149" s="108"/>
      <c r="B149" s="3" t="s">
        <v>166</v>
      </c>
      <c r="C149" s="29" t="s">
        <v>162</v>
      </c>
      <c r="D149" s="15"/>
      <c r="E149" s="16" t="s">
        <v>478</v>
      </c>
      <c r="H149" s="73"/>
    </row>
    <row r="150" spans="1:8" ht="29.25">
      <c r="A150" s="108"/>
      <c r="B150" s="3" t="s">
        <v>167</v>
      </c>
      <c r="C150" s="29" t="s">
        <v>158</v>
      </c>
      <c r="D150" s="15"/>
      <c r="E150" s="16" t="s">
        <v>479</v>
      </c>
      <c r="H150" s="73"/>
    </row>
    <row r="151" spans="1:8">
      <c r="A151" s="108"/>
      <c r="B151" s="3" t="s">
        <v>168</v>
      </c>
      <c r="C151" s="29" t="s">
        <v>159</v>
      </c>
      <c r="D151" s="15"/>
      <c r="E151" s="16" t="s">
        <v>480</v>
      </c>
      <c r="H151" s="73"/>
    </row>
    <row r="152" spans="1:8">
      <c r="A152" s="108"/>
      <c r="B152" s="3" t="s">
        <v>169</v>
      </c>
      <c r="C152" s="29" t="s">
        <v>155</v>
      </c>
      <c r="D152" s="32"/>
      <c r="E152" s="16" t="s">
        <v>481</v>
      </c>
      <c r="F152" s="3">
        <v>67</v>
      </c>
      <c r="G152" s="84">
        <f>F152/1786.5</f>
        <v>3.7503498460677305E-2</v>
      </c>
      <c r="H152" s="73"/>
    </row>
    <row r="153" spans="1:8">
      <c r="A153" s="108"/>
      <c r="B153" s="3" t="s">
        <v>170</v>
      </c>
      <c r="C153" s="29" t="s">
        <v>169</v>
      </c>
      <c r="D153" s="15"/>
      <c r="E153" s="16" t="s">
        <v>482</v>
      </c>
      <c r="F153" s="3">
        <v>60</v>
      </c>
      <c r="G153" s="84">
        <f>F153/1786.5</f>
        <v>3.3585222502099076E-2</v>
      </c>
      <c r="H153" s="73"/>
    </row>
    <row r="154" spans="1:8">
      <c r="A154" s="108"/>
      <c r="B154" s="3" t="s">
        <v>171</v>
      </c>
      <c r="C154" s="29" t="s">
        <v>170</v>
      </c>
      <c r="D154" s="15"/>
      <c r="E154" s="16" t="s">
        <v>483</v>
      </c>
      <c r="H154" s="73"/>
    </row>
    <row r="155" spans="1:8">
      <c r="A155" s="108"/>
      <c r="B155" s="3" t="s">
        <v>172</v>
      </c>
      <c r="C155" s="29" t="s">
        <v>160</v>
      </c>
      <c r="D155" s="15"/>
      <c r="E155" s="16" t="s">
        <v>484</v>
      </c>
      <c r="H155" s="73"/>
    </row>
    <row r="156" spans="1:8">
      <c r="A156" s="108"/>
      <c r="B156" s="3" t="s">
        <v>173</v>
      </c>
      <c r="C156" s="29" t="s">
        <v>157</v>
      </c>
      <c r="D156" s="15"/>
      <c r="E156" s="16" t="s">
        <v>485</v>
      </c>
      <c r="H156" s="73"/>
    </row>
    <row r="157" spans="1:8">
      <c r="A157" s="108"/>
      <c r="B157" s="3" t="s">
        <v>174</v>
      </c>
      <c r="C157" s="29" t="s">
        <v>165</v>
      </c>
      <c r="D157" s="15"/>
      <c r="E157" s="16" t="s">
        <v>486</v>
      </c>
      <c r="F157" s="3">
        <v>30</v>
      </c>
      <c r="G157" s="84">
        <f>F157/1786.5</f>
        <v>1.6792611251049538E-2</v>
      </c>
      <c r="H157" s="73"/>
    </row>
    <row r="158" spans="1:8">
      <c r="A158" s="108"/>
      <c r="B158" s="3" t="s">
        <v>175</v>
      </c>
      <c r="C158" s="29" t="s">
        <v>168</v>
      </c>
      <c r="D158" s="15"/>
      <c r="E158" s="16" t="s">
        <v>487</v>
      </c>
      <c r="F158" s="3">
        <v>287</v>
      </c>
      <c r="G158" s="84">
        <f>F158/1786.5</f>
        <v>0.16064931430170726</v>
      </c>
      <c r="H158" s="73"/>
    </row>
    <row r="159" spans="1:8">
      <c r="A159" s="26" t="s">
        <v>624</v>
      </c>
      <c r="C159" s="29" t="s">
        <v>488</v>
      </c>
      <c r="D159" s="15"/>
      <c r="E159" s="16" t="s">
        <v>489</v>
      </c>
      <c r="G159" s="84">
        <v>1</v>
      </c>
      <c r="H159" s="91" t="s">
        <v>950</v>
      </c>
    </row>
    <row r="160" spans="1:8">
      <c r="A160" s="26" t="s">
        <v>14</v>
      </c>
      <c r="B160" s="3" t="s">
        <v>176</v>
      </c>
      <c r="C160" s="29" t="s">
        <v>176</v>
      </c>
      <c r="D160" s="15"/>
      <c r="E160" s="16" t="s">
        <v>490</v>
      </c>
      <c r="F160" s="3">
        <v>28</v>
      </c>
      <c r="G160" s="84">
        <v>1</v>
      </c>
      <c r="H160" s="73"/>
    </row>
    <row r="161" spans="1:8">
      <c r="A161" s="108" t="s">
        <v>623</v>
      </c>
      <c r="B161" s="3" t="s">
        <v>491</v>
      </c>
      <c r="C161" s="29" t="s">
        <v>491</v>
      </c>
      <c r="D161" s="15"/>
      <c r="E161" s="16" t="s">
        <v>492</v>
      </c>
      <c r="H161" s="73"/>
    </row>
    <row r="162" spans="1:8">
      <c r="A162" s="108"/>
      <c r="B162" s="3" t="s">
        <v>493</v>
      </c>
      <c r="C162" s="29" t="s">
        <v>493</v>
      </c>
      <c r="D162" s="15"/>
      <c r="E162" s="16" t="s">
        <v>494</v>
      </c>
      <c r="F162" s="3">
        <v>4</v>
      </c>
      <c r="G162" s="84">
        <v>1</v>
      </c>
      <c r="H162" s="73"/>
    </row>
    <row r="163" spans="1:8">
      <c r="A163" s="26" t="s">
        <v>15</v>
      </c>
      <c r="B163" s="3" t="s">
        <v>177</v>
      </c>
      <c r="C163" s="29" t="s">
        <v>177</v>
      </c>
      <c r="D163" s="15"/>
      <c r="E163" s="16" t="s">
        <v>15</v>
      </c>
      <c r="G163" s="84">
        <v>1</v>
      </c>
      <c r="H163" s="91" t="s">
        <v>950</v>
      </c>
    </row>
    <row r="164" spans="1:8">
      <c r="A164" s="108" t="s">
        <v>16</v>
      </c>
      <c r="B164" s="3" t="s">
        <v>178</v>
      </c>
      <c r="C164" s="29" t="s">
        <v>182</v>
      </c>
      <c r="D164" s="15"/>
      <c r="E164" s="16" t="s">
        <v>495</v>
      </c>
      <c r="H164" s="73"/>
    </row>
    <row r="165" spans="1:8">
      <c r="A165" s="108"/>
      <c r="B165" s="3" t="s">
        <v>179</v>
      </c>
      <c r="C165" s="29" t="s">
        <v>181</v>
      </c>
      <c r="D165" s="15"/>
      <c r="E165" s="16" t="s">
        <v>496</v>
      </c>
      <c r="H165" s="73"/>
    </row>
    <row r="166" spans="1:8">
      <c r="A166" s="108"/>
      <c r="B166" s="3" t="s">
        <v>180</v>
      </c>
      <c r="C166" s="29" t="s">
        <v>180</v>
      </c>
      <c r="D166" s="15"/>
      <c r="E166" s="16" t="s">
        <v>497</v>
      </c>
      <c r="F166" s="3">
        <v>339.75</v>
      </c>
      <c r="G166" s="84">
        <f>F166/354.75</f>
        <v>0.95771670190274838</v>
      </c>
      <c r="H166" s="73"/>
    </row>
    <row r="167" spans="1:8">
      <c r="A167" s="108"/>
      <c r="B167" s="3" t="s">
        <v>181</v>
      </c>
      <c r="C167" s="29" t="s">
        <v>179</v>
      </c>
      <c r="D167" s="15"/>
      <c r="E167" s="16" t="s">
        <v>498</v>
      </c>
      <c r="F167" s="3">
        <v>15</v>
      </c>
      <c r="G167" s="84">
        <f>F167/354.75</f>
        <v>4.2283298097251586E-2</v>
      </c>
      <c r="H167" s="73"/>
    </row>
    <row r="168" spans="1:8">
      <c r="A168" s="108"/>
      <c r="B168" s="3" t="s">
        <v>182</v>
      </c>
      <c r="C168" s="29" t="s">
        <v>184</v>
      </c>
      <c r="D168" s="15"/>
      <c r="E168" s="16" t="s">
        <v>499</v>
      </c>
      <c r="H168" s="73"/>
    </row>
    <row r="169" spans="1:8">
      <c r="A169" s="108"/>
      <c r="B169" s="3" t="s">
        <v>183</v>
      </c>
      <c r="C169" s="29" t="s">
        <v>183</v>
      </c>
      <c r="D169" s="32"/>
      <c r="E169" s="16" t="s">
        <v>500</v>
      </c>
      <c r="H169" s="73"/>
    </row>
    <row r="170" spans="1:8">
      <c r="A170" s="108"/>
      <c r="B170" s="3" t="s">
        <v>184</v>
      </c>
      <c r="C170" s="29" t="s">
        <v>178</v>
      </c>
      <c r="D170" s="15"/>
      <c r="E170" s="16" t="s">
        <v>501</v>
      </c>
      <c r="H170" s="73"/>
    </row>
    <row r="171" spans="1:8">
      <c r="A171" s="108"/>
      <c r="B171" s="3" t="s">
        <v>185</v>
      </c>
      <c r="C171" s="29" t="s">
        <v>185</v>
      </c>
      <c r="D171" s="15"/>
      <c r="E171" s="16" t="s">
        <v>502</v>
      </c>
      <c r="H171" s="73"/>
    </row>
    <row r="172" spans="1:8">
      <c r="A172" s="26" t="s">
        <v>504</v>
      </c>
      <c r="C172" s="29" t="s">
        <v>503</v>
      </c>
      <c r="D172" s="15"/>
      <c r="E172" s="16" t="s">
        <v>504</v>
      </c>
      <c r="G172" s="84">
        <v>1</v>
      </c>
      <c r="H172" s="91" t="s">
        <v>950</v>
      </c>
    </row>
    <row r="173" spans="1:8">
      <c r="A173" s="108" t="s">
        <v>17</v>
      </c>
      <c r="B173" s="3" t="s">
        <v>186</v>
      </c>
      <c r="C173" s="29" t="s">
        <v>193</v>
      </c>
      <c r="D173" s="37"/>
      <c r="E173" s="16" t="s">
        <v>505</v>
      </c>
      <c r="F173" s="3">
        <v>65</v>
      </c>
      <c r="G173" s="84">
        <f>F173/266</f>
        <v>0.24436090225563908</v>
      </c>
    </row>
    <row r="174" spans="1:8">
      <c r="A174" s="108"/>
      <c r="B174" s="3" t="s">
        <v>187</v>
      </c>
      <c r="C174" s="29" t="s">
        <v>195</v>
      </c>
      <c r="D174" s="15"/>
      <c r="E174" s="16" t="s">
        <v>506</v>
      </c>
    </row>
    <row r="175" spans="1:8">
      <c r="A175" s="108"/>
      <c r="B175" s="3" t="s">
        <v>188</v>
      </c>
      <c r="C175" s="29" t="s">
        <v>197</v>
      </c>
      <c r="D175" s="15"/>
      <c r="E175" s="16" t="s">
        <v>507</v>
      </c>
    </row>
    <row r="176" spans="1:8">
      <c r="A176" s="108"/>
      <c r="B176" s="3" t="s">
        <v>189</v>
      </c>
      <c r="C176" s="29" t="s">
        <v>188</v>
      </c>
      <c r="D176" s="15"/>
      <c r="E176" s="16" t="s">
        <v>508</v>
      </c>
      <c r="F176" s="3">
        <v>46</v>
      </c>
      <c r="G176" s="84">
        <f>F176/266</f>
        <v>0.17293233082706766</v>
      </c>
    </row>
    <row r="177" spans="1:8">
      <c r="A177" s="108"/>
      <c r="B177" s="3" t="s">
        <v>190</v>
      </c>
      <c r="C177" s="29" t="s">
        <v>194</v>
      </c>
      <c r="D177" s="15"/>
      <c r="E177" s="16" t="s">
        <v>509</v>
      </c>
    </row>
    <row r="178" spans="1:8">
      <c r="A178" s="108"/>
      <c r="B178" s="3" t="s">
        <v>191</v>
      </c>
      <c r="C178" s="29" t="s">
        <v>196</v>
      </c>
      <c r="D178" s="15"/>
      <c r="E178" s="16" t="s">
        <v>510</v>
      </c>
    </row>
    <row r="179" spans="1:8">
      <c r="A179" s="108"/>
      <c r="B179" s="3" t="s">
        <v>192</v>
      </c>
      <c r="C179" s="29" t="s">
        <v>190</v>
      </c>
      <c r="D179" s="15"/>
      <c r="E179" s="16" t="s">
        <v>511</v>
      </c>
      <c r="F179" s="3">
        <v>30</v>
      </c>
      <c r="G179" s="84">
        <f>F179/266</f>
        <v>0.11278195488721804</v>
      </c>
    </row>
    <row r="180" spans="1:8">
      <c r="A180" s="108"/>
      <c r="B180" s="3" t="s">
        <v>193</v>
      </c>
      <c r="C180" s="29" t="s">
        <v>189</v>
      </c>
      <c r="D180" s="15"/>
      <c r="E180" s="16" t="s">
        <v>512</v>
      </c>
    </row>
    <row r="181" spans="1:8">
      <c r="A181" s="108"/>
      <c r="B181" s="3" t="s">
        <v>194</v>
      </c>
      <c r="C181" s="29" t="s">
        <v>186</v>
      </c>
      <c r="D181" s="15"/>
      <c r="E181" s="16" t="s">
        <v>513</v>
      </c>
    </row>
    <row r="182" spans="1:8">
      <c r="A182" s="108"/>
      <c r="B182" s="3" t="s">
        <v>195</v>
      </c>
      <c r="C182" s="29" t="s">
        <v>187</v>
      </c>
      <c r="D182" s="32"/>
      <c r="E182" s="16" t="s">
        <v>514</v>
      </c>
      <c r="F182" s="3">
        <v>50</v>
      </c>
      <c r="G182" s="84">
        <f>F182/266</f>
        <v>0.18796992481203006</v>
      </c>
    </row>
    <row r="183" spans="1:8">
      <c r="A183" s="108"/>
      <c r="B183" s="3" t="s">
        <v>196</v>
      </c>
      <c r="C183" s="29" t="s">
        <v>191</v>
      </c>
      <c r="D183" s="32"/>
      <c r="E183" s="16" t="s">
        <v>515</v>
      </c>
    </row>
    <row r="184" spans="1:8">
      <c r="A184" s="108"/>
      <c r="B184" s="3" t="s">
        <v>197</v>
      </c>
      <c r="C184" s="29" t="s">
        <v>192</v>
      </c>
      <c r="D184" s="32"/>
      <c r="E184" s="16" t="s">
        <v>516</v>
      </c>
      <c r="F184" s="3">
        <v>75</v>
      </c>
      <c r="G184" s="84">
        <f>F184/266</f>
        <v>0.28195488721804512</v>
      </c>
    </row>
    <row r="185" spans="1:8">
      <c r="A185" s="108" t="s">
        <v>18</v>
      </c>
      <c r="B185" s="3" t="s">
        <v>198</v>
      </c>
      <c r="C185" s="29" t="s">
        <v>206</v>
      </c>
      <c r="D185" s="15"/>
      <c r="E185" s="16" t="s">
        <v>517</v>
      </c>
      <c r="H185" s="73"/>
    </row>
    <row r="186" spans="1:8">
      <c r="A186" s="108"/>
      <c r="B186" s="3" t="s">
        <v>199</v>
      </c>
      <c r="C186" s="29" t="s">
        <v>204</v>
      </c>
      <c r="D186" s="15"/>
      <c r="E186" s="16" t="s">
        <v>518</v>
      </c>
      <c r="F186" s="3">
        <v>40</v>
      </c>
      <c r="G186" s="84">
        <f>F186/555</f>
        <v>7.2072072072072071E-2</v>
      </c>
      <c r="H186" s="73"/>
    </row>
    <row r="187" spans="1:8">
      <c r="A187" s="108"/>
      <c r="B187" s="3" t="s">
        <v>200</v>
      </c>
      <c r="C187" s="29" t="s">
        <v>203</v>
      </c>
      <c r="D187" s="15"/>
      <c r="E187" s="16" t="s">
        <v>519</v>
      </c>
      <c r="H187" s="73"/>
    </row>
    <row r="188" spans="1:8">
      <c r="A188" s="108"/>
      <c r="B188" s="3" t="s">
        <v>201</v>
      </c>
      <c r="C188" s="29" t="s">
        <v>205</v>
      </c>
      <c r="D188" s="15"/>
      <c r="E188" s="16" t="s">
        <v>520</v>
      </c>
      <c r="H188" s="73"/>
    </row>
    <row r="189" spans="1:8">
      <c r="A189" s="108"/>
      <c r="B189" s="3" t="s">
        <v>202</v>
      </c>
      <c r="C189" s="29" t="s">
        <v>200</v>
      </c>
      <c r="D189" s="15"/>
      <c r="E189" s="16" t="s">
        <v>521</v>
      </c>
      <c r="H189" s="73"/>
    </row>
    <row r="190" spans="1:8">
      <c r="A190" s="108"/>
      <c r="B190" s="3" t="s">
        <v>203</v>
      </c>
      <c r="C190" s="29" t="s">
        <v>202</v>
      </c>
      <c r="D190" s="15"/>
      <c r="E190" s="16" t="s">
        <v>522</v>
      </c>
      <c r="F190" s="3">
        <v>380</v>
      </c>
      <c r="G190" s="84">
        <f>F190/555</f>
        <v>0.68468468468468469</v>
      </c>
      <c r="H190" s="73"/>
    </row>
    <row r="191" spans="1:8">
      <c r="A191" s="108"/>
      <c r="B191" s="3" t="s">
        <v>204</v>
      </c>
      <c r="C191" s="29" t="s">
        <v>201</v>
      </c>
      <c r="D191" s="15"/>
      <c r="E191" s="16" t="s">
        <v>523</v>
      </c>
      <c r="F191" s="3">
        <v>55</v>
      </c>
      <c r="G191" s="84">
        <f>F191/555</f>
        <v>9.90990990990991E-2</v>
      </c>
      <c r="H191" s="73"/>
    </row>
    <row r="192" spans="1:8">
      <c r="A192" s="108"/>
      <c r="B192" s="3" t="s">
        <v>205</v>
      </c>
      <c r="C192" s="29" t="s">
        <v>199</v>
      </c>
      <c r="D192" s="15"/>
      <c r="E192" s="16" t="s">
        <v>524</v>
      </c>
      <c r="H192" s="73"/>
    </row>
    <row r="193" spans="1:8">
      <c r="A193" s="108"/>
      <c r="B193" s="3" t="s">
        <v>206</v>
      </c>
      <c r="C193" s="29" t="s">
        <v>198</v>
      </c>
      <c r="D193" s="15"/>
      <c r="E193" s="16" t="s">
        <v>525</v>
      </c>
      <c r="F193" s="3">
        <v>80</v>
      </c>
      <c r="G193" s="84">
        <f>F193/555</f>
        <v>0.14414414414414414</v>
      </c>
      <c r="H193" s="73"/>
    </row>
    <row r="194" spans="1:8">
      <c r="A194" s="108" t="s">
        <v>19</v>
      </c>
      <c r="B194" s="3" t="s">
        <v>207</v>
      </c>
      <c r="C194" s="29" t="s">
        <v>219</v>
      </c>
      <c r="D194" s="15"/>
      <c r="E194" s="16" t="s">
        <v>526</v>
      </c>
      <c r="F194" s="3">
        <v>328.6</v>
      </c>
      <c r="G194" s="84">
        <f>F194/595.6</f>
        <v>0.55171255876427139</v>
      </c>
      <c r="H194" s="73"/>
    </row>
    <row r="195" spans="1:8">
      <c r="A195" s="108"/>
      <c r="B195" s="3" t="s">
        <v>208</v>
      </c>
      <c r="C195" s="29" t="s">
        <v>210</v>
      </c>
      <c r="D195" s="15"/>
      <c r="E195" s="16" t="s">
        <v>527</v>
      </c>
      <c r="F195" s="3">
        <v>128</v>
      </c>
      <c r="G195" s="84">
        <f t="shared" ref="G195:G207" si="2">F195/595.6</f>
        <v>0.21490933512424445</v>
      </c>
      <c r="H195" s="73"/>
    </row>
    <row r="196" spans="1:8">
      <c r="A196" s="108"/>
      <c r="B196" s="3" t="s">
        <v>209</v>
      </c>
      <c r="C196" s="29" t="s">
        <v>221</v>
      </c>
      <c r="D196" s="15"/>
      <c r="E196" s="16" t="s">
        <v>528</v>
      </c>
      <c r="F196" s="3">
        <v>20</v>
      </c>
      <c r="G196" s="84">
        <f t="shared" si="2"/>
        <v>3.3579583613163197E-2</v>
      </c>
      <c r="H196" s="73"/>
    </row>
    <row r="197" spans="1:8">
      <c r="A197" s="108"/>
      <c r="B197" s="3" t="s">
        <v>210</v>
      </c>
      <c r="C197" s="29" t="s">
        <v>207</v>
      </c>
      <c r="D197" s="15"/>
      <c r="E197" s="16" t="s">
        <v>529</v>
      </c>
      <c r="H197" s="73"/>
    </row>
    <row r="198" spans="1:8">
      <c r="A198" s="108"/>
      <c r="B198" s="3" t="s">
        <v>211</v>
      </c>
      <c r="C198" s="29" t="s">
        <v>216</v>
      </c>
      <c r="D198" s="15"/>
      <c r="E198" s="16" t="s">
        <v>530</v>
      </c>
      <c r="F198" s="3">
        <v>66</v>
      </c>
      <c r="G198" s="84">
        <f t="shared" si="2"/>
        <v>0.11081262592343855</v>
      </c>
      <c r="H198" s="73"/>
    </row>
    <row r="199" spans="1:8">
      <c r="A199" s="108"/>
      <c r="B199" s="3" t="s">
        <v>212</v>
      </c>
      <c r="C199" s="29" t="s">
        <v>218</v>
      </c>
      <c r="D199" s="15"/>
      <c r="E199" s="16" t="s">
        <v>531</v>
      </c>
      <c r="F199" s="3">
        <v>22</v>
      </c>
      <c r="G199" s="84">
        <f t="shared" si="2"/>
        <v>3.6937541974479515E-2</v>
      </c>
      <c r="H199" s="73"/>
    </row>
    <row r="200" spans="1:8">
      <c r="A200" s="108"/>
      <c r="B200" s="3" t="s">
        <v>213</v>
      </c>
      <c r="C200" s="29" t="s">
        <v>213</v>
      </c>
      <c r="D200" s="15"/>
      <c r="E200" s="16" t="s">
        <v>532</v>
      </c>
      <c r="H200" s="73"/>
    </row>
    <row r="201" spans="1:8">
      <c r="A201" s="108"/>
      <c r="B201" s="3" t="s">
        <v>214</v>
      </c>
      <c r="C201" s="29" t="s">
        <v>220</v>
      </c>
      <c r="D201" s="15"/>
      <c r="E201" s="16" t="s">
        <v>533</v>
      </c>
      <c r="H201" s="73"/>
    </row>
    <row r="202" spans="1:8">
      <c r="A202" s="108"/>
      <c r="B202" s="3" t="s">
        <v>215</v>
      </c>
      <c r="C202" s="29" t="s">
        <v>208</v>
      </c>
      <c r="D202" s="15"/>
      <c r="E202" s="16" t="s">
        <v>534</v>
      </c>
      <c r="H202" s="73"/>
    </row>
    <row r="203" spans="1:8">
      <c r="A203" s="108"/>
      <c r="B203" s="3" t="s">
        <v>216</v>
      </c>
      <c r="C203" s="29" t="s">
        <v>211</v>
      </c>
      <c r="D203" s="15"/>
      <c r="E203" s="16" t="s">
        <v>535</v>
      </c>
      <c r="H203" s="73"/>
    </row>
    <row r="204" spans="1:8">
      <c r="A204" s="108"/>
      <c r="B204" s="3" t="s">
        <v>217</v>
      </c>
      <c r="C204" s="29" t="s">
        <v>223</v>
      </c>
      <c r="D204" s="15"/>
      <c r="E204" s="16" t="s">
        <v>536</v>
      </c>
      <c r="H204" s="73"/>
    </row>
    <row r="205" spans="1:8">
      <c r="A205" s="108"/>
      <c r="B205" s="3" t="s">
        <v>218</v>
      </c>
      <c r="C205" s="29" t="s">
        <v>222</v>
      </c>
      <c r="D205" s="15"/>
      <c r="E205" s="16" t="s">
        <v>537</v>
      </c>
      <c r="H205" s="73"/>
    </row>
    <row r="206" spans="1:8">
      <c r="A206" s="108"/>
      <c r="B206" s="3" t="s">
        <v>219</v>
      </c>
      <c r="C206" s="29" t="s">
        <v>217</v>
      </c>
      <c r="D206" s="15"/>
      <c r="E206" s="16" t="s">
        <v>538</v>
      </c>
      <c r="H206" s="73"/>
    </row>
    <row r="207" spans="1:8">
      <c r="A207" s="108"/>
      <c r="B207" s="3" t="s">
        <v>220</v>
      </c>
      <c r="C207" s="29" t="s">
        <v>209</v>
      </c>
      <c r="D207" s="15"/>
      <c r="E207" s="16" t="s">
        <v>539</v>
      </c>
      <c r="F207" s="3">
        <v>31</v>
      </c>
      <c r="G207" s="84">
        <f t="shared" si="2"/>
        <v>5.2048354600402955E-2</v>
      </c>
      <c r="H207" s="73"/>
    </row>
    <row r="208" spans="1:8">
      <c r="A208" s="108"/>
      <c r="B208" s="3" t="s">
        <v>221</v>
      </c>
      <c r="C208" s="29" t="s">
        <v>212</v>
      </c>
      <c r="D208" s="15"/>
      <c r="E208" s="16" t="s">
        <v>540</v>
      </c>
      <c r="H208" s="73"/>
    </row>
    <row r="209" spans="1:8">
      <c r="A209" s="108"/>
      <c r="B209" s="3" t="s">
        <v>222</v>
      </c>
      <c r="C209" s="29" t="s">
        <v>214</v>
      </c>
      <c r="D209" s="15"/>
      <c r="E209" s="16" t="s">
        <v>541</v>
      </c>
      <c r="H209" s="73"/>
    </row>
    <row r="210" spans="1:8">
      <c r="A210" s="108"/>
      <c r="B210" s="3" t="s">
        <v>223</v>
      </c>
      <c r="C210" s="29" t="s">
        <v>215</v>
      </c>
      <c r="D210" s="32"/>
      <c r="E210" s="16" t="s">
        <v>542</v>
      </c>
      <c r="H210" s="73"/>
    </row>
    <row r="211" spans="1:8">
      <c r="A211" s="108" t="s">
        <v>20</v>
      </c>
      <c r="B211" s="3" t="s">
        <v>224</v>
      </c>
      <c r="C211" s="29" t="s">
        <v>226</v>
      </c>
      <c r="D211" s="15"/>
      <c r="E211" s="16" t="s">
        <v>543</v>
      </c>
      <c r="F211" s="3">
        <v>2.2999999999999998</v>
      </c>
      <c r="G211" s="84">
        <f>F211/32.3</f>
        <v>7.1207430340557279E-2</v>
      </c>
      <c r="H211" s="73"/>
    </row>
    <row r="212" spans="1:8">
      <c r="A212" s="108"/>
      <c r="B212" s="3" t="s">
        <v>225</v>
      </c>
      <c r="C212" s="29" t="s">
        <v>225</v>
      </c>
      <c r="D212" s="15"/>
      <c r="E212" s="16" t="s">
        <v>544</v>
      </c>
      <c r="H212" s="73"/>
    </row>
    <row r="213" spans="1:8">
      <c r="A213" s="108"/>
      <c r="B213" s="3" t="s">
        <v>226</v>
      </c>
      <c r="C213" s="29" t="s">
        <v>228</v>
      </c>
      <c r="D213" s="15"/>
      <c r="E213" s="16" t="s">
        <v>545</v>
      </c>
      <c r="H213" s="73"/>
    </row>
    <row r="214" spans="1:8">
      <c r="A214" s="108"/>
      <c r="B214" s="3" t="s">
        <v>227</v>
      </c>
      <c r="C214" s="29" t="s">
        <v>224</v>
      </c>
      <c r="D214" s="15"/>
      <c r="E214" s="16" t="s">
        <v>546</v>
      </c>
      <c r="F214" s="3">
        <v>30</v>
      </c>
      <c r="G214" s="84">
        <f>F214/32.3</f>
        <v>0.92879256965944279</v>
      </c>
      <c r="H214" s="73"/>
    </row>
    <row r="215" spans="1:8">
      <c r="A215" s="108"/>
      <c r="B215" s="3" t="s">
        <v>228</v>
      </c>
      <c r="C215" s="29" t="s">
        <v>227</v>
      </c>
      <c r="D215" s="32"/>
      <c r="E215" s="16" t="s">
        <v>547</v>
      </c>
      <c r="H215" s="73"/>
    </row>
    <row r="216" spans="1:8">
      <c r="A216" s="108"/>
      <c r="C216" s="29" t="s">
        <v>548</v>
      </c>
      <c r="D216" s="15"/>
      <c r="E216" s="16" t="s">
        <v>549</v>
      </c>
      <c r="H216" s="73"/>
    </row>
    <row r="217" spans="1:8">
      <c r="A217" s="108"/>
      <c r="C217" s="29" t="s">
        <v>550</v>
      </c>
      <c r="D217" s="15"/>
      <c r="E217" s="16" t="s">
        <v>551</v>
      </c>
      <c r="H217" s="73"/>
    </row>
    <row r="218" spans="1:8">
      <c r="A218" s="108" t="s">
        <v>21</v>
      </c>
      <c r="B218" s="3" t="s">
        <v>229</v>
      </c>
      <c r="C218" s="29" t="s">
        <v>231</v>
      </c>
      <c r="D218" s="15"/>
      <c r="E218" s="16" t="s">
        <v>552</v>
      </c>
      <c r="F218" s="3">
        <v>2</v>
      </c>
      <c r="G218" s="84">
        <f>F218/228</f>
        <v>8.771929824561403E-3</v>
      </c>
    </row>
    <row r="219" spans="1:8">
      <c r="A219" s="108"/>
      <c r="B219" s="3" t="s">
        <v>230</v>
      </c>
      <c r="C219" s="29" t="s">
        <v>236</v>
      </c>
      <c r="D219" s="15"/>
      <c r="E219" s="16" t="s">
        <v>553</v>
      </c>
    </row>
    <row r="220" spans="1:8">
      <c r="A220" s="108"/>
      <c r="B220" s="3" t="s">
        <v>231</v>
      </c>
      <c r="C220" s="29" t="s">
        <v>232</v>
      </c>
      <c r="D220" s="15"/>
      <c r="E220" s="16" t="s">
        <v>554</v>
      </c>
    </row>
    <row r="221" spans="1:8">
      <c r="A221" s="108"/>
      <c r="B221" s="3" t="s">
        <v>232</v>
      </c>
      <c r="C221" s="29" t="s">
        <v>230</v>
      </c>
      <c r="D221" s="15"/>
      <c r="E221" s="16" t="s">
        <v>555</v>
      </c>
    </row>
    <row r="222" spans="1:8">
      <c r="A222" s="108"/>
      <c r="B222" s="3" t="s">
        <v>233</v>
      </c>
      <c r="C222" s="29" t="s">
        <v>234</v>
      </c>
      <c r="D222" s="15"/>
      <c r="E222" s="16" t="s">
        <v>556</v>
      </c>
    </row>
    <row r="223" spans="1:8">
      <c r="A223" s="108"/>
      <c r="B223" s="3" t="s">
        <v>234</v>
      </c>
      <c r="C223" s="29" t="s">
        <v>233</v>
      </c>
      <c r="D223" s="15"/>
      <c r="E223" s="16" t="s">
        <v>557</v>
      </c>
      <c r="F223" s="3">
        <v>9</v>
      </c>
      <c r="G223" s="84">
        <f>F223/228</f>
        <v>3.9473684210526314E-2</v>
      </c>
    </row>
    <row r="224" spans="1:8">
      <c r="A224" s="108"/>
      <c r="B224" s="3" t="s">
        <v>235</v>
      </c>
      <c r="C224" s="29" t="s">
        <v>229</v>
      </c>
      <c r="D224" s="15"/>
      <c r="E224" s="16" t="s">
        <v>558</v>
      </c>
      <c r="F224" s="3">
        <v>75</v>
      </c>
      <c r="G224" s="84">
        <f>F224/228</f>
        <v>0.32894736842105265</v>
      </c>
    </row>
    <row r="225" spans="1:8">
      <c r="A225" s="108"/>
      <c r="B225" s="3" t="s">
        <v>236</v>
      </c>
      <c r="C225" s="29" t="s">
        <v>235</v>
      </c>
      <c r="D225" s="15"/>
      <c r="E225" s="16" t="s">
        <v>559</v>
      </c>
      <c r="F225" s="3">
        <v>142</v>
      </c>
      <c r="G225" s="84">
        <f>F225/228</f>
        <v>0.6228070175438597</v>
      </c>
    </row>
    <row r="226" spans="1:8">
      <c r="A226" s="108" t="s">
        <v>22</v>
      </c>
      <c r="B226" s="3" t="s">
        <v>237</v>
      </c>
      <c r="C226" s="29" t="s">
        <v>237</v>
      </c>
      <c r="D226" s="15"/>
      <c r="E226" s="16" t="s">
        <v>560</v>
      </c>
      <c r="F226" s="3">
        <v>245</v>
      </c>
      <c r="G226" s="84">
        <v>1</v>
      </c>
    </row>
    <row r="227" spans="1:8">
      <c r="A227" s="108"/>
      <c r="B227" s="3" t="s">
        <v>238</v>
      </c>
      <c r="C227" s="29" t="s">
        <v>238</v>
      </c>
      <c r="D227" s="15"/>
      <c r="E227" s="16" t="s">
        <v>561</v>
      </c>
    </row>
    <row r="228" spans="1:8">
      <c r="A228" s="108" t="s">
        <v>23</v>
      </c>
      <c r="B228" s="3" t="s">
        <v>239</v>
      </c>
      <c r="C228" s="29" t="s">
        <v>241</v>
      </c>
      <c r="D228" s="15"/>
      <c r="E228" s="16" t="s">
        <v>562</v>
      </c>
    </row>
    <row r="229" spans="1:8">
      <c r="A229" s="108"/>
      <c r="B229" s="3" t="s">
        <v>240</v>
      </c>
      <c r="C229" s="29" t="s">
        <v>239</v>
      </c>
      <c r="D229" s="15"/>
      <c r="E229" s="16" t="s">
        <v>563</v>
      </c>
    </row>
    <row r="230" spans="1:8">
      <c r="A230" s="108"/>
      <c r="B230" s="3" t="s">
        <v>241</v>
      </c>
      <c r="C230" s="29" t="s">
        <v>242</v>
      </c>
      <c r="D230" s="15"/>
      <c r="E230" s="16" t="s">
        <v>564</v>
      </c>
      <c r="F230" s="3">
        <v>15</v>
      </c>
      <c r="G230" s="84">
        <f>F230/61</f>
        <v>0.24590163934426229</v>
      </c>
    </row>
    <row r="231" spans="1:8">
      <c r="A231" s="108"/>
      <c r="B231" s="3" t="s">
        <v>242</v>
      </c>
      <c r="C231" s="29" t="s">
        <v>240</v>
      </c>
      <c r="D231" s="15"/>
      <c r="E231" s="16" t="s">
        <v>565</v>
      </c>
      <c r="F231" s="3">
        <v>46</v>
      </c>
      <c r="G231" s="84">
        <f>F231/61</f>
        <v>0.75409836065573765</v>
      </c>
    </row>
    <row r="232" spans="1:8">
      <c r="A232" s="108" t="s">
        <v>24</v>
      </c>
      <c r="B232" s="3" t="s">
        <v>243</v>
      </c>
      <c r="C232" s="29" t="s">
        <v>243</v>
      </c>
      <c r="D232" s="15"/>
      <c r="E232" s="16" t="s">
        <v>566</v>
      </c>
      <c r="G232" s="85"/>
      <c r="H232" s="73"/>
    </row>
    <row r="233" spans="1:8">
      <c r="A233" s="108"/>
      <c r="B233" s="3" t="s">
        <v>244</v>
      </c>
      <c r="C233" s="29" t="s">
        <v>245</v>
      </c>
      <c r="D233" s="15"/>
      <c r="E233" s="16" t="s">
        <v>567</v>
      </c>
      <c r="G233" s="85"/>
      <c r="H233" s="73"/>
    </row>
    <row r="234" spans="1:8">
      <c r="A234" s="108"/>
      <c r="B234" s="3" t="s">
        <v>245</v>
      </c>
      <c r="C234" s="29" t="s">
        <v>244</v>
      </c>
      <c r="D234" s="15"/>
      <c r="E234" s="16" t="s">
        <v>568</v>
      </c>
      <c r="G234" s="85"/>
      <c r="H234" s="73"/>
    </row>
    <row r="235" spans="1:8">
      <c r="A235" s="108"/>
      <c r="B235" s="3" t="s">
        <v>246</v>
      </c>
      <c r="C235" s="29" t="s">
        <v>246</v>
      </c>
      <c r="D235" s="15"/>
      <c r="E235" s="16" t="s">
        <v>569</v>
      </c>
      <c r="F235" s="3">
        <v>45</v>
      </c>
      <c r="G235" s="85">
        <v>1</v>
      </c>
      <c r="H235" s="73"/>
    </row>
    <row r="236" spans="1:8">
      <c r="A236" s="108"/>
      <c r="C236" s="29" t="s">
        <v>570</v>
      </c>
      <c r="D236" s="15"/>
      <c r="E236" s="16" t="s">
        <v>571</v>
      </c>
      <c r="G236" s="85"/>
      <c r="H236" s="73"/>
    </row>
    <row r="237" spans="1:8">
      <c r="A237" s="108" t="s">
        <v>25</v>
      </c>
      <c r="B237" s="3" t="s">
        <v>247</v>
      </c>
      <c r="C237" s="29" t="s">
        <v>247</v>
      </c>
      <c r="D237" s="15"/>
      <c r="E237" s="16" t="s">
        <v>572</v>
      </c>
    </row>
    <row r="238" spans="1:8">
      <c r="A238" s="108"/>
      <c r="B238" s="3" t="s">
        <v>248</v>
      </c>
      <c r="C238" s="29" t="s">
        <v>248</v>
      </c>
      <c r="D238" s="15"/>
      <c r="E238" s="16" t="s">
        <v>573</v>
      </c>
      <c r="F238" s="3">
        <v>115</v>
      </c>
      <c r="G238" s="84">
        <f>F238/298</f>
        <v>0.38590604026845637</v>
      </c>
    </row>
    <row r="239" spans="1:8">
      <c r="A239" s="108"/>
      <c r="B239" s="3" t="s">
        <v>249</v>
      </c>
      <c r="C239" s="29" t="s">
        <v>252</v>
      </c>
      <c r="D239" s="15"/>
      <c r="E239" s="16" t="s">
        <v>574</v>
      </c>
      <c r="F239" s="3">
        <v>125</v>
      </c>
      <c r="G239" s="84">
        <f t="shared" ref="G239:G240" si="3">F239/298</f>
        <v>0.41946308724832215</v>
      </c>
    </row>
    <row r="240" spans="1:8">
      <c r="A240" s="108"/>
      <c r="B240" s="3" t="s">
        <v>250</v>
      </c>
      <c r="C240" s="29" t="s">
        <v>254</v>
      </c>
      <c r="D240" s="15"/>
      <c r="E240" s="16" t="s">
        <v>575</v>
      </c>
      <c r="F240" s="3">
        <v>58</v>
      </c>
      <c r="G240" s="84">
        <f t="shared" si="3"/>
        <v>0.19463087248322147</v>
      </c>
    </row>
    <row r="241" spans="1:7">
      <c r="A241" s="108"/>
      <c r="B241" s="3" t="s">
        <v>251</v>
      </c>
      <c r="C241" s="29" t="s">
        <v>251</v>
      </c>
      <c r="D241" s="32"/>
      <c r="E241" s="16" t="s">
        <v>576</v>
      </c>
    </row>
    <row r="242" spans="1:7">
      <c r="A242" s="108"/>
      <c r="B242" s="3" t="s">
        <v>252</v>
      </c>
      <c r="C242" s="29" t="s">
        <v>253</v>
      </c>
      <c r="D242" s="15"/>
      <c r="E242" s="16" t="s">
        <v>577</v>
      </c>
    </row>
    <row r="243" spans="1:7">
      <c r="A243" s="108"/>
      <c r="B243" s="3" t="s">
        <v>253</v>
      </c>
      <c r="C243" s="29" t="s">
        <v>250</v>
      </c>
      <c r="D243" s="15"/>
      <c r="E243" s="16" t="s">
        <v>578</v>
      </c>
    </row>
    <row r="244" spans="1:7">
      <c r="A244" s="108"/>
      <c r="B244" s="3" t="s">
        <v>254</v>
      </c>
      <c r="C244" s="29" t="s">
        <v>249</v>
      </c>
      <c r="D244" s="15"/>
      <c r="E244" s="16" t="s">
        <v>579</v>
      </c>
    </row>
    <row r="245" spans="1:7">
      <c r="A245" s="108" t="s">
        <v>26</v>
      </c>
      <c r="B245" s="3" t="s">
        <v>255</v>
      </c>
      <c r="C245" s="29" t="s">
        <v>294</v>
      </c>
      <c r="D245" s="32"/>
      <c r="E245" s="16" t="s">
        <v>580</v>
      </c>
    </row>
    <row r="246" spans="1:7" ht="29.25">
      <c r="A246" s="108"/>
      <c r="B246" s="3" t="s">
        <v>256</v>
      </c>
      <c r="C246" s="29" t="s">
        <v>268</v>
      </c>
      <c r="D246" s="15"/>
      <c r="E246" s="16" t="s">
        <v>581</v>
      </c>
    </row>
    <row r="247" spans="1:7">
      <c r="A247" s="108"/>
      <c r="B247" s="3" t="s">
        <v>257</v>
      </c>
      <c r="C247" s="29" t="s">
        <v>280</v>
      </c>
      <c r="D247" s="15"/>
      <c r="E247" s="16" t="s">
        <v>582</v>
      </c>
    </row>
    <row r="248" spans="1:7">
      <c r="A248" s="108"/>
      <c r="B248" s="3" t="s">
        <v>258</v>
      </c>
      <c r="C248" s="29" t="s">
        <v>270</v>
      </c>
      <c r="D248" s="15"/>
      <c r="E248" s="16" t="s">
        <v>583</v>
      </c>
    </row>
    <row r="249" spans="1:7">
      <c r="A249" s="108"/>
      <c r="B249" s="3" t="s">
        <v>259</v>
      </c>
      <c r="C249" s="29" t="s">
        <v>285</v>
      </c>
      <c r="D249" s="15"/>
      <c r="E249" s="16" t="s">
        <v>584</v>
      </c>
      <c r="F249" s="3">
        <v>220</v>
      </c>
      <c r="G249" s="84">
        <f>F249/720</f>
        <v>0.30555555555555558</v>
      </c>
    </row>
    <row r="250" spans="1:7">
      <c r="A250" s="108"/>
      <c r="B250" s="3" t="s">
        <v>260</v>
      </c>
      <c r="C250" s="29" t="s">
        <v>264</v>
      </c>
      <c r="D250" s="15"/>
      <c r="E250" s="16" t="s">
        <v>585</v>
      </c>
      <c r="F250" s="3">
        <v>25</v>
      </c>
      <c r="G250" s="84">
        <f>F250/720</f>
        <v>3.4722222222222224E-2</v>
      </c>
    </row>
    <row r="251" spans="1:7">
      <c r="A251" s="108"/>
      <c r="B251" s="3" t="s">
        <v>261</v>
      </c>
      <c r="C251" s="29" t="s">
        <v>269</v>
      </c>
      <c r="D251" s="15"/>
      <c r="E251" s="16" t="s">
        <v>586</v>
      </c>
    </row>
    <row r="252" spans="1:7" ht="29.25">
      <c r="A252" s="108"/>
      <c r="B252" s="3" t="s">
        <v>262</v>
      </c>
      <c r="C252" s="29" t="s">
        <v>277</v>
      </c>
      <c r="D252" s="15"/>
      <c r="E252" s="16" t="s">
        <v>587</v>
      </c>
    </row>
    <row r="253" spans="1:7">
      <c r="A253" s="108"/>
      <c r="B253" s="3" t="s">
        <v>263</v>
      </c>
      <c r="C253" s="29" t="s">
        <v>295</v>
      </c>
      <c r="D253" s="15"/>
      <c r="E253" s="16" t="s">
        <v>588</v>
      </c>
    </row>
    <row r="254" spans="1:7">
      <c r="A254" s="108"/>
      <c r="B254" s="3" t="s">
        <v>264</v>
      </c>
      <c r="C254" s="29" t="s">
        <v>266</v>
      </c>
      <c r="D254" s="15"/>
      <c r="E254" s="16" t="s">
        <v>589</v>
      </c>
    </row>
    <row r="255" spans="1:7">
      <c r="A255" s="108"/>
      <c r="B255" s="3" t="s">
        <v>265</v>
      </c>
      <c r="C255" s="29" t="s">
        <v>263</v>
      </c>
      <c r="D255" s="15"/>
      <c r="E255" s="16" t="s">
        <v>590</v>
      </c>
    </row>
    <row r="256" spans="1:7">
      <c r="A256" s="108"/>
      <c r="B256" s="3" t="s">
        <v>266</v>
      </c>
      <c r="C256" s="29" t="s">
        <v>279</v>
      </c>
      <c r="D256" s="15"/>
      <c r="E256" s="16" t="s">
        <v>591</v>
      </c>
      <c r="F256" s="3">
        <v>25</v>
      </c>
      <c r="G256" s="84">
        <f>F256/720</f>
        <v>3.4722222222222224E-2</v>
      </c>
    </row>
    <row r="257" spans="1:7" ht="29.25">
      <c r="A257" s="108"/>
      <c r="B257" s="3" t="s">
        <v>267</v>
      </c>
      <c r="C257" s="29" t="s">
        <v>272</v>
      </c>
      <c r="D257" s="15"/>
      <c r="E257" s="16" t="s">
        <v>592</v>
      </c>
    </row>
    <row r="258" spans="1:7">
      <c r="A258" s="108"/>
      <c r="B258" s="3" t="s">
        <v>268</v>
      </c>
      <c r="C258" s="29" t="s">
        <v>271</v>
      </c>
      <c r="D258" s="15"/>
      <c r="E258" s="16" t="s">
        <v>593</v>
      </c>
    </row>
    <row r="259" spans="1:7" ht="29.25">
      <c r="A259" s="108"/>
      <c r="B259" s="3" t="s">
        <v>269</v>
      </c>
      <c r="C259" s="29" t="s">
        <v>275</v>
      </c>
      <c r="D259" s="15"/>
      <c r="E259" s="16" t="s">
        <v>594</v>
      </c>
    </row>
    <row r="260" spans="1:7">
      <c r="A260" s="108"/>
      <c r="B260" s="3" t="s">
        <v>270</v>
      </c>
      <c r="C260" s="29" t="s">
        <v>267</v>
      </c>
      <c r="D260" s="15"/>
      <c r="E260" s="16" t="s">
        <v>595</v>
      </c>
      <c r="F260" s="3">
        <v>202</v>
      </c>
      <c r="G260" s="84">
        <f>F260/720</f>
        <v>0.28055555555555556</v>
      </c>
    </row>
    <row r="261" spans="1:7">
      <c r="A261" s="108"/>
      <c r="B261" s="3" t="s">
        <v>271</v>
      </c>
      <c r="C261" s="29" t="s">
        <v>274</v>
      </c>
      <c r="D261" s="15"/>
      <c r="E261" s="16" t="s">
        <v>596</v>
      </c>
      <c r="F261" s="3">
        <v>115</v>
      </c>
      <c r="G261" s="84">
        <f>F261/720</f>
        <v>0.15972222222222221</v>
      </c>
    </row>
    <row r="262" spans="1:7">
      <c r="A262" s="108"/>
      <c r="B262" s="3" t="s">
        <v>272</v>
      </c>
      <c r="C262" s="29" t="s">
        <v>282</v>
      </c>
      <c r="D262" s="15"/>
      <c r="E262" s="16" t="s">
        <v>597</v>
      </c>
    </row>
    <row r="263" spans="1:7">
      <c r="A263" s="108"/>
      <c r="B263" s="3" t="s">
        <v>273</v>
      </c>
      <c r="C263" s="29" t="s">
        <v>287</v>
      </c>
      <c r="D263" s="15"/>
      <c r="E263" s="16" t="s">
        <v>598</v>
      </c>
    </row>
    <row r="264" spans="1:7">
      <c r="A264" s="108"/>
      <c r="B264" s="3" t="s">
        <v>274</v>
      </c>
      <c r="C264" s="29" t="s">
        <v>265</v>
      </c>
      <c r="D264" s="15"/>
      <c r="E264" s="16" t="s">
        <v>599</v>
      </c>
    </row>
    <row r="265" spans="1:7">
      <c r="A265" s="108"/>
      <c r="B265" s="3" t="s">
        <v>275</v>
      </c>
      <c r="C265" s="29" t="s">
        <v>293</v>
      </c>
      <c r="D265" s="15"/>
      <c r="E265" s="16" t="s">
        <v>600</v>
      </c>
    </row>
    <row r="266" spans="1:7">
      <c r="A266" s="108"/>
      <c r="B266" s="3" t="s">
        <v>276</v>
      </c>
      <c r="C266" s="29" t="s">
        <v>292</v>
      </c>
      <c r="D266" s="15"/>
      <c r="E266" s="16" t="s">
        <v>601</v>
      </c>
    </row>
    <row r="267" spans="1:7" ht="29.25">
      <c r="A267" s="108"/>
      <c r="B267" s="3" t="s">
        <v>277</v>
      </c>
      <c r="C267" s="29" t="s">
        <v>291</v>
      </c>
      <c r="D267" s="15"/>
      <c r="E267" s="16" t="s">
        <v>602</v>
      </c>
    </row>
    <row r="268" spans="1:7">
      <c r="A268" s="108"/>
      <c r="B268" s="3" t="s">
        <v>278</v>
      </c>
      <c r="C268" s="29" t="s">
        <v>290</v>
      </c>
      <c r="D268" s="15"/>
      <c r="E268" s="16" t="s">
        <v>603</v>
      </c>
    </row>
    <row r="269" spans="1:7" ht="29.25">
      <c r="A269" s="108"/>
      <c r="B269" s="3" t="s">
        <v>279</v>
      </c>
      <c r="C269" s="29" t="s">
        <v>289</v>
      </c>
      <c r="D269" s="15"/>
      <c r="E269" s="16" t="s">
        <v>604</v>
      </c>
    </row>
    <row r="270" spans="1:7" ht="29.25">
      <c r="A270" s="108"/>
      <c r="B270" s="3" t="s">
        <v>280</v>
      </c>
      <c r="C270" s="29" t="s">
        <v>286</v>
      </c>
      <c r="D270" s="15"/>
      <c r="E270" s="16" t="s">
        <v>605</v>
      </c>
    </row>
    <row r="271" spans="1:7">
      <c r="A271" s="108"/>
      <c r="B271" s="3" t="s">
        <v>281</v>
      </c>
      <c r="C271" s="29" t="s">
        <v>283</v>
      </c>
      <c r="D271" s="15"/>
      <c r="E271" s="16" t="s">
        <v>606</v>
      </c>
    </row>
    <row r="272" spans="1:7">
      <c r="A272" s="108"/>
      <c r="B272" s="3" t="s">
        <v>282</v>
      </c>
      <c r="C272" s="29" t="s">
        <v>276</v>
      </c>
      <c r="D272" s="15"/>
      <c r="E272" s="16" t="s">
        <v>607</v>
      </c>
    </row>
    <row r="273" spans="1:7">
      <c r="A273" s="108"/>
      <c r="B273" s="3" t="s">
        <v>283</v>
      </c>
      <c r="C273" s="29" t="s">
        <v>273</v>
      </c>
      <c r="D273" s="15"/>
      <c r="E273" s="16" t="s">
        <v>608</v>
      </c>
    </row>
    <row r="274" spans="1:7" ht="29.25">
      <c r="A274" s="108"/>
      <c r="B274" s="3" t="s">
        <v>284</v>
      </c>
      <c r="C274" s="29" t="s">
        <v>288</v>
      </c>
      <c r="D274" s="15"/>
      <c r="E274" s="16" t="s">
        <v>609</v>
      </c>
    </row>
    <row r="275" spans="1:7">
      <c r="A275" s="108"/>
      <c r="B275" s="3" t="s">
        <v>285</v>
      </c>
      <c r="C275" s="29" t="s">
        <v>284</v>
      </c>
      <c r="D275" s="15"/>
      <c r="E275" s="16" t="s">
        <v>610</v>
      </c>
    </row>
    <row r="276" spans="1:7">
      <c r="A276" s="108"/>
      <c r="B276" s="3" t="s">
        <v>286</v>
      </c>
      <c r="C276" s="29" t="s">
        <v>281</v>
      </c>
      <c r="D276" s="15"/>
      <c r="E276" s="16" t="s">
        <v>611</v>
      </c>
    </row>
    <row r="277" spans="1:7">
      <c r="A277" s="108"/>
      <c r="B277" s="3" t="s">
        <v>287</v>
      </c>
      <c r="C277" s="29" t="s">
        <v>278</v>
      </c>
      <c r="D277" s="15"/>
      <c r="E277" s="16" t="s">
        <v>612</v>
      </c>
    </row>
    <row r="278" spans="1:7">
      <c r="A278" s="108"/>
      <c r="B278" s="3" t="s">
        <v>288</v>
      </c>
      <c r="C278" s="29" t="s">
        <v>255</v>
      </c>
      <c r="D278" s="15"/>
      <c r="E278" s="16" t="s">
        <v>613</v>
      </c>
      <c r="F278" s="3">
        <v>50</v>
      </c>
      <c r="G278" s="84">
        <f>F278/720</f>
        <v>6.9444444444444448E-2</v>
      </c>
    </row>
    <row r="279" spans="1:7">
      <c r="A279" s="108"/>
      <c r="B279" s="3" t="s">
        <v>289</v>
      </c>
      <c r="C279" s="29" t="s">
        <v>256</v>
      </c>
      <c r="D279" s="15"/>
      <c r="E279" s="16" t="s">
        <v>614</v>
      </c>
      <c r="F279" s="3">
        <v>63</v>
      </c>
      <c r="G279" s="84">
        <f>F279/720</f>
        <v>8.7499999999999994E-2</v>
      </c>
    </row>
    <row r="280" spans="1:7">
      <c r="A280" s="108"/>
      <c r="B280" s="3" t="s">
        <v>290</v>
      </c>
      <c r="C280" s="29" t="s">
        <v>261</v>
      </c>
      <c r="D280" s="15"/>
      <c r="E280" s="16" t="s">
        <v>615</v>
      </c>
    </row>
    <row r="281" spans="1:7">
      <c r="A281" s="108"/>
      <c r="B281" s="3" t="s">
        <v>291</v>
      </c>
      <c r="C281" s="29" t="s">
        <v>259</v>
      </c>
      <c r="D281" s="15"/>
      <c r="E281" s="16" t="s">
        <v>616</v>
      </c>
      <c r="F281" s="3">
        <v>20</v>
      </c>
      <c r="G281" s="84">
        <f>F281/720</f>
        <v>2.7777777777777776E-2</v>
      </c>
    </row>
    <row r="282" spans="1:7">
      <c r="A282" s="108"/>
      <c r="B282" s="3" t="s">
        <v>292</v>
      </c>
      <c r="C282" s="29" t="s">
        <v>260</v>
      </c>
      <c r="D282" s="31"/>
      <c r="E282" s="16" t="s">
        <v>617</v>
      </c>
    </row>
    <row r="283" spans="1:7">
      <c r="A283" s="108"/>
      <c r="B283" s="3" t="s">
        <v>293</v>
      </c>
      <c r="C283" s="29" t="s">
        <v>258</v>
      </c>
      <c r="D283" s="15"/>
      <c r="E283" s="16" t="s">
        <v>618</v>
      </c>
    </row>
    <row r="284" spans="1:7">
      <c r="A284" s="108"/>
      <c r="B284" s="3" t="s">
        <v>294</v>
      </c>
      <c r="C284" s="29" t="s">
        <v>257</v>
      </c>
      <c r="D284" s="15"/>
      <c r="E284" s="16" t="s">
        <v>619</v>
      </c>
    </row>
    <row r="285" spans="1:7">
      <c r="A285" s="108"/>
      <c r="B285" s="3" t="s">
        <v>295</v>
      </c>
      <c r="C285" s="29" t="s">
        <v>262</v>
      </c>
      <c r="D285" s="15"/>
      <c r="E285" s="16" t="s">
        <v>620</v>
      </c>
    </row>
    <row r="286" spans="1:7">
      <c r="A286" s="108" t="s">
        <v>27</v>
      </c>
      <c r="B286" s="3" t="s">
        <v>296</v>
      </c>
      <c r="C286" s="21" t="s">
        <v>298</v>
      </c>
      <c r="E286" s="19" t="s">
        <v>629</v>
      </c>
      <c r="F286" s="3">
        <v>20</v>
      </c>
      <c r="G286" s="84">
        <f>F286/406</f>
        <v>4.9261083743842367E-2</v>
      </c>
    </row>
    <row r="287" spans="1:7">
      <c r="A287" s="108"/>
      <c r="B287" s="3" t="s">
        <v>297</v>
      </c>
      <c r="C287" s="19" t="s">
        <v>297</v>
      </c>
      <c r="E287" s="19" t="s">
        <v>630</v>
      </c>
    </row>
    <row r="288" spans="1:7" ht="15.75">
      <c r="A288" s="108"/>
      <c r="B288" s="3" t="s">
        <v>298</v>
      </c>
      <c r="C288" s="19" t="s">
        <v>299</v>
      </c>
      <c r="D288"/>
      <c r="E288" s="19" t="s">
        <v>631</v>
      </c>
      <c r="F288" s="3">
        <v>50</v>
      </c>
      <c r="G288" s="84">
        <f>F288/406</f>
        <v>0.12315270935960591</v>
      </c>
    </row>
    <row r="289" spans="1:8">
      <c r="A289" s="108"/>
      <c r="B289" s="3" t="s">
        <v>299</v>
      </c>
      <c r="C289" s="29" t="s">
        <v>625</v>
      </c>
      <c r="E289" s="19" t="s">
        <v>632</v>
      </c>
    </row>
    <row r="290" spans="1:8">
      <c r="A290" s="108"/>
      <c r="B290" s="3" t="s">
        <v>300</v>
      </c>
      <c r="C290" s="21" t="s">
        <v>626</v>
      </c>
      <c r="E290" s="19" t="s">
        <v>633</v>
      </c>
      <c r="F290" s="3">
        <v>130</v>
      </c>
      <c r="G290" s="84">
        <f>F290/406</f>
        <v>0.32019704433497537</v>
      </c>
    </row>
    <row r="291" spans="1:8">
      <c r="A291" s="108"/>
      <c r="B291" s="3" t="s">
        <v>301</v>
      </c>
      <c r="C291" s="21" t="s">
        <v>627</v>
      </c>
      <c r="D291" s="25"/>
      <c r="E291" s="19" t="s">
        <v>634</v>
      </c>
      <c r="F291" s="3">
        <v>206</v>
      </c>
      <c r="G291" s="84">
        <f>F291/406</f>
        <v>0.5073891625615764</v>
      </c>
    </row>
    <row r="292" spans="1:8">
      <c r="A292" s="108"/>
      <c r="B292" s="3" t="s">
        <v>302</v>
      </c>
      <c r="C292" s="21" t="s">
        <v>628</v>
      </c>
      <c r="E292" s="19" t="s">
        <v>635</v>
      </c>
      <c r="G292" s="3"/>
    </row>
    <row r="293" spans="1:8">
      <c r="A293" s="108"/>
      <c r="C293" s="12" t="s">
        <v>302</v>
      </c>
      <c r="E293" s="19"/>
      <c r="G293" s="8">
        <f>G289*1.3/2.3</f>
        <v>0</v>
      </c>
    </row>
    <row r="294" spans="1:8">
      <c r="A294" s="108"/>
      <c r="C294" s="12" t="s">
        <v>301</v>
      </c>
      <c r="E294" s="19"/>
      <c r="G294" s="8">
        <f>G289*1/2.3</f>
        <v>0</v>
      </c>
    </row>
    <row r="295" spans="1:8">
      <c r="A295" s="108"/>
      <c r="C295" s="12" t="s">
        <v>300</v>
      </c>
      <c r="E295" s="19"/>
      <c r="G295" s="8">
        <f>G290</f>
        <v>0.32019704433497537</v>
      </c>
    </row>
    <row r="296" spans="1:8">
      <c r="A296" s="108"/>
      <c r="C296" s="12" t="s">
        <v>296</v>
      </c>
      <c r="E296" s="19"/>
      <c r="G296" s="84">
        <f>G291</f>
        <v>0.5073891625615764</v>
      </c>
    </row>
    <row r="297" spans="1:8">
      <c r="A297" s="108" t="s">
        <v>636</v>
      </c>
      <c r="B297" s="3" t="s">
        <v>303</v>
      </c>
      <c r="C297" s="21" t="s">
        <v>305</v>
      </c>
      <c r="D297" s="20"/>
      <c r="E297" s="21" t="s">
        <v>637</v>
      </c>
      <c r="F297" s="3">
        <v>310</v>
      </c>
      <c r="G297" s="84">
        <f>F297/346</f>
        <v>0.89595375722543358</v>
      </c>
      <c r="H297" s="73"/>
    </row>
    <row r="298" spans="1:8">
      <c r="A298" s="108"/>
      <c r="B298" s="3" t="s">
        <v>304</v>
      </c>
      <c r="C298" s="21" t="s">
        <v>307</v>
      </c>
      <c r="D298" s="20"/>
      <c r="E298" s="21" t="s">
        <v>638</v>
      </c>
      <c r="H298" s="73"/>
    </row>
    <row r="299" spans="1:8">
      <c r="A299" s="108"/>
      <c r="B299" s="3" t="s">
        <v>305</v>
      </c>
      <c r="C299" s="21" t="s">
        <v>309</v>
      </c>
      <c r="D299" s="20"/>
      <c r="E299" s="21" t="s">
        <v>639</v>
      </c>
      <c r="F299" s="3">
        <v>36</v>
      </c>
      <c r="G299" s="84">
        <f>F299/346</f>
        <v>0.10404624277456648</v>
      </c>
      <c r="H299" s="73"/>
    </row>
    <row r="300" spans="1:8">
      <c r="A300" s="108"/>
      <c r="B300" s="3" t="s">
        <v>306</v>
      </c>
      <c r="C300" s="21" t="s">
        <v>303</v>
      </c>
      <c r="D300" s="20"/>
      <c r="E300" s="21" t="s">
        <v>640</v>
      </c>
      <c r="H300" s="73"/>
    </row>
    <row r="301" spans="1:8">
      <c r="A301" s="108"/>
      <c r="B301" s="3" t="s">
        <v>307</v>
      </c>
      <c r="C301" s="21" t="s">
        <v>308</v>
      </c>
      <c r="D301" s="20"/>
      <c r="E301" s="21" t="s">
        <v>641</v>
      </c>
      <c r="H301" s="73"/>
    </row>
    <row r="302" spans="1:8">
      <c r="A302" s="108"/>
      <c r="B302" s="3" t="s">
        <v>308</v>
      </c>
      <c r="C302" s="21" t="s">
        <v>304</v>
      </c>
      <c r="D302" s="20"/>
      <c r="E302" s="21" t="s">
        <v>642</v>
      </c>
      <c r="H302" s="73"/>
    </row>
    <row r="303" spans="1:8">
      <c r="A303" s="108"/>
      <c r="B303" s="3" t="s">
        <v>309</v>
      </c>
      <c r="C303" s="21" t="s">
        <v>306</v>
      </c>
      <c r="D303" s="20"/>
      <c r="E303" s="21" t="s">
        <v>643</v>
      </c>
      <c r="H303" s="73"/>
    </row>
    <row r="304" spans="1:8">
      <c r="A304" s="26" t="s">
        <v>28</v>
      </c>
      <c r="B304" s="3" t="s">
        <v>310</v>
      </c>
      <c r="C304" s="33" t="s">
        <v>310</v>
      </c>
      <c r="D304" s="34"/>
      <c r="E304" s="33" t="s">
        <v>644</v>
      </c>
      <c r="F304" s="3">
        <v>17</v>
      </c>
      <c r="G304" s="84">
        <v>1</v>
      </c>
    </row>
    <row r="305" spans="1:8">
      <c r="A305" s="24" t="s">
        <v>29</v>
      </c>
      <c r="B305" s="3" t="s">
        <v>311</v>
      </c>
      <c r="C305" s="19" t="s">
        <v>311</v>
      </c>
      <c r="D305" s="16"/>
      <c r="E305" s="16" t="s">
        <v>645</v>
      </c>
      <c r="F305" s="73"/>
      <c r="G305" s="84">
        <v>1</v>
      </c>
      <c r="H305" s="91" t="s">
        <v>950</v>
      </c>
    </row>
    <row r="306" spans="1:8">
      <c r="A306" s="108" t="s">
        <v>30</v>
      </c>
      <c r="B306" s="3" t="s">
        <v>35</v>
      </c>
      <c r="C306" s="19" t="s">
        <v>33</v>
      </c>
      <c r="D306" s="16"/>
      <c r="E306" s="19" t="s">
        <v>646</v>
      </c>
      <c r="G306" s="84">
        <f>1/ROWS(C306:C308)</f>
        <v>0.33333333333333331</v>
      </c>
      <c r="H306" s="91" t="s">
        <v>950</v>
      </c>
    </row>
    <row r="307" spans="1:8">
      <c r="A307" s="108"/>
      <c r="B307" s="3" t="s">
        <v>34</v>
      </c>
      <c r="C307" s="19" t="s">
        <v>34</v>
      </c>
      <c r="D307" s="16"/>
      <c r="E307" s="19" t="s">
        <v>647</v>
      </c>
      <c r="G307" s="84">
        <f t="shared" ref="G307:G308" si="4">1/ROWS(C307:C309)</f>
        <v>0.33333333333333331</v>
      </c>
      <c r="H307" s="91" t="s">
        <v>950</v>
      </c>
    </row>
    <row r="308" spans="1:8">
      <c r="A308" s="108"/>
      <c r="B308" s="3" t="s">
        <v>33</v>
      </c>
      <c r="C308" s="19" t="s">
        <v>35</v>
      </c>
      <c r="D308" s="16"/>
      <c r="E308" s="19" t="s">
        <v>648</v>
      </c>
      <c r="G308" s="84">
        <f t="shared" si="4"/>
        <v>0.33333333333333331</v>
      </c>
      <c r="H308" s="91" t="s">
        <v>950</v>
      </c>
    </row>
    <row r="309" spans="1:8">
      <c r="A309" s="108" t="s">
        <v>31</v>
      </c>
      <c r="B309" s="3" t="s">
        <v>312</v>
      </c>
      <c r="C309" s="19" t="s">
        <v>315</v>
      </c>
      <c r="D309" s="16"/>
      <c r="E309" s="19" t="s">
        <v>649</v>
      </c>
      <c r="H309" s="73"/>
    </row>
    <row r="310" spans="1:8">
      <c r="A310" s="108"/>
      <c r="B310" s="3" t="s">
        <v>313</v>
      </c>
      <c r="C310" s="19" t="s">
        <v>314</v>
      </c>
      <c r="D310" s="16"/>
      <c r="E310" s="19" t="s">
        <v>650</v>
      </c>
      <c r="F310" s="3">
        <v>75</v>
      </c>
      <c r="G310" s="84">
        <f>F310/124.6</f>
        <v>0.60192616372391661</v>
      </c>
      <c r="H310" s="73"/>
    </row>
    <row r="311" spans="1:8" ht="29.25">
      <c r="A311" s="108"/>
      <c r="B311" s="3" t="s">
        <v>314</v>
      </c>
      <c r="C311" s="19" t="s">
        <v>313</v>
      </c>
      <c r="D311" s="16"/>
      <c r="E311" s="16" t="s">
        <v>651</v>
      </c>
      <c r="F311" s="3">
        <v>47.6</v>
      </c>
      <c r="G311" s="84">
        <f t="shared" ref="G311:G312" si="5">F311/124.6</f>
        <v>0.3820224719101124</v>
      </c>
      <c r="H311" s="73"/>
    </row>
    <row r="312" spans="1:8">
      <c r="A312" s="108"/>
      <c r="B312" s="3" t="s">
        <v>315</v>
      </c>
      <c r="C312" s="19" t="s">
        <v>312</v>
      </c>
      <c r="D312" s="16"/>
      <c r="E312" s="16" t="s">
        <v>652</v>
      </c>
      <c r="F312" s="3">
        <v>2</v>
      </c>
      <c r="G312" s="84">
        <f t="shared" si="5"/>
        <v>1.605136436597111E-2</v>
      </c>
      <c r="H312" s="73"/>
    </row>
    <row r="313" spans="1:8">
      <c r="A313" s="26" t="s">
        <v>32</v>
      </c>
      <c r="B313" s="3" t="s">
        <v>5018</v>
      </c>
      <c r="C313" s="19" t="s">
        <v>5018</v>
      </c>
      <c r="F313" s="3">
        <v>30</v>
      </c>
      <c r="G313" s="84">
        <v>1</v>
      </c>
      <c r="H313" s="73"/>
    </row>
    <row r="314" spans="1:8">
      <c r="A314" s="26" t="s">
        <v>654</v>
      </c>
      <c r="B314" s="3" t="s">
        <v>656</v>
      </c>
      <c r="C314" s="19" t="s">
        <v>656</v>
      </c>
      <c r="E314" s="3" t="s">
        <v>654</v>
      </c>
      <c r="G314" s="84">
        <v>1</v>
      </c>
      <c r="H314" s="91" t="s">
        <v>950</v>
      </c>
    </row>
    <row r="315" spans="1:8" ht="15.75">
      <c r="A315" s="26" t="s">
        <v>2150</v>
      </c>
      <c r="C315" s="19" t="s">
        <v>655</v>
      </c>
      <c r="D315"/>
      <c r="E315" s="3" t="s">
        <v>653</v>
      </c>
      <c r="G315" s="84">
        <v>1</v>
      </c>
      <c r="H315" s="91" t="s">
        <v>950</v>
      </c>
    </row>
    <row r="316" spans="1:8" ht="15.95" customHeight="1">
      <c r="D316" s="38"/>
    </row>
    <row r="317" spans="1:8" ht="15.95" customHeight="1">
      <c r="D317" s="39"/>
    </row>
    <row r="318" spans="1:8" ht="15.95" customHeight="1"/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7006-C13E-4A43-9607-FB41CC100280}">
  <dimension ref="A1:K315"/>
  <sheetViews>
    <sheetView topLeftCell="A78" zoomScale="85" zoomScaleNormal="85" workbookViewId="0">
      <selection activeCell="F150" sqref="F150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18.125" style="3" bestFit="1" customWidth="1"/>
    <col min="5" max="5" width="29.875" style="3" bestFit="1" customWidth="1"/>
    <col min="6" max="6" width="22.625" style="3" bestFit="1" customWidth="1"/>
    <col min="7" max="7" width="10.375" style="8" bestFit="1" customWidth="1"/>
    <col min="8" max="8" width="24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1">
      <c r="A1" s="22" t="s">
        <v>0</v>
      </c>
      <c r="B1" s="22" t="s">
        <v>657</v>
      </c>
      <c r="C1" s="22" t="s">
        <v>1</v>
      </c>
      <c r="D1" s="22" t="s">
        <v>2</v>
      </c>
      <c r="E1" s="22" t="s">
        <v>658</v>
      </c>
      <c r="F1" s="22" t="s">
        <v>5020</v>
      </c>
      <c r="G1" s="23" t="s">
        <v>5021</v>
      </c>
      <c r="H1" s="1" t="s">
        <v>952</v>
      </c>
      <c r="I1" s="1"/>
      <c r="J1" s="1"/>
    </row>
    <row r="2" spans="1:11" ht="29.25">
      <c r="A2" s="108" t="s">
        <v>3</v>
      </c>
      <c r="B2" s="3" t="s">
        <v>37</v>
      </c>
      <c r="C2" s="29" t="s">
        <v>36</v>
      </c>
      <c r="D2" s="15"/>
      <c r="E2" s="16" t="s">
        <v>621</v>
      </c>
      <c r="G2" s="8">
        <f>1/ROWS(C2:C12)</f>
        <v>9.0909090909090912E-2</v>
      </c>
      <c r="H2" s="73" t="s">
        <v>950</v>
      </c>
      <c r="K2" s="14"/>
    </row>
    <row r="3" spans="1:11">
      <c r="A3" s="108"/>
      <c r="B3" s="3" t="s">
        <v>38</v>
      </c>
      <c r="C3" s="29" t="s">
        <v>46</v>
      </c>
      <c r="D3" s="15"/>
      <c r="E3" s="16" t="s">
        <v>316</v>
      </c>
      <c r="G3" s="8">
        <f t="shared" ref="G3:G12" si="0">1/ROWS(C3:C13)</f>
        <v>9.0909090909090912E-2</v>
      </c>
      <c r="H3" s="73" t="s">
        <v>950</v>
      </c>
      <c r="I3" s="17"/>
      <c r="K3" s="14"/>
    </row>
    <row r="4" spans="1:11">
      <c r="A4" s="108"/>
      <c r="B4" s="3" t="s">
        <v>39</v>
      </c>
      <c r="C4" s="29" t="s">
        <v>40</v>
      </c>
      <c r="D4" s="15"/>
      <c r="E4" s="16" t="s">
        <v>317</v>
      </c>
      <c r="G4" s="8">
        <f t="shared" si="0"/>
        <v>9.0909090909090912E-2</v>
      </c>
      <c r="H4" s="73" t="s">
        <v>950</v>
      </c>
      <c r="K4" s="14"/>
    </row>
    <row r="5" spans="1:11">
      <c r="A5" s="108"/>
      <c r="B5" s="3" t="s">
        <v>40</v>
      </c>
      <c r="C5" s="29" t="s">
        <v>44</v>
      </c>
      <c r="D5" s="15"/>
      <c r="E5" s="16" t="s">
        <v>318</v>
      </c>
      <c r="G5" s="8">
        <f t="shared" si="0"/>
        <v>9.0909090909090912E-2</v>
      </c>
      <c r="H5" s="73" t="s">
        <v>950</v>
      </c>
      <c r="K5" s="14"/>
    </row>
    <row r="6" spans="1:11">
      <c r="A6" s="108"/>
      <c r="B6" s="3" t="s">
        <v>41</v>
      </c>
      <c r="C6" s="29" t="s">
        <v>45</v>
      </c>
      <c r="D6" s="15"/>
      <c r="E6" s="16" t="s">
        <v>319</v>
      </c>
      <c r="G6" s="8">
        <f t="shared" si="0"/>
        <v>9.0909090909090912E-2</v>
      </c>
      <c r="H6" s="73" t="s">
        <v>950</v>
      </c>
      <c r="K6" s="14"/>
    </row>
    <row r="7" spans="1:11">
      <c r="A7" s="108"/>
      <c r="B7" s="3" t="s">
        <v>42</v>
      </c>
      <c r="C7" s="29" t="s">
        <v>37</v>
      </c>
      <c r="D7" s="15"/>
      <c r="E7" s="16" t="s">
        <v>320</v>
      </c>
      <c r="G7" s="8">
        <f t="shared" si="0"/>
        <v>9.0909090909090912E-2</v>
      </c>
      <c r="H7" s="73" t="s">
        <v>950</v>
      </c>
      <c r="K7" s="14"/>
    </row>
    <row r="8" spans="1:11">
      <c r="A8" s="108"/>
      <c r="B8" s="3" t="s">
        <v>43</v>
      </c>
      <c r="C8" s="29" t="s">
        <v>43</v>
      </c>
      <c r="D8" s="15"/>
      <c r="E8" s="16" t="s">
        <v>321</v>
      </c>
      <c r="G8" s="8">
        <f t="shared" si="0"/>
        <v>9.0909090909090912E-2</v>
      </c>
      <c r="H8" s="73" t="s">
        <v>950</v>
      </c>
      <c r="K8" s="14"/>
    </row>
    <row r="9" spans="1:11">
      <c r="A9" s="108"/>
      <c r="B9" s="3" t="s">
        <v>44</v>
      </c>
      <c r="C9" s="29" t="s">
        <v>42</v>
      </c>
      <c r="D9" s="15"/>
      <c r="E9" s="16" t="s">
        <v>322</v>
      </c>
      <c r="G9" s="8">
        <f t="shared" si="0"/>
        <v>9.0909090909090912E-2</v>
      </c>
      <c r="H9" s="73" t="s">
        <v>950</v>
      </c>
      <c r="K9" s="14"/>
    </row>
    <row r="10" spans="1:11">
      <c r="A10" s="108"/>
      <c r="B10" s="3" t="s">
        <v>45</v>
      </c>
      <c r="C10" s="29" t="s">
        <v>41</v>
      </c>
      <c r="D10" s="15"/>
      <c r="E10" s="16" t="s">
        <v>323</v>
      </c>
      <c r="G10" s="8">
        <f t="shared" si="0"/>
        <v>9.0909090909090912E-2</v>
      </c>
      <c r="H10" s="73" t="s">
        <v>950</v>
      </c>
      <c r="K10" s="14"/>
    </row>
    <row r="11" spans="1:11">
      <c r="A11" s="108"/>
      <c r="B11" s="3" t="s">
        <v>36</v>
      </c>
      <c r="C11" s="29" t="s">
        <v>39</v>
      </c>
      <c r="D11" s="15"/>
      <c r="E11" s="16" t="s">
        <v>324</v>
      </c>
      <c r="G11" s="8">
        <f t="shared" si="0"/>
        <v>9.0909090909090912E-2</v>
      </c>
      <c r="H11" s="73" t="s">
        <v>950</v>
      </c>
      <c r="K11" s="14"/>
    </row>
    <row r="12" spans="1:11">
      <c r="A12" s="108"/>
      <c r="B12" s="3" t="s">
        <v>46</v>
      </c>
      <c r="C12" s="29" t="s">
        <v>38</v>
      </c>
      <c r="D12" s="15"/>
      <c r="E12" s="16" t="s">
        <v>325</v>
      </c>
      <c r="G12" s="8">
        <f t="shared" si="0"/>
        <v>9.0909090909090912E-2</v>
      </c>
      <c r="H12" s="73" t="s">
        <v>950</v>
      </c>
      <c r="K12" s="14"/>
    </row>
    <row r="13" spans="1:11">
      <c r="A13" s="108" t="s">
        <v>4</v>
      </c>
      <c r="B13" s="3" t="s">
        <v>47</v>
      </c>
      <c r="C13" s="29" t="s">
        <v>47</v>
      </c>
      <c r="D13" s="15"/>
      <c r="E13" s="16" t="s">
        <v>326</v>
      </c>
      <c r="G13" s="8">
        <f>1/ROWS(C13:C18)</f>
        <v>0.16666666666666666</v>
      </c>
      <c r="H13" s="73" t="s">
        <v>950</v>
      </c>
      <c r="K13" s="14"/>
    </row>
    <row r="14" spans="1:11">
      <c r="A14" s="108"/>
      <c r="B14" s="3" t="s">
        <v>48</v>
      </c>
      <c r="C14" s="29" t="s">
        <v>49</v>
      </c>
      <c r="D14" s="15"/>
      <c r="E14" s="16" t="s">
        <v>327</v>
      </c>
      <c r="G14" s="8">
        <f t="shared" ref="G14:G18" si="1">1/ROWS(C14:C19)</f>
        <v>0.16666666666666666</v>
      </c>
      <c r="H14" s="73" t="s">
        <v>950</v>
      </c>
      <c r="K14" s="14"/>
    </row>
    <row r="15" spans="1:11">
      <c r="A15" s="108"/>
      <c r="B15" s="3" t="s">
        <v>49</v>
      </c>
      <c r="C15" s="29" t="s">
        <v>50</v>
      </c>
      <c r="D15" s="15"/>
      <c r="E15" s="16" t="s">
        <v>328</v>
      </c>
      <c r="G15" s="8">
        <f t="shared" si="1"/>
        <v>0.16666666666666666</v>
      </c>
      <c r="H15" s="73" t="s">
        <v>950</v>
      </c>
      <c r="K15" s="14"/>
    </row>
    <row r="16" spans="1:11">
      <c r="A16" s="108"/>
      <c r="B16" s="3" t="s">
        <v>50</v>
      </c>
      <c r="C16" s="29" t="s">
        <v>51</v>
      </c>
      <c r="D16" s="15"/>
      <c r="E16" s="16" t="s">
        <v>329</v>
      </c>
      <c r="G16" s="8">
        <f t="shared" si="1"/>
        <v>0.16666666666666666</v>
      </c>
      <c r="H16" s="73" t="s">
        <v>950</v>
      </c>
      <c r="K16" s="14"/>
    </row>
    <row r="17" spans="1:11">
      <c r="A17" s="108"/>
      <c r="B17" s="3" t="s">
        <v>51</v>
      </c>
      <c r="C17" s="29" t="s">
        <v>52</v>
      </c>
      <c r="D17" s="15"/>
      <c r="E17" s="16" t="s">
        <v>330</v>
      </c>
      <c r="G17" s="8">
        <f t="shared" si="1"/>
        <v>0.16666666666666666</v>
      </c>
      <c r="H17" s="73" t="s">
        <v>950</v>
      </c>
      <c r="K17" s="14"/>
    </row>
    <row r="18" spans="1:11">
      <c r="A18" s="108"/>
      <c r="B18" s="3" t="s">
        <v>52</v>
      </c>
      <c r="C18" s="29" t="s">
        <v>48</v>
      </c>
      <c r="D18" s="15"/>
      <c r="E18" s="16" t="s">
        <v>331</v>
      </c>
      <c r="G18" s="8">
        <f t="shared" si="1"/>
        <v>0.16666666666666666</v>
      </c>
      <c r="H18" s="73" t="s">
        <v>950</v>
      </c>
      <c r="K18" s="14"/>
    </row>
    <row r="19" spans="1:11">
      <c r="A19" s="108" t="s">
        <v>5</v>
      </c>
      <c r="B19" s="3" t="s">
        <v>53</v>
      </c>
      <c r="C19" s="29" t="s">
        <v>54</v>
      </c>
      <c r="D19" s="15"/>
      <c r="E19" s="16" t="s">
        <v>332</v>
      </c>
      <c r="G19" s="8">
        <f>1/ROWS(C19:C26)</f>
        <v>0.125</v>
      </c>
      <c r="H19" s="73" t="s">
        <v>950</v>
      </c>
      <c r="K19" s="14"/>
    </row>
    <row r="20" spans="1:11">
      <c r="A20" s="108"/>
      <c r="B20" s="3" t="s">
        <v>54</v>
      </c>
      <c r="C20" s="29" t="s">
        <v>53</v>
      </c>
      <c r="D20" s="15"/>
      <c r="E20" s="16" t="s">
        <v>333</v>
      </c>
      <c r="G20" s="8">
        <f t="shared" ref="G20:G26" si="2">1/ROWS(C20:C27)</f>
        <v>0.125</v>
      </c>
      <c r="H20" s="73" t="s">
        <v>950</v>
      </c>
      <c r="K20" s="14"/>
    </row>
    <row r="21" spans="1:11">
      <c r="A21" s="108"/>
      <c r="B21" s="3" t="s">
        <v>55</v>
      </c>
      <c r="C21" s="29" t="s">
        <v>60</v>
      </c>
      <c r="D21" s="15"/>
      <c r="E21" s="16" t="s">
        <v>334</v>
      </c>
      <c r="G21" s="8">
        <f t="shared" si="2"/>
        <v>0.125</v>
      </c>
      <c r="H21" s="73" t="s">
        <v>950</v>
      </c>
      <c r="K21" s="14"/>
    </row>
    <row r="22" spans="1:11">
      <c r="A22" s="108"/>
      <c r="B22" s="3" t="s">
        <v>56</v>
      </c>
      <c r="C22" s="29" t="s">
        <v>58</v>
      </c>
      <c r="D22" s="18"/>
      <c r="E22" s="16" t="s">
        <v>335</v>
      </c>
      <c r="G22" s="8">
        <f t="shared" si="2"/>
        <v>0.125</v>
      </c>
      <c r="H22" s="73" t="s">
        <v>950</v>
      </c>
      <c r="K22" s="14"/>
    </row>
    <row r="23" spans="1:11">
      <c r="A23" s="108"/>
      <c r="B23" s="3" t="s">
        <v>57</v>
      </c>
      <c r="C23" s="29" t="s">
        <v>57</v>
      </c>
      <c r="D23" s="15"/>
      <c r="E23" s="16" t="s">
        <v>336</v>
      </c>
      <c r="G23" s="8">
        <f t="shared" si="2"/>
        <v>0.125</v>
      </c>
      <c r="H23" s="73" t="s">
        <v>950</v>
      </c>
      <c r="K23" s="14"/>
    </row>
    <row r="24" spans="1:11">
      <c r="A24" s="108"/>
      <c r="B24" s="3" t="s">
        <v>58</v>
      </c>
      <c r="C24" s="29" t="s">
        <v>59</v>
      </c>
      <c r="D24" s="15"/>
      <c r="E24" s="16" t="s">
        <v>337</v>
      </c>
      <c r="G24" s="8">
        <f t="shared" si="2"/>
        <v>0.125</v>
      </c>
      <c r="H24" s="73" t="s">
        <v>950</v>
      </c>
      <c r="K24" s="14"/>
    </row>
    <row r="25" spans="1:11">
      <c r="A25" s="108"/>
      <c r="B25" s="3" t="s">
        <v>59</v>
      </c>
      <c r="C25" s="29" t="s">
        <v>55</v>
      </c>
      <c r="D25" s="15"/>
      <c r="E25" s="16" t="s">
        <v>338</v>
      </c>
      <c r="G25" s="8">
        <f t="shared" si="2"/>
        <v>0.125</v>
      </c>
      <c r="H25" s="73" t="s">
        <v>950</v>
      </c>
      <c r="K25" s="14"/>
    </row>
    <row r="26" spans="1:11">
      <c r="A26" s="108"/>
      <c r="B26" s="3" t="s">
        <v>60</v>
      </c>
      <c r="C26" s="29" t="s">
        <v>56</v>
      </c>
      <c r="D26" s="15"/>
      <c r="E26" s="16" t="s">
        <v>339</v>
      </c>
      <c r="G26" s="8">
        <f t="shared" si="2"/>
        <v>0.125</v>
      </c>
      <c r="H26" s="73" t="s">
        <v>950</v>
      </c>
      <c r="K26" s="14"/>
    </row>
    <row r="27" spans="1:11">
      <c r="A27" s="108" t="s">
        <v>6</v>
      </c>
      <c r="B27" s="3" t="s">
        <v>61</v>
      </c>
      <c r="C27" s="29" t="s">
        <v>64</v>
      </c>
      <c r="D27" s="15"/>
      <c r="E27" s="16" t="s">
        <v>340</v>
      </c>
      <c r="G27" s="8">
        <f>1/ROWS(C27:C31)</f>
        <v>0.2</v>
      </c>
      <c r="H27" s="73" t="s">
        <v>950</v>
      </c>
      <c r="K27" s="14"/>
    </row>
    <row r="28" spans="1:11">
      <c r="A28" s="108"/>
      <c r="B28" s="3" t="s">
        <v>62</v>
      </c>
      <c r="C28" s="29" t="s">
        <v>61</v>
      </c>
      <c r="D28" s="15"/>
      <c r="E28" s="16" t="s">
        <v>341</v>
      </c>
      <c r="G28" s="8">
        <f t="shared" ref="G28:G31" si="3">1/ROWS(C28:C32)</f>
        <v>0.2</v>
      </c>
      <c r="H28" s="73" t="s">
        <v>950</v>
      </c>
      <c r="K28" s="14"/>
    </row>
    <row r="29" spans="1:11">
      <c r="A29" s="108"/>
      <c r="B29" s="3" t="s">
        <v>63</v>
      </c>
      <c r="C29" s="29" t="s">
        <v>63</v>
      </c>
      <c r="D29" s="15"/>
      <c r="E29" s="16" t="s">
        <v>342</v>
      </c>
      <c r="G29" s="8">
        <f t="shared" si="3"/>
        <v>0.2</v>
      </c>
      <c r="H29" s="73" t="s">
        <v>950</v>
      </c>
      <c r="K29" s="14"/>
    </row>
    <row r="30" spans="1:11">
      <c r="A30" s="108"/>
      <c r="B30" s="3" t="s">
        <v>64</v>
      </c>
      <c r="C30" s="29" t="s">
        <v>65</v>
      </c>
      <c r="D30" s="15"/>
      <c r="E30" s="16" t="s">
        <v>343</v>
      </c>
      <c r="G30" s="8">
        <f t="shared" si="3"/>
        <v>0.2</v>
      </c>
      <c r="H30" s="73" t="s">
        <v>950</v>
      </c>
      <c r="K30" s="14"/>
    </row>
    <row r="31" spans="1:11">
      <c r="A31" s="108"/>
      <c r="B31" s="3" t="s">
        <v>65</v>
      </c>
      <c r="C31" s="29" t="s">
        <v>62</v>
      </c>
      <c r="D31" s="15"/>
      <c r="E31" s="16" t="s">
        <v>344</v>
      </c>
      <c r="G31" s="8">
        <f t="shared" si="3"/>
        <v>0.2</v>
      </c>
      <c r="H31" s="73" t="s">
        <v>950</v>
      </c>
      <c r="K31" s="14"/>
    </row>
    <row r="32" spans="1:11">
      <c r="A32" s="108" t="s">
        <v>7</v>
      </c>
      <c r="B32" s="3" t="s">
        <v>66</v>
      </c>
      <c r="C32" s="29" t="s">
        <v>101</v>
      </c>
      <c r="D32" s="15"/>
      <c r="E32" s="16" t="s">
        <v>345</v>
      </c>
      <c r="G32" s="8">
        <f>1/ROWS(C32:C69)</f>
        <v>2.6315789473684209E-2</v>
      </c>
      <c r="H32" s="73" t="s">
        <v>950</v>
      </c>
      <c r="K32" s="14"/>
    </row>
    <row r="33" spans="1:11">
      <c r="A33" s="108"/>
      <c r="B33" s="3" t="s">
        <v>67</v>
      </c>
      <c r="C33" s="29" t="s">
        <v>102</v>
      </c>
      <c r="D33" s="15"/>
      <c r="E33" s="16" t="s">
        <v>346</v>
      </c>
      <c r="G33" s="8">
        <f t="shared" ref="G33:G52" si="4">1/ROWS(C33:C70)</f>
        <v>2.6315789473684209E-2</v>
      </c>
      <c r="H33" s="73" t="s">
        <v>950</v>
      </c>
      <c r="K33" s="14"/>
    </row>
    <row r="34" spans="1:11">
      <c r="A34" s="108"/>
      <c r="B34" s="3" t="s">
        <v>68</v>
      </c>
      <c r="C34" s="29" t="s">
        <v>103</v>
      </c>
      <c r="D34" s="15"/>
      <c r="E34" s="16" t="s">
        <v>347</v>
      </c>
      <c r="G34" s="8">
        <f t="shared" si="4"/>
        <v>2.6315789473684209E-2</v>
      </c>
      <c r="H34" s="73" t="s">
        <v>950</v>
      </c>
      <c r="K34" s="14"/>
    </row>
    <row r="35" spans="1:11">
      <c r="A35" s="108"/>
      <c r="B35" s="3" t="s">
        <v>69</v>
      </c>
      <c r="C35" s="29" t="s">
        <v>100</v>
      </c>
      <c r="D35" s="15"/>
      <c r="E35" s="16" t="s">
        <v>348</v>
      </c>
      <c r="G35" s="8">
        <f t="shared" si="4"/>
        <v>2.6315789473684209E-2</v>
      </c>
      <c r="H35" s="73" t="s">
        <v>950</v>
      </c>
      <c r="K35" s="14"/>
    </row>
    <row r="36" spans="1:11">
      <c r="A36" s="108"/>
      <c r="B36" s="3" t="s">
        <v>70</v>
      </c>
      <c r="C36" s="29" t="s">
        <v>97</v>
      </c>
      <c r="D36" s="31"/>
      <c r="E36" s="16" t="s">
        <v>349</v>
      </c>
      <c r="G36" s="8">
        <f t="shared" si="4"/>
        <v>2.6315789473684209E-2</v>
      </c>
      <c r="H36" s="73" t="s">
        <v>950</v>
      </c>
      <c r="K36" s="14"/>
    </row>
    <row r="37" spans="1:11">
      <c r="A37" s="108"/>
      <c r="B37" s="3" t="s">
        <v>71</v>
      </c>
      <c r="C37" s="29" t="s">
        <v>98</v>
      </c>
      <c r="D37" s="15"/>
      <c r="E37" s="16" t="s">
        <v>350</v>
      </c>
      <c r="G37" s="8">
        <f t="shared" si="4"/>
        <v>2.6315789473684209E-2</v>
      </c>
      <c r="H37" s="73" t="s">
        <v>950</v>
      </c>
      <c r="K37" s="14"/>
    </row>
    <row r="38" spans="1:11">
      <c r="A38" s="108"/>
      <c r="B38" s="3" t="s">
        <v>72</v>
      </c>
      <c r="C38" s="29" t="s">
        <v>95</v>
      </c>
      <c r="D38" s="15"/>
      <c r="E38" s="16" t="s">
        <v>351</v>
      </c>
      <c r="G38" s="8">
        <f t="shared" si="4"/>
        <v>2.6315789473684209E-2</v>
      </c>
      <c r="H38" s="73" t="s">
        <v>950</v>
      </c>
      <c r="K38" s="14"/>
    </row>
    <row r="39" spans="1:11">
      <c r="A39" s="108"/>
      <c r="B39" s="3" t="s">
        <v>73</v>
      </c>
      <c r="C39" s="29" t="s">
        <v>96</v>
      </c>
      <c r="D39" s="15"/>
      <c r="E39" s="16" t="s">
        <v>352</v>
      </c>
      <c r="G39" s="8">
        <f t="shared" si="4"/>
        <v>2.6315789473684209E-2</v>
      </c>
      <c r="H39" s="73" t="s">
        <v>950</v>
      </c>
      <c r="K39" s="14"/>
    </row>
    <row r="40" spans="1:11">
      <c r="A40" s="108"/>
      <c r="B40" s="3" t="s">
        <v>74</v>
      </c>
      <c r="C40" s="29" t="s">
        <v>99</v>
      </c>
      <c r="D40" s="15"/>
      <c r="E40" s="16" t="s">
        <v>353</v>
      </c>
      <c r="G40" s="8">
        <f t="shared" si="4"/>
        <v>2.6315789473684209E-2</v>
      </c>
      <c r="H40" s="73" t="s">
        <v>950</v>
      </c>
      <c r="K40" s="14"/>
    </row>
    <row r="41" spans="1:11">
      <c r="A41" s="108"/>
      <c r="B41" s="3" t="s">
        <v>75</v>
      </c>
      <c r="C41" s="29" t="s">
        <v>93</v>
      </c>
      <c r="D41" s="15"/>
      <c r="E41" s="16" t="s">
        <v>354</v>
      </c>
      <c r="G41" s="8">
        <f t="shared" si="4"/>
        <v>2.6315789473684209E-2</v>
      </c>
      <c r="H41" s="73" t="s">
        <v>950</v>
      </c>
      <c r="K41" s="14"/>
    </row>
    <row r="42" spans="1:11">
      <c r="A42" s="108"/>
      <c r="B42" s="3" t="s">
        <v>76</v>
      </c>
      <c r="C42" s="29" t="s">
        <v>94</v>
      </c>
      <c r="D42" s="15"/>
      <c r="E42" s="16" t="s">
        <v>355</v>
      </c>
      <c r="G42" s="8">
        <f t="shared" si="4"/>
        <v>2.6315789473684209E-2</v>
      </c>
      <c r="H42" s="73" t="s">
        <v>950</v>
      </c>
      <c r="K42" s="14"/>
    </row>
    <row r="43" spans="1:11">
      <c r="A43" s="108"/>
      <c r="B43" s="3" t="s">
        <v>77</v>
      </c>
      <c r="C43" s="29" t="s">
        <v>92</v>
      </c>
      <c r="D43" s="15"/>
      <c r="E43" s="16" t="s">
        <v>356</v>
      </c>
      <c r="G43" s="8">
        <f t="shared" si="4"/>
        <v>2.6315789473684209E-2</v>
      </c>
      <c r="H43" s="73" t="s">
        <v>950</v>
      </c>
      <c r="K43" s="14"/>
    </row>
    <row r="44" spans="1:11">
      <c r="A44" s="108"/>
      <c r="B44" s="3" t="s">
        <v>78</v>
      </c>
      <c r="C44" s="29" t="s">
        <v>91</v>
      </c>
      <c r="D44" s="15"/>
      <c r="E44" s="16" t="s">
        <v>357</v>
      </c>
      <c r="G44" s="8">
        <f t="shared" si="4"/>
        <v>2.6315789473684209E-2</v>
      </c>
      <c r="H44" s="73" t="s">
        <v>950</v>
      </c>
      <c r="K44" s="14"/>
    </row>
    <row r="45" spans="1:11">
      <c r="A45" s="108"/>
      <c r="B45" s="3" t="s">
        <v>79</v>
      </c>
      <c r="C45" s="29" t="s">
        <v>90</v>
      </c>
      <c r="D45" s="15"/>
      <c r="E45" s="16" t="s">
        <v>358</v>
      </c>
      <c r="G45" s="8">
        <f t="shared" si="4"/>
        <v>2.6315789473684209E-2</v>
      </c>
      <c r="H45" s="73" t="s">
        <v>950</v>
      </c>
      <c r="K45" s="14"/>
    </row>
    <row r="46" spans="1:11">
      <c r="A46" s="108"/>
      <c r="B46" s="3" t="s">
        <v>80</v>
      </c>
      <c r="C46" s="29" t="s">
        <v>89</v>
      </c>
      <c r="D46" s="15"/>
      <c r="E46" s="16" t="s">
        <v>359</v>
      </c>
      <c r="G46" s="8">
        <f t="shared" si="4"/>
        <v>2.6315789473684209E-2</v>
      </c>
      <c r="H46" s="73" t="s">
        <v>950</v>
      </c>
      <c r="K46" s="14"/>
    </row>
    <row r="47" spans="1:11">
      <c r="A47" s="108"/>
      <c r="B47" s="3" t="s">
        <v>81</v>
      </c>
      <c r="C47" s="29" t="s">
        <v>88</v>
      </c>
      <c r="D47" s="15"/>
      <c r="E47" s="16" t="s">
        <v>360</v>
      </c>
      <c r="G47" s="8">
        <f t="shared" si="4"/>
        <v>2.6315789473684209E-2</v>
      </c>
      <c r="H47" s="73" t="s">
        <v>950</v>
      </c>
      <c r="K47" s="14"/>
    </row>
    <row r="48" spans="1:11">
      <c r="A48" s="108"/>
      <c r="B48" s="3" t="s">
        <v>82</v>
      </c>
      <c r="C48" s="29" t="s">
        <v>87</v>
      </c>
      <c r="D48" s="15"/>
      <c r="E48" s="16" t="s">
        <v>361</v>
      </c>
      <c r="G48" s="8">
        <f t="shared" si="4"/>
        <v>2.6315789473684209E-2</v>
      </c>
      <c r="H48" s="73" t="s">
        <v>950</v>
      </c>
      <c r="K48" s="14"/>
    </row>
    <row r="49" spans="1:11">
      <c r="A49" s="108"/>
      <c r="B49" s="3" t="s">
        <v>83</v>
      </c>
      <c r="C49" s="29" t="s">
        <v>86</v>
      </c>
      <c r="D49" s="15"/>
      <c r="E49" s="16" t="s">
        <v>362</v>
      </c>
      <c r="G49" s="8">
        <f t="shared" si="4"/>
        <v>2.6315789473684209E-2</v>
      </c>
      <c r="H49" s="73" t="s">
        <v>950</v>
      </c>
      <c r="K49" s="14"/>
    </row>
    <row r="50" spans="1:11">
      <c r="A50" s="108"/>
      <c r="B50" s="3" t="s">
        <v>84</v>
      </c>
      <c r="C50" s="29" t="s">
        <v>85</v>
      </c>
      <c r="D50" s="15"/>
      <c r="E50" s="16" t="s">
        <v>363</v>
      </c>
      <c r="G50" s="8">
        <f t="shared" si="4"/>
        <v>2.6315789473684209E-2</v>
      </c>
      <c r="H50" s="73" t="s">
        <v>950</v>
      </c>
      <c r="K50" s="14"/>
    </row>
    <row r="51" spans="1:11">
      <c r="A51" s="108"/>
      <c r="B51" s="3" t="s">
        <v>85</v>
      </c>
      <c r="C51" s="29" t="s">
        <v>84</v>
      </c>
      <c r="D51" s="15"/>
      <c r="E51" s="16" t="s">
        <v>364</v>
      </c>
      <c r="G51" s="8">
        <f t="shared" si="4"/>
        <v>2.6315789473684209E-2</v>
      </c>
      <c r="H51" s="73" t="s">
        <v>950</v>
      </c>
      <c r="K51" s="14"/>
    </row>
    <row r="52" spans="1:11">
      <c r="A52" s="108"/>
      <c r="B52" s="3" t="s">
        <v>86</v>
      </c>
      <c r="C52" s="29" t="s">
        <v>83</v>
      </c>
      <c r="D52" s="15"/>
      <c r="E52" s="16" t="s">
        <v>365</v>
      </c>
      <c r="G52" s="8">
        <f t="shared" si="4"/>
        <v>2.6315789473684209E-2</v>
      </c>
      <c r="H52" s="73" t="s">
        <v>950</v>
      </c>
      <c r="K52" s="14"/>
    </row>
    <row r="53" spans="1:11">
      <c r="A53" s="108"/>
      <c r="B53" s="3" t="s">
        <v>87</v>
      </c>
      <c r="C53" s="29" t="s">
        <v>82</v>
      </c>
      <c r="D53" s="15"/>
      <c r="E53" s="16" t="s">
        <v>366</v>
      </c>
      <c r="G53" s="8">
        <f>1/ROWS(C53:C90)</f>
        <v>2.6315789473684209E-2</v>
      </c>
      <c r="H53" s="73" t="s">
        <v>950</v>
      </c>
      <c r="K53" s="14"/>
    </row>
    <row r="54" spans="1:11">
      <c r="A54" s="108"/>
      <c r="B54" s="3" t="s">
        <v>88</v>
      </c>
      <c r="C54" s="29" t="s">
        <v>81</v>
      </c>
      <c r="D54" s="15"/>
      <c r="E54" s="16" t="s">
        <v>367</v>
      </c>
      <c r="G54" s="8">
        <f t="shared" ref="G54" si="5">1/ROWS(C54:C91)</f>
        <v>2.6315789473684209E-2</v>
      </c>
      <c r="H54" s="73" t="s">
        <v>950</v>
      </c>
      <c r="K54" s="14"/>
    </row>
    <row r="55" spans="1:11">
      <c r="A55" s="108"/>
      <c r="B55" s="3" t="s">
        <v>89</v>
      </c>
      <c r="C55" s="29" t="s">
        <v>78</v>
      </c>
      <c r="D55" s="32" t="s">
        <v>686</v>
      </c>
      <c r="E55" s="16" t="s">
        <v>368</v>
      </c>
      <c r="G55" s="8">
        <f>1/ROWS(C55:C92)</f>
        <v>2.6315789473684209E-2</v>
      </c>
      <c r="H55" s="73" t="s">
        <v>950</v>
      </c>
      <c r="K55" s="14"/>
    </row>
    <row r="56" spans="1:11">
      <c r="A56" s="108"/>
      <c r="B56" s="3" t="s">
        <v>90</v>
      </c>
      <c r="C56" s="29" t="s">
        <v>77</v>
      </c>
      <c r="D56" s="31" t="s">
        <v>701</v>
      </c>
      <c r="E56" s="16" t="s">
        <v>369</v>
      </c>
      <c r="G56" s="8">
        <f t="shared" ref="G56:G69" si="6">1/ROWS(C56:C93)</f>
        <v>2.6315789473684209E-2</v>
      </c>
      <c r="H56" s="73" t="s">
        <v>950</v>
      </c>
      <c r="K56" s="14"/>
    </row>
    <row r="57" spans="1:11">
      <c r="A57" s="108"/>
      <c r="B57" s="3" t="s">
        <v>91</v>
      </c>
      <c r="C57" s="29" t="s">
        <v>76</v>
      </c>
      <c r="D57" s="15"/>
      <c r="E57" s="16" t="s">
        <v>370</v>
      </c>
      <c r="G57" s="8">
        <f t="shared" si="6"/>
        <v>2.6315789473684209E-2</v>
      </c>
      <c r="H57" s="73" t="s">
        <v>950</v>
      </c>
      <c r="K57" s="14"/>
    </row>
    <row r="58" spans="1:11">
      <c r="A58" s="108"/>
      <c r="B58" s="3" t="s">
        <v>92</v>
      </c>
      <c r="C58" s="29" t="s">
        <v>79</v>
      </c>
      <c r="D58" s="15"/>
      <c r="E58" s="16" t="s">
        <v>371</v>
      </c>
      <c r="G58" s="8">
        <f t="shared" si="6"/>
        <v>2.6315789473684209E-2</v>
      </c>
      <c r="H58" s="73" t="s">
        <v>950</v>
      </c>
      <c r="K58" s="14"/>
    </row>
    <row r="59" spans="1:11">
      <c r="A59" s="108"/>
      <c r="B59" s="3" t="s">
        <v>93</v>
      </c>
      <c r="C59" s="29" t="s">
        <v>80</v>
      </c>
      <c r="D59" s="15"/>
      <c r="E59" s="16" t="s">
        <v>372</v>
      </c>
      <c r="G59" s="8">
        <f t="shared" si="6"/>
        <v>2.6315789473684209E-2</v>
      </c>
      <c r="H59" s="73" t="s">
        <v>950</v>
      </c>
      <c r="K59" s="14"/>
    </row>
    <row r="60" spans="1:11">
      <c r="A60" s="108"/>
      <c r="B60" s="3" t="s">
        <v>94</v>
      </c>
      <c r="C60" s="29" t="s">
        <v>75</v>
      </c>
      <c r="D60" s="15"/>
      <c r="E60" s="16" t="s">
        <v>373</v>
      </c>
      <c r="G60" s="8">
        <f t="shared" si="6"/>
        <v>2.6315789473684209E-2</v>
      </c>
      <c r="H60" s="73" t="s">
        <v>950</v>
      </c>
      <c r="K60" s="14"/>
    </row>
    <row r="61" spans="1:11">
      <c r="A61" s="108"/>
      <c r="B61" s="3" t="s">
        <v>95</v>
      </c>
      <c r="C61" s="29" t="s">
        <v>73</v>
      </c>
      <c r="D61" s="15"/>
      <c r="E61" s="16" t="s">
        <v>374</v>
      </c>
      <c r="G61" s="8">
        <f t="shared" si="6"/>
        <v>2.6315789473684209E-2</v>
      </c>
      <c r="H61" s="73" t="s">
        <v>950</v>
      </c>
      <c r="K61" s="14"/>
    </row>
    <row r="62" spans="1:11">
      <c r="A62" s="108"/>
      <c r="B62" s="3" t="s">
        <v>96</v>
      </c>
      <c r="C62" s="29" t="s">
        <v>74</v>
      </c>
      <c r="D62" s="32" t="s">
        <v>688</v>
      </c>
      <c r="E62" s="16" t="s">
        <v>375</v>
      </c>
      <c r="G62" s="8">
        <f t="shared" si="6"/>
        <v>2.6315789473684209E-2</v>
      </c>
      <c r="H62" s="73" t="s">
        <v>950</v>
      </c>
      <c r="K62" s="14"/>
    </row>
    <row r="63" spans="1:11">
      <c r="A63" s="108"/>
      <c r="B63" s="3" t="s">
        <v>97</v>
      </c>
      <c r="C63" s="29" t="s">
        <v>72</v>
      </c>
      <c r="D63" s="15"/>
      <c r="E63" s="16" t="s">
        <v>376</v>
      </c>
      <c r="G63" s="8">
        <f t="shared" si="6"/>
        <v>2.6315789473684209E-2</v>
      </c>
      <c r="H63" s="73" t="s">
        <v>950</v>
      </c>
      <c r="K63" s="14"/>
    </row>
    <row r="64" spans="1:11">
      <c r="A64" s="108"/>
      <c r="B64" s="3" t="s">
        <v>98</v>
      </c>
      <c r="C64" s="29" t="s">
        <v>69</v>
      </c>
      <c r="D64" s="15"/>
      <c r="E64" s="16" t="s">
        <v>377</v>
      </c>
      <c r="G64" s="8">
        <f t="shared" si="6"/>
        <v>2.6315789473684209E-2</v>
      </c>
      <c r="H64" s="73" t="s">
        <v>950</v>
      </c>
      <c r="K64" s="14"/>
    </row>
    <row r="65" spans="1:11">
      <c r="A65" s="108"/>
      <c r="B65" s="3" t="s">
        <v>99</v>
      </c>
      <c r="C65" s="29" t="s">
        <v>70</v>
      </c>
      <c r="D65" s="15"/>
      <c r="E65" s="16" t="s">
        <v>378</v>
      </c>
      <c r="G65" s="8">
        <f t="shared" si="6"/>
        <v>2.6315789473684209E-2</v>
      </c>
      <c r="H65" s="73" t="s">
        <v>950</v>
      </c>
      <c r="K65" s="14"/>
    </row>
    <row r="66" spans="1:11">
      <c r="A66" s="108"/>
      <c r="B66" s="3" t="s">
        <v>100</v>
      </c>
      <c r="C66" s="29" t="s">
        <v>68</v>
      </c>
      <c r="D66" s="32"/>
      <c r="E66" s="16" t="s">
        <v>379</v>
      </c>
      <c r="G66" s="8">
        <f t="shared" si="6"/>
        <v>2.6315789473684209E-2</v>
      </c>
      <c r="H66" s="73" t="s">
        <v>950</v>
      </c>
      <c r="K66" s="14"/>
    </row>
    <row r="67" spans="1:11">
      <c r="A67" s="108"/>
      <c r="B67" s="3" t="s">
        <v>101</v>
      </c>
      <c r="C67" s="29" t="s">
        <v>71</v>
      </c>
      <c r="D67" s="15" t="s">
        <v>727</v>
      </c>
      <c r="E67" s="16" t="s">
        <v>380</v>
      </c>
      <c r="G67" s="8">
        <f t="shared" si="6"/>
        <v>2.6315789473684209E-2</v>
      </c>
      <c r="H67" s="73" t="s">
        <v>950</v>
      </c>
      <c r="K67" s="14"/>
    </row>
    <row r="68" spans="1:11">
      <c r="A68" s="108"/>
      <c r="B68" s="3" t="s">
        <v>102</v>
      </c>
      <c r="C68" s="29" t="s">
        <v>67</v>
      </c>
      <c r="D68" s="32"/>
      <c r="E68" s="16" t="s">
        <v>381</v>
      </c>
      <c r="G68" s="8">
        <f t="shared" si="6"/>
        <v>2.6315789473684209E-2</v>
      </c>
      <c r="H68" s="73" t="s">
        <v>950</v>
      </c>
      <c r="K68" s="14"/>
    </row>
    <row r="69" spans="1:11">
      <c r="A69" s="108"/>
      <c r="B69" s="3" t="s">
        <v>103</v>
      </c>
      <c r="C69" s="29" t="s">
        <v>66</v>
      </c>
      <c r="D69" s="15"/>
      <c r="E69" s="16" t="s">
        <v>382</v>
      </c>
      <c r="G69" s="8">
        <f t="shared" si="6"/>
        <v>2.6315789473684209E-2</v>
      </c>
      <c r="H69" s="73" t="s">
        <v>950</v>
      </c>
      <c r="K69" s="14"/>
    </row>
    <row r="70" spans="1:11">
      <c r="A70" s="24" t="s">
        <v>622</v>
      </c>
      <c r="B70" s="3" t="s">
        <v>383</v>
      </c>
      <c r="C70" s="29" t="s">
        <v>383</v>
      </c>
      <c r="D70" s="15"/>
      <c r="E70" s="16" t="s">
        <v>384</v>
      </c>
      <c r="G70" s="8">
        <v>1</v>
      </c>
      <c r="H70" s="73" t="s">
        <v>950</v>
      </c>
      <c r="K70" s="14"/>
    </row>
    <row r="71" spans="1:11">
      <c r="A71" s="108" t="s">
        <v>8</v>
      </c>
      <c r="B71" s="3" t="s">
        <v>104</v>
      </c>
      <c r="C71" s="29" t="s">
        <v>106</v>
      </c>
      <c r="D71" s="15"/>
      <c r="E71" s="16" t="s">
        <v>385</v>
      </c>
      <c r="G71" s="8">
        <v>0.33329999999999999</v>
      </c>
      <c r="H71" s="73" t="s">
        <v>950</v>
      </c>
      <c r="K71" s="14"/>
    </row>
    <row r="72" spans="1:11">
      <c r="A72" s="108"/>
      <c r="B72" s="3" t="s">
        <v>105</v>
      </c>
      <c r="C72" s="29" t="s">
        <v>105</v>
      </c>
      <c r="D72" s="15"/>
      <c r="E72" s="16" t="s">
        <v>386</v>
      </c>
      <c r="G72" s="8">
        <v>0.33329999999999999</v>
      </c>
      <c r="H72" s="73" t="s">
        <v>950</v>
      </c>
      <c r="K72" s="14"/>
    </row>
    <row r="73" spans="1:11">
      <c r="A73" s="108"/>
      <c r="B73" s="3" t="s">
        <v>106</v>
      </c>
      <c r="C73" s="29" t="s">
        <v>104</v>
      </c>
      <c r="D73" s="15"/>
      <c r="E73" s="16" t="s">
        <v>387</v>
      </c>
      <c r="G73" s="8">
        <v>0.33329999999999999</v>
      </c>
      <c r="H73" s="73" t="s">
        <v>950</v>
      </c>
      <c r="K73" s="14"/>
    </row>
    <row r="74" spans="1:11">
      <c r="A74" s="108" t="s">
        <v>9</v>
      </c>
      <c r="B74" s="3" t="s">
        <v>107</v>
      </c>
      <c r="C74" s="29" t="s">
        <v>114</v>
      </c>
      <c r="D74" s="15"/>
      <c r="E74" s="16" t="s">
        <v>388</v>
      </c>
      <c r="G74" s="8">
        <f xml:space="preserve"> 1/ROWS(C74:C86)</f>
        <v>7.6923076923076927E-2</v>
      </c>
      <c r="H74" s="73" t="s">
        <v>950</v>
      </c>
      <c r="K74" s="14"/>
    </row>
    <row r="75" spans="1:11">
      <c r="A75" s="108"/>
      <c r="B75" s="3" t="s">
        <v>108</v>
      </c>
      <c r="C75" s="29" t="s">
        <v>389</v>
      </c>
      <c r="D75" s="15"/>
      <c r="E75" s="16" t="s">
        <v>390</v>
      </c>
      <c r="G75" s="8">
        <f t="shared" ref="G75:G86" si="7" xml:space="preserve"> 1/ROWS(C75:C87)</f>
        <v>7.6923076923076927E-2</v>
      </c>
      <c r="H75" s="73" t="s">
        <v>950</v>
      </c>
      <c r="K75" s="14"/>
    </row>
    <row r="76" spans="1:11">
      <c r="A76" s="108"/>
      <c r="B76" s="3" t="s">
        <v>109</v>
      </c>
      <c r="C76" s="29" t="s">
        <v>391</v>
      </c>
      <c r="D76" s="15"/>
      <c r="E76" s="16" t="s">
        <v>392</v>
      </c>
      <c r="G76" s="8">
        <f t="shared" si="7"/>
        <v>7.6923076923076927E-2</v>
      </c>
      <c r="H76" s="73" t="s">
        <v>950</v>
      </c>
    </row>
    <row r="77" spans="1:11">
      <c r="A77" s="108"/>
      <c r="B77" s="3" t="s">
        <v>110</v>
      </c>
      <c r="C77" s="29" t="s">
        <v>393</v>
      </c>
      <c r="D77" s="15"/>
      <c r="E77" s="16" t="s">
        <v>394</v>
      </c>
      <c r="G77" s="8">
        <f t="shared" si="7"/>
        <v>7.6923076923076927E-2</v>
      </c>
      <c r="H77" s="73" t="s">
        <v>950</v>
      </c>
    </row>
    <row r="78" spans="1:11">
      <c r="A78" s="108"/>
      <c r="B78" s="3" t="s">
        <v>111</v>
      </c>
      <c r="C78" s="29" t="s">
        <v>115</v>
      </c>
      <c r="D78" s="15"/>
      <c r="E78" s="16" t="s">
        <v>395</v>
      </c>
      <c r="G78" s="8">
        <f t="shared" si="7"/>
        <v>7.6923076923076927E-2</v>
      </c>
      <c r="H78" s="73" t="s">
        <v>950</v>
      </c>
    </row>
    <row r="79" spans="1:11">
      <c r="A79" s="108"/>
      <c r="B79" s="3" t="s">
        <v>112</v>
      </c>
      <c r="C79" s="29" t="s">
        <v>110</v>
      </c>
      <c r="D79" s="15"/>
      <c r="E79" s="16" t="s">
        <v>396</v>
      </c>
      <c r="G79" s="8">
        <f t="shared" si="7"/>
        <v>7.6923076923076927E-2</v>
      </c>
      <c r="H79" s="73" t="s">
        <v>950</v>
      </c>
    </row>
    <row r="80" spans="1:11">
      <c r="A80" s="108"/>
      <c r="B80" s="3" t="s">
        <v>113</v>
      </c>
      <c r="C80" s="29" t="s">
        <v>112</v>
      </c>
      <c r="D80" s="15"/>
      <c r="E80" s="16" t="s">
        <v>397</v>
      </c>
      <c r="G80" s="8">
        <f t="shared" si="7"/>
        <v>7.6923076923076927E-2</v>
      </c>
      <c r="H80" s="73" t="s">
        <v>950</v>
      </c>
    </row>
    <row r="81" spans="1:8">
      <c r="A81" s="108"/>
      <c r="B81" s="3" t="s">
        <v>114</v>
      </c>
      <c r="C81" s="29" t="s">
        <v>111</v>
      </c>
      <c r="D81" s="15"/>
      <c r="E81" s="16" t="s">
        <v>398</v>
      </c>
      <c r="G81" s="8">
        <f t="shared" si="7"/>
        <v>7.6923076923076927E-2</v>
      </c>
      <c r="H81" s="73" t="s">
        <v>950</v>
      </c>
    </row>
    <row r="82" spans="1:8">
      <c r="A82" s="108"/>
      <c r="B82" s="3" t="s">
        <v>115</v>
      </c>
      <c r="C82" s="29" t="s">
        <v>107</v>
      </c>
      <c r="D82" s="15"/>
      <c r="E82" s="16" t="s">
        <v>399</v>
      </c>
      <c r="G82" s="8">
        <f t="shared" si="7"/>
        <v>7.6923076923076927E-2</v>
      </c>
      <c r="H82" s="73" t="s">
        <v>950</v>
      </c>
    </row>
    <row r="83" spans="1:8">
      <c r="A83" s="108"/>
      <c r="C83" s="29" t="s">
        <v>400</v>
      </c>
      <c r="D83" s="15"/>
      <c r="E83" s="16" t="s">
        <v>401</v>
      </c>
      <c r="G83" s="8">
        <f t="shared" si="7"/>
        <v>7.6923076923076927E-2</v>
      </c>
      <c r="H83" s="73" t="s">
        <v>950</v>
      </c>
    </row>
    <row r="84" spans="1:8">
      <c r="A84" s="108"/>
      <c r="C84" s="29" t="s">
        <v>113</v>
      </c>
      <c r="D84" s="15"/>
      <c r="E84" s="16" t="s">
        <v>402</v>
      </c>
      <c r="G84" s="8">
        <f t="shared" si="7"/>
        <v>7.6923076923076927E-2</v>
      </c>
      <c r="H84" s="73" t="s">
        <v>950</v>
      </c>
    </row>
    <row r="85" spans="1:8">
      <c r="A85" s="108"/>
      <c r="C85" s="29" t="s">
        <v>108</v>
      </c>
      <c r="D85" s="15"/>
      <c r="E85" s="16" t="s">
        <v>403</v>
      </c>
      <c r="G85" s="8">
        <f t="shared" si="7"/>
        <v>7.6923076923076927E-2</v>
      </c>
      <c r="H85" s="73" t="s">
        <v>950</v>
      </c>
    </row>
    <row r="86" spans="1:8">
      <c r="A86" s="108"/>
      <c r="C86" s="29" t="s">
        <v>109</v>
      </c>
      <c r="D86" s="15"/>
      <c r="E86" s="16" t="s">
        <v>404</v>
      </c>
      <c r="G86" s="8">
        <f t="shared" si="7"/>
        <v>7.6923076923076927E-2</v>
      </c>
      <c r="H86" s="73" t="s">
        <v>950</v>
      </c>
    </row>
    <row r="87" spans="1:8">
      <c r="A87" s="108" t="s">
        <v>10</v>
      </c>
      <c r="B87" s="3" t="s">
        <v>116</v>
      </c>
      <c r="C87" s="29" t="s">
        <v>120</v>
      </c>
      <c r="D87" s="15"/>
      <c r="E87" s="16" t="s">
        <v>405</v>
      </c>
      <c r="G87" s="8">
        <f xml:space="preserve"> 1/ROWS(C87:C105)</f>
        <v>5.2631578947368418E-2</v>
      </c>
      <c r="H87" s="73" t="s">
        <v>950</v>
      </c>
    </row>
    <row r="88" spans="1:8">
      <c r="A88" s="108"/>
      <c r="B88" s="3" t="s">
        <v>117</v>
      </c>
      <c r="C88" s="29" t="s">
        <v>117</v>
      </c>
      <c r="D88" s="15"/>
      <c r="E88" s="16" t="s">
        <v>406</v>
      </c>
      <c r="G88" s="8">
        <f t="shared" ref="G88:G105" si="8" xml:space="preserve"> 1/ROWS(C88:C106)</f>
        <v>5.2631578947368418E-2</v>
      </c>
      <c r="H88" s="73" t="s">
        <v>950</v>
      </c>
    </row>
    <row r="89" spans="1:8">
      <c r="A89" s="108"/>
      <c r="B89" s="3" t="s">
        <v>118</v>
      </c>
      <c r="C89" s="29" t="s">
        <v>128</v>
      </c>
      <c r="D89" s="15"/>
      <c r="E89" s="16" t="s">
        <v>407</v>
      </c>
      <c r="G89" s="8">
        <f t="shared" si="8"/>
        <v>5.2631578947368418E-2</v>
      </c>
      <c r="H89" s="73" t="s">
        <v>950</v>
      </c>
    </row>
    <row r="90" spans="1:8">
      <c r="A90" s="108"/>
      <c r="B90" s="3" t="s">
        <v>119</v>
      </c>
      <c r="C90" s="29" t="s">
        <v>118</v>
      </c>
      <c r="D90" s="15"/>
      <c r="E90" s="16" t="s">
        <v>408</v>
      </c>
      <c r="G90" s="8">
        <f t="shared" si="8"/>
        <v>5.2631578947368418E-2</v>
      </c>
      <c r="H90" s="73" t="s">
        <v>950</v>
      </c>
    </row>
    <row r="91" spans="1:8">
      <c r="A91" s="108"/>
      <c r="B91" s="3" t="s">
        <v>120</v>
      </c>
      <c r="C91" s="29" t="s">
        <v>123</v>
      </c>
      <c r="D91" s="15"/>
      <c r="E91" s="16" t="s">
        <v>409</v>
      </c>
      <c r="G91" s="8">
        <f t="shared" si="8"/>
        <v>5.2631578947368418E-2</v>
      </c>
      <c r="H91" s="73" t="s">
        <v>950</v>
      </c>
    </row>
    <row r="92" spans="1:8">
      <c r="A92" s="108"/>
      <c r="B92" s="3" t="s">
        <v>121</v>
      </c>
      <c r="C92" s="29" t="s">
        <v>119</v>
      </c>
      <c r="D92" s="15"/>
      <c r="E92" s="16" t="s">
        <v>410</v>
      </c>
      <c r="G92" s="8">
        <f t="shared" si="8"/>
        <v>5.2631578947368418E-2</v>
      </c>
      <c r="H92" s="73" t="s">
        <v>950</v>
      </c>
    </row>
    <row r="93" spans="1:8">
      <c r="A93" s="108"/>
      <c r="B93" s="3" t="s">
        <v>122</v>
      </c>
      <c r="C93" s="29" t="s">
        <v>129</v>
      </c>
      <c r="D93" s="15"/>
      <c r="E93" s="16" t="s">
        <v>411</v>
      </c>
      <c r="G93" s="8">
        <f t="shared" si="8"/>
        <v>5.2631578947368418E-2</v>
      </c>
      <c r="H93" s="73" t="s">
        <v>950</v>
      </c>
    </row>
    <row r="94" spans="1:8">
      <c r="A94" s="108"/>
      <c r="B94" s="3" t="s">
        <v>123</v>
      </c>
      <c r="C94" s="29" t="s">
        <v>124</v>
      </c>
      <c r="D94" s="15"/>
      <c r="E94" s="16" t="s">
        <v>412</v>
      </c>
      <c r="G94" s="8">
        <f t="shared" si="8"/>
        <v>5.2631578947368418E-2</v>
      </c>
      <c r="H94" s="73" t="s">
        <v>950</v>
      </c>
    </row>
    <row r="95" spans="1:8">
      <c r="A95" s="108"/>
      <c r="B95" s="3" t="s">
        <v>124</v>
      </c>
      <c r="C95" s="29" t="s">
        <v>126</v>
      </c>
      <c r="D95" s="15"/>
      <c r="E95" s="16" t="s">
        <v>413</v>
      </c>
      <c r="G95" s="8">
        <f t="shared" si="8"/>
        <v>5.2631578947368418E-2</v>
      </c>
      <c r="H95" s="73" t="s">
        <v>950</v>
      </c>
    </row>
    <row r="96" spans="1:8">
      <c r="A96" s="108"/>
      <c r="B96" s="3" t="s">
        <v>125</v>
      </c>
      <c r="C96" s="29" t="s">
        <v>127</v>
      </c>
      <c r="D96" s="15"/>
      <c r="E96" s="16" t="s">
        <v>414</v>
      </c>
      <c r="G96" s="8">
        <f t="shared" si="8"/>
        <v>5.2631578947368418E-2</v>
      </c>
      <c r="H96" s="73" t="s">
        <v>950</v>
      </c>
    </row>
    <row r="97" spans="1:8">
      <c r="A97" s="108"/>
      <c r="B97" s="3" t="s">
        <v>126</v>
      </c>
      <c r="C97" s="29" t="s">
        <v>121</v>
      </c>
      <c r="D97" s="15"/>
      <c r="E97" s="16" t="s">
        <v>415</v>
      </c>
      <c r="G97" s="8">
        <f t="shared" si="8"/>
        <v>5.2631578947368418E-2</v>
      </c>
      <c r="H97" s="73" t="s">
        <v>950</v>
      </c>
    </row>
    <row r="98" spans="1:8">
      <c r="A98" s="108"/>
      <c r="B98" s="3" t="s">
        <v>127</v>
      </c>
      <c r="C98" s="29" t="s">
        <v>125</v>
      </c>
      <c r="D98" s="15"/>
      <c r="E98" s="16" t="s">
        <v>416</v>
      </c>
      <c r="G98" s="8">
        <f t="shared" si="8"/>
        <v>5.2631578947368418E-2</v>
      </c>
      <c r="H98" s="73" t="s">
        <v>950</v>
      </c>
    </row>
    <row r="99" spans="1:8">
      <c r="A99" s="108"/>
      <c r="B99" s="3" t="s">
        <v>128</v>
      </c>
      <c r="C99" s="29" t="s">
        <v>122</v>
      </c>
      <c r="D99" s="15"/>
      <c r="E99" s="16" t="s">
        <v>417</v>
      </c>
      <c r="G99" s="8">
        <f t="shared" si="8"/>
        <v>5.2631578947368418E-2</v>
      </c>
      <c r="H99" s="73" t="s">
        <v>950</v>
      </c>
    </row>
    <row r="100" spans="1:8">
      <c r="A100" s="108"/>
      <c r="B100" s="3" t="s">
        <v>129</v>
      </c>
      <c r="C100" s="29" t="s">
        <v>418</v>
      </c>
      <c r="D100" s="15"/>
      <c r="E100" s="16" t="s">
        <v>419</v>
      </c>
      <c r="G100" s="8">
        <f t="shared" si="8"/>
        <v>5.2631578947368418E-2</v>
      </c>
      <c r="H100" s="73" t="s">
        <v>950</v>
      </c>
    </row>
    <row r="101" spans="1:8">
      <c r="A101" s="108"/>
      <c r="B101" s="3" t="s">
        <v>130</v>
      </c>
      <c r="C101" s="29" t="s">
        <v>130</v>
      </c>
      <c r="D101" s="15"/>
      <c r="E101" s="16" t="s">
        <v>420</v>
      </c>
      <c r="G101" s="8">
        <f t="shared" si="8"/>
        <v>5.2631578947368418E-2</v>
      </c>
      <c r="H101" s="73" t="s">
        <v>950</v>
      </c>
    </row>
    <row r="102" spans="1:8">
      <c r="A102" s="108"/>
      <c r="C102" s="29" t="s">
        <v>116</v>
      </c>
      <c r="D102" s="15"/>
      <c r="E102" s="16" t="s">
        <v>421</v>
      </c>
      <c r="G102" s="8">
        <f t="shared" si="8"/>
        <v>5.2631578947368418E-2</v>
      </c>
      <c r="H102" s="73" t="s">
        <v>950</v>
      </c>
    </row>
    <row r="103" spans="1:8">
      <c r="A103" s="108"/>
      <c r="C103" s="29" t="s">
        <v>422</v>
      </c>
      <c r="D103" s="15"/>
      <c r="E103" s="16" t="s">
        <v>423</v>
      </c>
      <c r="G103" s="8">
        <f t="shared" si="8"/>
        <v>5.2631578947368418E-2</v>
      </c>
      <c r="H103" s="73" t="s">
        <v>950</v>
      </c>
    </row>
    <row r="104" spans="1:8">
      <c r="A104" s="108"/>
      <c r="C104" s="29" t="s">
        <v>424</v>
      </c>
      <c r="D104" s="15"/>
      <c r="E104" s="16" t="s">
        <v>425</v>
      </c>
      <c r="G104" s="8">
        <f t="shared" si="8"/>
        <v>5.2631578947368418E-2</v>
      </c>
      <c r="H104" s="73" t="s">
        <v>950</v>
      </c>
    </row>
    <row r="105" spans="1:8">
      <c r="A105" s="108"/>
      <c r="C105" s="29" t="s">
        <v>426</v>
      </c>
      <c r="D105" s="15"/>
      <c r="E105" s="16" t="s">
        <v>427</v>
      </c>
      <c r="G105" s="8">
        <f t="shared" si="8"/>
        <v>5.2631578947368418E-2</v>
      </c>
      <c r="H105" s="73" t="s">
        <v>950</v>
      </c>
    </row>
    <row r="106" spans="1:8">
      <c r="A106" s="108" t="s">
        <v>11</v>
      </c>
      <c r="B106" s="3" t="s">
        <v>131</v>
      </c>
      <c r="C106" s="29" t="s">
        <v>132</v>
      </c>
      <c r="D106" s="15"/>
      <c r="E106" s="16" t="s">
        <v>428</v>
      </c>
      <c r="G106" s="8">
        <f xml:space="preserve"> 1/ROWS(C106:C132)</f>
        <v>3.7037037037037035E-2</v>
      </c>
      <c r="H106" s="73" t="s">
        <v>950</v>
      </c>
    </row>
    <row r="107" spans="1:8">
      <c r="A107" s="108"/>
      <c r="B107" s="3" t="s">
        <v>132</v>
      </c>
      <c r="C107" s="29" t="s">
        <v>143</v>
      </c>
      <c r="D107" s="15"/>
      <c r="E107" s="16" t="s">
        <v>429</v>
      </c>
      <c r="G107" s="8">
        <f t="shared" ref="G107:G108" si="9" xml:space="preserve"> 1/ROWS(C107:C133)</f>
        <v>3.7037037037037035E-2</v>
      </c>
      <c r="H107" s="73" t="s">
        <v>950</v>
      </c>
    </row>
    <row r="108" spans="1:8">
      <c r="A108" s="108"/>
      <c r="B108" s="3" t="s">
        <v>133</v>
      </c>
      <c r="C108" s="29" t="s">
        <v>141</v>
      </c>
      <c r="D108" s="15"/>
      <c r="E108" s="16" t="s">
        <v>430</v>
      </c>
      <c r="G108" s="8">
        <f t="shared" si="9"/>
        <v>3.7037037037037035E-2</v>
      </c>
      <c r="H108" s="73" t="s">
        <v>950</v>
      </c>
    </row>
    <row r="109" spans="1:8">
      <c r="A109" s="108"/>
      <c r="B109" s="3" t="s">
        <v>134</v>
      </c>
      <c r="C109" s="29" t="s">
        <v>138</v>
      </c>
      <c r="D109" s="15"/>
      <c r="E109" s="16" t="s">
        <v>431</v>
      </c>
      <c r="G109" s="8">
        <f t="shared" ref="G109:G132" si="10" xml:space="preserve"> 1/ROWS(C109:C136)</f>
        <v>3.5714285714285712E-2</v>
      </c>
      <c r="H109" s="73" t="s">
        <v>950</v>
      </c>
    </row>
    <row r="110" spans="1:8">
      <c r="A110" s="108"/>
      <c r="B110" s="3" t="s">
        <v>135</v>
      </c>
      <c r="C110" s="30" t="s">
        <v>145</v>
      </c>
      <c r="D110" s="16"/>
      <c r="E110" s="19" t="s">
        <v>432</v>
      </c>
      <c r="G110" s="8">
        <f t="shared" si="10"/>
        <v>3.5714285714285712E-2</v>
      </c>
      <c r="H110" s="73" t="s">
        <v>950</v>
      </c>
    </row>
    <row r="111" spans="1:8">
      <c r="A111" s="108"/>
      <c r="B111" s="3" t="s">
        <v>136</v>
      </c>
      <c r="C111" s="30" t="s">
        <v>137</v>
      </c>
      <c r="D111" s="31"/>
      <c r="E111" s="19" t="s">
        <v>433</v>
      </c>
      <c r="G111" s="8">
        <f t="shared" si="10"/>
        <v>3.5714285714285712E-2</v>
      </c>
      <c r="H111" s="73" t="s">
        <v>950</v>
      </c>
    </row>
    <row r="112" spans="1:8">
      <c r="A112" s="108"/>
      <c r="B112" s="3" t="s">
        <v>137</v>
      </c>
      <c r="C112" s="29" t="s">
        <v>134</v>
      </c>
      <c r="D112" s="32"/>
      <c r="E112" s="16" t="s">
        <v>434</v>
      </c>
      <c r="G112" s="8">
        <f t="shared" si="10"/>
        <v>3.5714285714285712E-2</v>
      </c>
      <c r="H112" s="73" t="s">
        <v>950</v>
      </c>
    </row>
    <row r="113" spans="1:8">
      <c r="A113" s="108"/>
      <c r="B113" s="3" t="s">
        <v>138</v>
      </c>
      <c r="C113" s="29" t="s">
        <v>151</v>
      </c>
      <c r="D113" s="15"/>
      <c r="E113" s="16" t="s">
        <v>435</v>
      </c>
      <c r="G113" s="8">
        <f t="shared" si="10"/>
        <v>3.5714285714285712E-2</v>
      </c>
      <c r="H113" s="73" t="s">
        <v>950</v>
      </c>
    </row>
    <row r="114" spans="1:8">
      <c r="A114" s="108"/>
      <c r="B114" s="3" t="s">
        <v>139</v>
      </c>
      <c r="C114" s="29" t="s">
        <v>133</v>
      </c>
      <c r="D114" s="15"/>
      <c r="E114" s="16" t="s">
        <v>436</v>
      </c>
      <c r="G114" s="8">
        <f t="shared" si="10"/>
        <v>3.5714285714285712E-2</v>
      </c>
      <c r="H114" s="73" t="s">
        <v>950</v>
      </c>
    </row>
    <row r="115" spans="1:8">
      <c r="A115" s="108"/>
      <c r="B115" s="3" t="s">
        <v>140</v>
      </c>
      <c r="C115" s="29" t="s">
        <v>148</v>
      </c>
      <c r="D115" s="15"/>
      <c r="E115" s="16" t="s">
        <v>437</v>
      </c>
      <c r="G115" s="8">
        <f t="shared" si="10"/>
        <v>3.5714285714285712E-2</v>
      </c>
      <c r="H115" s="73" t="s">
        <v>950</v>
      </c>
    </row>
    <row r="116" spans="1:8">
      <c r="A116" s="108"/>
      <c r="B116" s="3" t="s">
        <v>141</v>
      </c>
      <c r="C116" s="29" t="s">
        <v>135</v>
      </c>
      <c r="D116" s="15"/>
      <c r="E116" s="16" t="s">
        <v>438</v>
      </c>
      <c r="G116" s="8">
        <f t="shared" si="10"/>
        <v>3.5714285714285712E-2</v>
      </c>
      <c r="H116" s="73" t="s">
        <v>950</v>
      </c>
    </row>
    <row r="117" spans="1:8">
      <c r="A117" s="108"/>
      <c r="B117" s="3" t="s">
        <v>142</v>
      </c>
      <c r="C117" s="29" t="s">
        <v>136</v>
      </c>
      <c r="D117" s="15"/>
      <c r="E117" s="16" t="s">
        <v>439</v>
      </c>
      <c r="G117" s="8">
        <f t="shared" si="10"/>
        <v>3.5714285714285712E-2</v>
      </c>
      <c r="H117" s="73" t="s">
        <v>950</v>
      </c>
    </row>
    <row r="118" spans="1:8">
      <c r="A118" s="108"/>
      <c r="B118" s="3" t="s">
        <v>143</v>
      </c>
      <c r="C118" s="29" t="s">
        <v>140</v>
      </c>
      <c r="D118" s="15"/>
      <c r="E118" s="16" t="s">
        <v>440</v>
      </c>
      <c r="G118" s="8">
        <f t="shared" si="10"/>
        <v>3.5714285714285712E-2</v>
      </c>
      <c r="H118" s="73" t="s">
        <v>950</v>
      </c>
    </row>
    <row r="119" spans="1:8">
      <c r="A119" s="108"/>
      <c r="B119" s="3" t="s">
        <v>144</v>
      </c>
      <c r="C119" s="29" t="s">
        <v>139</v>
      </c>
      <c r="D119" s="15"/>
      <c r="E119" s="16" t="s">
        <v>441</v>
      </c>
      <c r="G119" s="8">
        <f t="shared" si="10"/>
        <v>3.5714285714285712E-2</v>
      </c>
      <c r="H119" s="73" t="s">
        <v>950</v>
      </c>
    </row>
    <row r="120" spans="1:8">
      <c r="A120" s="108"/>
      <c r="B120" s="3" t="s">
        <v>145</v>
      </c>
      <c r="C120" s="29" t="s">
        <v>142</v>
      </c>
      <c r="D120" s="15"/>
      <c r="E120" s="16" t="s">
        <v>442</v>
      </c>
      <c r="G120" s="8">
        <f t="shared" si="10"/>
        <v>3.5714285714285712E-2</v>
      </c>
      <c r="H120" s="73" t="s">
        <v>950</v>
      </c>
    </row>
    <row r="121" spans="1:8">
      <c r="A121" s="108"/>
      <c r="B121" s="3" t="s">
        <v>146</v>
      </c>
      <c r="C121" s="29" t="s">
        <v>144</v>
      </c>
      <c r="D121" s="15"/>
      <c r="E121" s="16" t="s">
        <v>443</v>
      </c>
      <c r="G121" s="8">
        <f t="shared" si="10"/>
        <v>3.5714285714285712E-2</v>
      </c>
      <c r="H121" s="73" t="s">
        <v>950</v>
      </c>
    </row>
    <row r="122" spans="1:8">
      <c r="A122" s="108"/>
      <c r="B122" s="3" t="s">
        <v>147</v>
      </c>
      <c r="C122" s="29" t="s">
        <v>146</v>
      </c>
      <c r="D122" s="15"/>
      <c r="E122" s="16" t="s">
        <v>444</v>
      </c>
      <c r="G122" s="8">
        <f t="shared" si="10"/>
        <v>3.5714285714285712E-2</v>
      </c>
      <c r="H122" s="73" t="s">
        <v>950</v>
      </c>
    </row>
    <row r="123" spans="1:8">
      <c r="A123" s="108"/>
      <c r="B123" s="3" t="s">
        <v>148</v>
      </c>
      <c r="C123" s="29" t="s">
        <v>147</v>
      </c>
      <c r="D123" s="15"/>
      <c r="E123" s="16" t="s">
        <v>445</v>
      </c>
      <c r="G123" s="8">
        <f t="shared" si="10"/>
        <v>3.5714285714285712E-2</v>
      </c>
      <c r="H123" s="73" t="s">
        <v>950</v>
      </c>
    </row>
    <row r="124" spans="1:8">
      <c r="A124" s="108"/>
      <c r="B124" s="3" t="s">
        <v>149</v>
      </c>
      <c r="C124" s="29" t="s">
        <v>150</v>
      </c>
      <c r="D124" s="15"/>
      <c r="E124" s="16" t="s">
        <v>446</v>
      </c>
      <c r="G124" s="8">
        <f t="shared" si="10"/>
        <v>3.5714285714285712E-2</v>
      </c>
      <c r="H124" s="73" t="s">
        <v>950</v>
      </c>
    </row>
    <row r="125" spans="1:8">
      <c r="A125" s="108"/>
      <c r="B125" s="3" t="s">
        <v>150</v>
      </c>
      <c r="C125" s="29" t="s">
        <v>152</v>
      </c>
      <c r="D125" s="15"/>
      <c r="E125" s="16" t="s">
        <v>447</v>
      </c>
      <c r="G125" s="8">
        <f t="shared" si="10"/>
        <v>3.5714285714285712E-2</v>
      </c>
      <c r="H125" s="73" t="s">
        <v>950</v>
      </c>
    </row>
    <row r="126" spans="1:8">
      <c r="A126" s="108"/>
      <c r="B126" s="3" t="s">
        <v>151</v>
      </c>
      <c r="C126" s="29" t="s">
        <v>149</v>
      </c>
      <c r="D126" s="15"/>
      <c r="E126" s="16" t="s">
        <v>448</v>
      </c>
      <c r="G126" s="8">
        <f t="shared" si="10"/>
        <v>3.5714285714285712E-2</v>
      </c>
      <c r="H126" s="73" t="s">
        <v>950</v>
      </c>
    </row>
    <row r="127" spans="1:8">
      <c r="A127" s="108"/>
      <c r="B127" s="3" t="s">
        <v>152</v>
      </c>
      <c r="C127" s="29" t="s">
        <v>131</v>
      </c>
      <c r="D127" s="15"/>
      <c r="E127" s="16" t="s">
        <v>449</v>
      </c>
      <c r="G127" s="8">
        <f t="shared" si="10"/>
        <v>3.5714285714285712E-2</v>
      </c>
      <c r="H127" s="73" t="s">
        <v>950</v>
      </c>
    </row>
    <row r="128" spans="1:8">
      <c r="A128" s="108"/>
      <c r="C128" s="29" t="s">
        <v>450</v>
      </c>
      <c r="D128" s="15"/>
      <c r="E128" s="16" t="s">
        <v>451</v>
      </c>
      <c r="G128" s="8">
        <f t="shared" si="10"/>
        <v>3.5714285714285712E-2</v>
      </c>
      <c r="H128" s="73" t="s">
        <v>950</v>
      </c>
    </row>
    <row r="129" spans="1:8">
      <c r="A129" s="108"/>
      <c r="C129" s="29" t="s">
        <v>452</v>
      </c>
      <c r="D129" s="15"/>
      <c r="E129" s="16" t="s">
        <v>453</v>
      </c>
      <c r="G129" s="8">
        <f t="shared" si="10"/>
        <v>3.5714285714285712E-2</v>
      </c>
      <c r="H129" s="73" t="s">
        <v>950</v>
      </c>
    </row>
    <row r="130" spans="1:8">
      <c r="A130" s="108"/>
      <c r="C130" s="29" t="s">
        <v>454</v>
      </c>
      <c r="D130" s="15"/>
      <c r="E130" s="16" t="s">
        <v>455</v>
      </c>
      <c r="G130" s="8">
        <f t="shared" si="10"/>
        <v>3.5714285714285712E-2</v>
      </c>
      <c r="H130" s="73" t="s">
        <v>950</v>
      </c>
    </row>
    <row r="131" spans="1:8">
      <c r="A131" s="108"/>
      <c r="C131" s="29" t="s">
        <v>456</v>
      </c>
      <c r="D131" s="15"/>
      <c r="E131" s="16" t="s">
        <v>457</v>
      </c>
      <c r="G131" s="8">
        <f t="shared" si="10"/>
        <v>3.5714285714285712E-2</v>
      </c>
      <c r="H131" s="73" t="s">
        <v>950</v>
      </c>
    </row>
    <row r="132" spans="1:8">
      <c r="A132" s="108"/>
      <c r="C132" s="29" t="s">
        <v>458</v>
      </c>
      <c r="D132" s="15"/>
      <c r="E132" s="16" t="s">
        <v>459</v>
      </c>
      <c r="G132" s="8">
        <f t="shared" si="10"/>
        <v>3.5714285714285712E-2</v>
      </c>
      <c r="H132" s="73" t="s">
        <v>950</v>
      </c>
    </row>
    <row r="133" spans="1:8">
      <c r="A133" s="108" t="s">
        <v>12</v>
      </c>
      <c r="B133" s="3" t="s">
        <v>153</v>
      </c>
      <c r="C133" s="19" t="s">
        <v>460</v>
      </c>
      <c r="D133" s="16"/>
      <c r="E133" s="19" t="s">
        <v>461</v>
      </c>
      <c r="G133" s="8">
        <f xml:space="preserve"> 1/ROWS(C133:C137)</f>
        <v>0.2</v>
      </c>
      <c r="H133" s="73" t="s">
        <v>950</v>
      </c>
    </row>
    <row r="134" spans="1:8">
      <c r="A134" s="108"/>
      <c r="B134" s="3" t="s">
        <v>154</v>
      </c>
      <c r="C134" s="29" t="s">
        <v>154</v>
      </c>
      <c r="D134" s="15"/>
      <c r="E134" s="16" t="s">
        <v>462</v>
      </c>
      <c r="G134" s="8">
        <f t="shared" ref="G134:G137" si="11" xml:space="preserve"> 1/ROWS(C134:C138)</f>
        <v>0.2</v>
      </c>
      <c r="H134" s="73" t="s">
        <v>950</v>
      </c>
    </row>
    <row r="135" spans="1:8">
      <c r="A135" s="108"/>
      <c r="C135" s="29" t="s">
        <v>153</v>
      </c>
      <c r="D135" s="15"/>
      <c r="E135" s="16"/>
      <c r="G135" s="8">
        <f t="shared" si="11"/>
        <v>0.2</v>
      </c>
      <c r="H135" s="73" t="s">
        <v>950</v>
      </c>
    </row>
    <row r="136" spans="1:8">
      <c r="A136" s="108"/>
      <c r="C136" s="29" t="s">
        <v>463</v>
      </c>
      <c r="D136" s="15"/>
      <c r="E136" s="16" t="s">
        <v>464</v>
      </c>
      <c r="G136" s="8">
        <f t="shared" si="11"/>
        <v>0.2</v>
      </c>
      <c r="H136" s="73" t="s">
        <v>950</v>
      </c>
    </row>
    <row r="137" spans="1:8">
      <c r="A137" s="108"/>
      <c r="C137" s="29" t="s">
        <v>465</v>
      </c>
      <c r="D137" s="15"/>
      <c r="E137" s="16" t="s">
        <v>466</v>
      </c>
      <c r="G137" s="8">
        <f t="shared" si="11"/>
        <v>0.2</v>
      </c>
      <c r="H137" s="73" t="s">
        <v>950</v>
      </c>
    </row>
    <row r="138" spans="1:8">
      <c r="A138" s="108" t="s">
        <v>13</v>
      </c>
      <c r="B138" s="3" t="s">
        <v>155</v>
      </c>
      <c r="C138" s="29" t="s">
        <v>163</v>
      </c>
      <c r="D138" s="15"/>
      <c r="E138" s="16" t="s">
        <v>467</v>
      </c>
      <c r="G138" s="8">
        <f xml:space="preserve"> 1/ROWS(C138:C158)</f>
        <v>4.7619047619047616E-2</v>
      </c>
      <c r="H138" s="73" t="s">
        <v>950</v>
      </c>
    </row>
    <row r="139" spans="1:8">
      <c r="A139" s="108"/>
      <c r="B139" s="3" t="s">
        <v>156</v>
      </c>
      <c r="C139" s="29" t="s">
        <v>156</v>
      </c>
      <c r="D139" s="15"/>
      <c r="E139" s="16" t="s">
        <v>468</v>
      </c>
      <c r="G139" s="8">
        <f t="shared" ref="G139:G158" si="12" xml:space="preserve"> 1/ROWS(C139:C159)</f>
        <v>4.7619047619047616E-2</v>
      </c>
      <c r="H139" s="73" t="s">
        <v>950</v>
      </c>
    </row>
    <row r="140" spans="1:8">
      <c r="A140" s="108"/>
      <c r="B140" s="3" t="s">
        <v>157</v>
      </c>
      <c r="C140" s="29" t="s">
        <v>167</v>
      </c>
      <c r="D140" s="15"/>
      <c r="E140" s="16" t="s">
        <v>469</v>
      </c>
      <c r="G140" s="8">
        <f t="shared" si="12"/>
        <v>4.7619047619047616E-2</v>
      </c>
      <c r="H140" s="73" t="s">
        <v>950</v>
      </c>
    </row>
    <row r="141" spans="1:8">
      <c r="A141" s="108"/>
      <c r="B141" s="3" t="s">
        <v>158</v>
      </c>
      <c r="C141" s="29" t="s">
        <v>166</v>
      </c>
      <c r="D141" s="15"/>
      <c r="E141" s="16" t="s">
        <v>470</v>
      </c>
      <c r="G141" s="8">
        <f t="shared" si="12"/>
        <v>4.7619047619047616E-2</v>
      </c>
      <c r="H141" s="73" t="s">
        <v>950</v>
      </c>
    </row>
    <row r="142" spans="1:8">
      <c r="A142" s="108"/>
      <c r="B142" s="3" t="s">
        <v>159</v>
      </c>
      <c r="C142" s="29" t="s">
        <v>175</v>
      </c>
      <c r="D142" s="15"/>
      <c r="E142" s="16" t="s">
        <v>471</v>
      </c>
      <c r="G142" s="8">
        <f t="shared" si="12"/>
        <v>4.7619047619047616E-2</v>
      </c>
      <c r="H142" s="73" t="s">
        <v>950</v>
      </c>
    </row>
    <row r="143" spans="1:8">
      <c r="A143" s="108"/>
      <c r="B143" s="3" t="s">
        <v>160</v>
      </c>
      <c r="C143" s="29" t="s">
        <v>164</v>
      </c>
      <c r="D143" s="15"/>
      <c r="E143" s="16" t="s">
        <v>472</v>
      </c>
      <c r="G143" s="8">
        <f t="shared" si="12"/>
        <v>4.7619047619047616E-2</v>
      </c>
      <c r="H143" s="73" t="s">
        <v>950</v>
      </c>
    </row>
    <row r="144" spans="1:8">
      <c r="A144" s="108"/>
      <c r="B144" s="3" t="s">
        <v>161</v>
      </c>
      <c r="C144" s="29" t="s">
        <v>171</v>
      </c>
      <c r="D144" s="15"/>
      <c r="E144" s="16" t="s">
        <v>473</v>
      </c>
      <c r="G144" s="8">
        <f t="shared" si="12"/>
        <v>4.7619047619047616E-2</v>
      </c>
      <c r="H144" s="73" t="s">
        <v>950</v>
      </c>
    </row>
    <row r="145" spans="1:8">
      <c r="A145" s="108"/>
      <c r="B145" s="3" t="s">
        <v>162</v>
      </c>
      <c r="C145" s="29" t="s">
        <v>174</v>
      </c>
      <c r="D145" s="32"/>
      <c r="E145" s="16" t="s">
        <v>474</v>
      </c>
      <c r="G145" s="8">
        <f t="shared" si="12"/>
        <v>4.7619047619047616E-2</v>
      </c>
      <c r="H145" s="73" t="s">
        <v>950</v>
      </c>
    </row>
    <row r="146" spans="1:8">
      <c r="A146" s="108"/>
      <c r="B146" s="3" t="s">
        <v>163</v>
      </c>
      <c r="C146" s="29" t="s">
        <v>173</v>
      </c>
      <c r="D146" s="15"/>
      <c r="E146" s="16" t="s">
        <v>475</v>
      </c>
      <c r="G146" s="8">
        <f t="shared" si="12"/>
        <v>4.7619047619047616E-2</v>
      </c>
      <c r="H146" s="73" t="s">
        <v>950</v>
      </c>
    </row>
    <row r="147" spans="1:8">
      <c r="A147" s="108"/>
      <c r="B147" s="3" t="s">
        <v>164</v>
      </c>
      <c r="C147" s="29" t="s">
        <v>172</v>
      </c>
      <c r="D147" s="15"/>
      <c r="E147" s="16" t="s">
        <v>476</v>
      </c>
      <c r="G147" s="8">
        <f t="shared" si="12"/>
        <v>4.7619047619047616E-2</v>
      </c>
      <c r="H147" s="73" t="s">
        <v>950</v>
      </c>
    </row>
    <row r="148" spans="1:8">
      <c r="A148" s="108"/>
      <c r="B148" s="3" t="s">
        <v>165</v>
      </c>
      <c r="C148" s="29" t="s">
        <v>161</v>
      </c>
      <c r="D148" s="32"/>
      <c r="E148" s="16" t="s">
        <v>477</v>
      </c>
      <c r="G148" s="8">
        <f t="shared" si="12"/>
        <v>4.7619047619047616E-2</v>
      </c>
      <c r="H148" s="73" t="s">
        <v>950</v>
      </c>
    </row>
    <row r="149" spans="1:8">
      <c r="A149" s="108"/>
      <c r="B149" s="3" t="s">
        <v>166</v>
      </c>
      <c r="C149" s="29" t="s">
        <v>162</v>
      </c>
      <c r="D149" s="15"/>
      <c r="E149" s="16" t="s">
        <v>478</v>
      </c>
      <c r="G149" s="8">
        <f t="shared" si="12"/>
        <v>4.7619047619047616E-2</v>
      </c>
      <c r="H149" s="73" t="s">
        <v>950</v>
      </c>
    </row>
    <row r="150" spans="1:8" ht="29.25">
      <c r="A150" s="108"/>
      <c r="B150" s="3" t="s">
        <v>167</v>
      </c>
      <c r="C150" s="29" t="s">
        <v>158</v>
      </c>
      <c r="D150" s="15"/>
      <c r="E150" s="16" t="s">
        <v>479</v>
      </c>
      <c r="G150" s="8">
        <f t="shared" si="12"/>
        <v>4.7619047619047616E-2</v>
      </c>
      <c r="H150" s="73" t="s">
        <v>950</v>
      </c>
    </row>
    <row r="151" spans="1:8">
      <c r="A151" s="108"/>
      <c r="B151" s="3" t="s">
        <v>168</v>
      </c>
      <c r="C151" s="29" t="s">
        <v>159</v>
      </c>
      <c r="D151" s="15"/>
      <c r="E151" s="16" t="s">
        <v>480</v>
      </c>
      <c r="G151" s="8">
        <f t="shared" si="12"/>
        <v>4.7619047619047616E-2</v>
      </c>
      <c r="H151" s="73" t="s">
        <v>950</v>
      </c>
    </row>
    <row r="152" spans="1:8">
      <c r="A152" s="108"/>
      <c r="B152" s="3" t="s">
        <v>169</v>
      </c>
      <c r="C152" s="29" t="s">
        <v>155</v>
      </c>
      <c r="D152" s="32"/>
      <c r="E152" s="16" t="s">
        <v>481</v>
      </c>
      <c r="G152" s="8">
        <f t="shared" si="12"/>
        <v>4.7619047619047616E-2</v>
      </c>
      <c r="H152" s="73" t="s">
        <v>950</v>
      </c>
    </row>
    <row r="153" spans="1:8">
      <c r="A153" s="108"/>
      <c r="B153" s="3" t="s">
        <v>170</v>
      </c>
      <c r="C153" s="29" t="s">
        <v>169</v>
      </c>
      <c r="D153" s="15"/>
      <c r="E153" s="16" t="s">
        <v>482</v>
      </c>
      <c r="G153" s="8">
        <f t="shared" si="12"/>
        <v>4.7619047619047616E-2</v>
      </c>
      <c r="H153" s="73" t="s">
        <v>950</v>
      </c>
    </row>
    <row r="154" spans="1:8">
      <c r="A154" s="108"/>
      <c r="B154" s="3" t="s">
        <v>171</v>
      </c>
      <c r="C154" s="29" t="s">
        <v>170</v>
      </c>
      <c r="D154" s="15"/>
      <c r="E154" s="16" t="s">
        <v>483</v>
      </c>
      <c r="G154" s="8">
        <f t="shared" si="12"/>
        <v>4.7619047619047616E-2</v>
      </c>
      <c r="H154" s="73" t="s">
        <v>950</v>
      </c>
    </row>
    <row r="155" spans="1:8">
      <c r="A155" s="108"/>
      <c r="B155" s="3" t="s">
        <v>172</v>
      </c>
      <c r="C155" s="29" t="s">
        <v>160</v>
      </c>
      <c r="D155" s="15"/>
      <c r="E155" s="16" t="s">
        <v>484</v>
      </c>
      <c r="G155" s="8">
        <f t="shared" si="12"/>
        <v>4.7619047619047616E-2</v>
      </c>
      <c r="H155" s="73" t="s">
        <v>950</v>
      </c>
    </row>
    <row r="156" spans="1:8">
      <c r="A156" s="108"/>
      <c r="B156" s="3" t="s">
        <v>173</v>
      </c>
      <c r="C156" s="29" t="s">
        <v>157</v>
      </c>
      <c r="D156" s="15"/>
      <c r="E156" s="16" t="s">
        <v>485</v>
      </c>
      <c r="G156" s="8">
        <f t="shared" si="12"/>
        <v>4.7619047619047616E-2</v>
      </c>
      <c r="H156" s="73" t="s">
        <v>950</v>
      </c>
    </row>
    <row r="157" spans="1:8">
      <c r="A157" s="108"/>
      <c r="B157" s="3" t="s">
        <v>174</v>
      </c>
      <c r="C157" s="29" t="s">
        <v>165</v>
      </c>
      <c r="D157" s="15"/>
      <c r="E157" s="16" t="s">
        <v>486</v>
      </c>
      <c r="G157" s="8">
        <f t="shared" si="12"/>
        <v>4.7619047619047616E-2</v>
      </c>
      <c r="H157" s="73" t="s">
        <v>950</v>
      </c>
    </row>
    <row r="158" spans="1:8">
      <c r="A158" s="108"/>
      <c r="B158" s="3" t="s">
        <v>175</v>
      </c>
      <c r="C158" s="29" t="s">
        <v>168</v>
      </c>
      <c r="D158" s="15"/>
      <c r="E158" s="16" t="s">
        <v>487</v>
      </c>
      <c r="G158" s="8">
        <f t="shared" si="12"/>
        <v>4.7619047619047616E-2</v>
      </c>
      <c r="H158" s="73" t="s">
        <v>950</v>
      </c>
    </row>
    <row r="159" spans="1:8">
      <c r="A159" s="26" t="s">
        <v>624</v>
      </c>
      <c r="C159" s="29" t="s">
        <v>488</v>
      </c>
      <c r="D159" s="15"/>
      <c r="E159" s="16" t="s">
        <v>489</v>
      </c>
      <c r="G159" s="8">
        <v>1</v>
      </c>
      <c r="H159" s="73" t="s">
        <v>950</v>
      </c>
    </row>
    <row r="160" spans="1:8">
      <c r="A160" s="26" t="s">
        <v>14</v>
      </c>
      <c r="B160" s="3" t="s">
        <v>176</v>
      </c>
      <c r="C160" s="29" t="s">
        <v>176</v>
      </c>
      <c r="D160" s="15"/>
      <c r="E160" s="16" t="s">
        <v>490</v>
      </c>
      <c r="G160" s="8">
        <v>1</v>
      </c>
      <c r="H160" s="73" t="s">
        <v>950</v>
      </c>
    </row>
    <row r="161" spans="1:8">
      <c r="A161" s="108" t="s">
        <v>623</v>
      </c>
      <c r="B161" s="3" t="s">
        <v>491</v>
      </c>
      <c r="C161" s="29" t="s">
        <v>491</v>
      </c>
      <c r="D161" s="15"/>
      <c r="E161" s="16" t="s">
        <v>492</v>
      </c>
      <c r="G161" s="8">
        <v>0.5</v>
      </c>
      <c r="H161" s="73" t="s">
        <v>950</v>
      </c>
    </row>
    <row r="162" spans="1:8">
      <c r="A162" s="108"/>
      <c r="B162" s="3" t="s">
        <v>493</v>
      </c>
      <c r="C162" s="29" t="s">
        <v>493</v>
      </c>
      <c r="D162" s="15" t="s">
        <v>732</v>
      </c>
      <c r="E162" s="16" t="s">
        <v>494</v>
      </c>
      <c r="G162" s="8">
        <v>0.5</v>
      </c>
      <c r="H162" s="73" t="s">
        <v>950</v>
      </c>
    </row>
    <row r="163" spans="1:8">
      <c r="A163" s="26" t="s">
        <v>15</v>
      </c>
      <c r="B163" s="3" t="s">
        <v>177</v>
      </c>
      <c r="C163" s="29" t="s">
        <v>177</v>
      </c>
      <c r="D163" s="15"/>
      <c r="E163" s="16" t="s">
        <v>15</v>
      </c>
      <c r="G163" s="8">
        <v>1</v>
      </c>
      <c r="H163" s="73" t="s">
        <v>950</v>
      </c>
    </row>
    <row r="164" spans="1:8">
      <c r="A164" s="108" t="s">
        <v>16</v>
      </c>
      <c r="B164" s="3" t="s">
        <v>178</v>
      </c>
      <c r="C164" s="29" t="s">
        <v>182</v>
      </c>
      <c r="D164" s="15"/>
      <c r="E164" s="16" t="s">
        <v>495</v>
      </c>
      <c r="G164" s="8">
        <f xml:space="preserve"> 1/ROWS(C164:C171)</f>
        <v>0.125</v>
      </c>
      <c r="H164" s="73" t="s">
        <v>950</v>
      </c>
    </row>
    <row r="165" spans="1:8">
      <c r="A165" s="108"/>
      <c r="B165" s="3" t="s">
        <v>179</v>
      </c>
      <c r="C165" s="29" t="s">
        <v>181</v>
      </c>
      <c r="D165" s="15"/>
      <c r="E165" s="16" t="s">
        <v>496</v>
      </c>
      <c r="G165" s="8">
        <f t="shared" ref="G165:G171" si="13" xml:space="preserve"> 1/ROWS(C165:C172)</f>
        <v>0.125</v>
      </c>
      <c r="H165" s="73" t="s">
        <v>950</v>
      </c>
    </row>
    <row r="166" spans="1:8">
      <c r="A166" s="108"/>
      <c r="B166" s="3" t="s">
        <v>180</v>
      </c>
      <c r="C166" s="29" t="s">
        <v>180</v>
      </c>
      <c r="D166" s="15"/>
      <c r="E166" s="16" t="s">
        <v>497</v>
      </c>
      <c r="G166" s="8">
        <f t="shared" si="13"/>
        <v>0.125</v>
      </c>
      <c r="H166" s="73" t="s">
        <v>950</v>
      </c>
    </row>
    <row r="167" spans="1:8">
      <c r="A167" s="108"/>
      <c r="B167" s="3" t="s">
        <v>181</v>
      </c>
      <c r="C167" s="29" t="s">
        <v>179</v>
      </c>
      <c r="D167" s="15"/>
      <c r="E167" s="16" t="s">
        <v>498</v>
      </c>
      <c r="G167" s="8">
        <f t="shared" si="13"/>
        <v>0.125</v>
      </c>
      <c r="H167" s="73" t="s">
        <v>950</v>
      </c>
    </row>
    <row r="168" spans="1:8">
      <c r="A168" s="108"/>
      <c r="B168" s="3" t="s">
        <v>182</v>
      </c>
      <c r="C168" s="29" t="s">
        <v>184</v>
      </c>
      <c r="D168" s="15"/>
      <c r="E168" s="16" t="s">
        <v>499</v>
      </c>
      <c r="G168" s="8">
        <f t="shared" si="13"/>
        <v>0.125</v>
      </c>
      <c r="H168" s="73" t="s">
        <v>950</v>
      </c>
    </row>
    <row r="169" spans="1:8">
      <c r="A169" s="108"/>
      <c r="B169" s="3" t="s">
        <v>183</v>
      </c>
      <c r="C169" s="29" t="s">
        <v>183</v>
      </c>
      <c r="D169" s="32"/>
      <c r="E169" s="16" t="s">
        <v>500</v>
      </c>
      <c r="G169" s="8">
        <f t="shared" si="13"/>
        <v>0.125</v>
      </c>
      <c r="H169" s="73" t="s">
        <v>950</v>
      </c>
    </row>
    <row r="170" spans="1:8">
      <c r="A170" s="108"/>
      <c r="B170" s="3" t="s">
        <v>184</v>
      </c>
      <c r="C170" s="29" t="s">
        <v>178</v>
      </c>
      <c r="D170" s="15"/>
      <c r="E170" s="16" t="s">
        <v>501</v>
      </c>
      <c r="G170" s="8">
        <f t="shared" si="13"/>
        <v>0.125</v>
      </c>
      <c r="H170" s="73" t="s">
        <v>950</v>
      </c>
    </row>
    <row r="171" spans="1:8">
      <c r="A171" s="108"/>
      <c r="B171" s="3" t="s">
        <v>185</v>
      </c>
      <c r="C171" s="29" t="s">
        <v>185</v>
      </c>
      <c r="D171" s="15"/>
      <c r="E171" s="16" t="s">
        <v>502</v>
      </c>
      <c r="G171" s="8">
        <f t="shared" si="13"/>
        <v>0.125</v>
      </c>
      <c r="H171" s="73" t="s">
        <v>950</v>
      </c>
    </row>
    <row r="172" spans="1:8">
      <c r="A172" s="26" t="s">
        <v>504</v>
      </c>
      <c r="C172" s="29" t="s">
        <v>503</v>
      </c>
      <c r="D172" s="15"/>
      <c r="E172" s="16" t="s">
        <v>504</v>
      </c>
      <c r="G172" s="8">
        <v>1</v>
      </c>
      <c r="H172" s="73" t="s">
        <v>950</v>
      </c>
    </row>
    <row r="173" spans="1:8">
      <c r="A173" s="108" t="s">
        <v>17</v>
      </c>
      <c r="B173" s="3" t="s">
        <v>186</v>
      </c>
      <c r="C173" s="29" t="s">
        <v>193</v>
      </c>
      <c r="D173" s="15" t="s">
        <v>728</v>
      </c>
      <c r="E173" s="16" t="s">
        <v>505</v>
      </c>
      <c r="G173" s="8">
        <f xml:space="preserve"> 1/ROWS(C173:C184)</f>
        <v>8.3333333333333329E-2</v>
      </c>
      <c r="H173" s="73" t="s">
        <v>950</v>
      </c>
    </row>
    <row r="174" spans="1:8">
      <c r="A174" s="108"/>
      <c r="B174" s="3" t="s">
        <v>187</v>
      </c>
      <c r="C174" s="29" t="s">
        <v>195</v>
      </c>
      <c r="D174" s="15"/>
      <c r="E174" s="16" t="s">
        <v>506</v>
      </c>
      <c r="G174" s="8">
        <f t="shared" ref="G174:G184" si="14" xml:space="preserve"> 1/ROWS(C174:C185)</f>
        <v>8.3333333333333329E-2</v>
      </c>
      <c r="H174" s="73" t="s">
        <v>950</v>
      </c>
    </row>
    <row r="175" spans="1:8">
      <c r="A175" s="108"/>
      <c r="B175" s="3" t="s">
        <v>188</v>
      </c>
      <c r="C175" s="29" t="s">
        <v>197</v>
      </c>
      <c r="D175" s="15"/>
      <c r="E175" s="16" t="s">
        <v>507</v>
      </c>
      <c r="G175" s="8">
        <f t="shared" si="14"/>
        <v>8.3333333333333329E-2</v>
      </c>
      <c r="H175" s="73" t="s">
        <v>950</v>
      </c>
    </row>
    <row r="176" spans="1:8">
      <c r="A176" s="108"/>
      <c r="B176" s="3" t="s">
        <v>189</v>
      </c>
      <c r="C176" s="29" t="s">
        <v>188</v>
      </c>
      <c r="D176" s="15"/>
      <c r="E176" s="16" t="s">
        <v>508</v>
      </c>
      <c r="G176" s="8">
        <f t="shared" si="14"/>
        <v>8.3333333333333329E-2</v>
      </c>
      <c r="H176" s="73" t="s">
        <v>950</v>
      </c>
    </row>
    <row r="177" spans="1:8">
      <c r="A177" s="108"/>
      <c r="B177" s="3" t="s">
        <v>190</v>
      </c>
      <c r="C177" s="29" t="s">
        <v>194</v>
      </c>
      <c r="D177" s="15"/>
      <c r="E177" s="16" t="s">
        <v>509</v>
      </c>
      <c r="G177" s="8">
        <f t="shared" si="14"/>
        <v>8.3333333333333329E-2</v>
      </c>
      <c r="H177" s="73" t="s">
        <v>950</v>
      </c>
    </row>
    <row r="178" spans="1:8">
      <c r="A178" s="108"/>
      <c r="B178" s="3" t="s">
        <v>191</v>
      </c>
      <c r="C178" s="29" t="s">
        <v>196</v>
      </c>
      <c r="D178" s="15"/>
      <c r="E178" s="16" t="s">
        <v>510</v>
      </c>
      <c r="G178" s="8">
        <f t="shared" si="14"/>
        <v>8.3333333333333329E-2</v>
      </c>
      <c r="H178" s="73" t="s">
        <v>950</v>
      </c>
    </row>
    <row r="179" spans="1:8">
      <c r="A179" s="108"/>
      <c r="B179" s="3" t="s">
        <v>192</v>
      </c>
      <c r="C179" s="29" t="s">
        <v>190</v>
      </c>
      <c r="D179" s="15"/>
      <c r="E179" s="16" t="s">
        <v>511</v>
      </c>
      <c r="G179" s="8">
        <f t="shared" si="14"/>
        <v>8.3333333333333329E-2</v>
      </c>
      <c r="H179" s="73" t="s">
        <v>950</v>
      </c>
    </row>
    <row r="180" spans="1:8">
      <c r="A180" s="108"/>
      <c r="B180" s="3" t="s">
        <v>193</v>
      </c>
      <c r="C180" s="29" t="s">
        <v>189</v>
      </c>
      <c r="D180" s="15"/>
      <c r="E180" s="16" t="s">
        <v>512</v>
      </c>
      <c r="G180" s="8">
        <f t="shared" si="14"/>
        <v>8.3333333333333329E-2</v>
      </c>
      <c r="H180" s="73" t="s">
        <v>950</v>
      </c>
    </row>
    <row r="181" spans="1:8">
      <c r="A181" s="108"/>
      <c r="B181" s="3" t="s">
        <v>194</v>
      </c>
      <c r="C181" s="29" t="s">
        <v>186</v>
      </c>
      <c r="D181" s="15"/>
      <c r="E181" s="16" t="s">
        <v>513</v>
      </c>
      <c r="G181" s="8">
        <f t="shared" si="14"/>
        <v>8.3333333333333329E-2</v>
      </c>
      <c r="H181" s="73" t="s">
        <v>950</v>
      </c>
    </row>
    <row r="182" spans="1:8">
      <c r="A182" s="108"/>
      <c r="B182" s="3" t="s">
        <v>195</v>
      </c>
      <c r="C182" s="29" t="s">
        <v>187</v>
      </c>
      <c r="D182" s="32"/>
      <c r="E182" s="16" t="s">
        <v>514</v>
      </c>
      <c r="G182" s="8">
        <f t="shared" si="14"/>
        <v>8.3333333333333329E-2</v>
      </c>
      <c r="H182" s="73" t="s">
        <v>950</v>
      </c>
    </row>
    <row r="183" spans="1:8">
      <c r="A183" s="108"/>
      <c r="B183" s="3" t="s">
        <v>196</v>
      </c>
      <c r="C183" s="29" t="s">
        <v>191</v>
      </c>
      <c r="D183" s="32"/>
      <c r="E183" s="16" t="s">
        <v>515</v>
      </c>
      <c r="G183" s="8">
        <f t="shared" si="14"/>
        <v>8.3333333333333329E-2</v>
      </c>
      <c r="H183" s="73" t="s">
        <v>950</v>
      </c>
    </row>
    <row r="184" spans="1:8">
      <c r="A184" s="108"/>
      <c r="B184" s="3" t="s">
        <v>197</v>
      </c>
      <c r="C184" s="29" t="s">
        <v>192</v>
      </c>
      <c r="D184" s="32"/>
      <c r="E184" s="16" t="s">
        <v>516</v>
      </c>
      <c r="G184" s="8">
        <f t="shared" si="14"/>
        <v>8.3333333333333329E-2</v>
      </c>
      <c r="H184" s="73" t="s">
        <v>950</v>
      </c>
    </row>
    <row r="185" spans="1:8">
      <c r="A185" s="108" t="s">
        <v>18</v>
      </c>
      <c r="B185" s="3" t="s">
        <v>198</v>
      </c>
      <c r="C185" s="29" t="s">
        <v>206</v>
      </c>
      <c r="D185" s="15"/>
      <c r="E185" s="16" t="s">
        <v>517</v>
      </c>
      <c r="G185" s="8">
        <f xml:space="preserve"> 1/ROWS(C185:C193)</f>
        <v>0.1111111111111111</v>
      </c>
      <c r="H185" s="73" t="s">
        <v>950</v>
      </c>
    </row>
    <row r="186" spans="1:8">
      <c r="A186" s="108"/>
      <c r="B186" s="3" t="s">
        <v>199</v>
      </c>
      <c r="C186" s="29" t="s">
        <v>204</v>
      </c>
      <c r="D186" s="15"/>
      <c r="E186" s="16" t="s">
        <v>518</v>
      </c>
      <c r="G186" s="8">
        <f t="shared" ref="G186:G193" si="15" xml:space="preserve"> 1/ROWS(C186:C194)</f>
        <v>0.1111111111111111</v>
      </c>
      <c r="H186" s="73" t="s">
        <v>950</v>
      </c>
    </row>
    <row r="187" spans="1:8">
      <c r="A187" s="108"/>
      <c r="B187" s="3" t="s">
        <v>200</v>
      </c>
      <c r="C187" s="29" t="s">
        <v>203</v>
      </c>
      <c r="D187" s="15"/>
      <c r="E187" s="16" t="s">
        <v>519</v>
      </c>
      <c r="G187" s="8">
        <f t="shared" si="15"/>
        <v>0.1111111111111111</v>
      </c>
      <c r="H187" s="73" t="s">
        <v>950</v>
      </c>
    </row>
    <row r="188" spans="1:8">
      <c r="A188" s="108"/>
      <c r="B188" s="3" t="s">
        <v>201</v>
      </c>
      <c r="C188" s="29" t="s">
        <v>205</v>
      </c>
      <c r="D188" s="15"/>
      <c r="E188" s="16" t="s">
        <v>520</v>
      </c>
      <c r="G188" s="8">
        <f t="shared" si="15"/>
        <v>0.1111111111111111</v>
      </c>
      <c r="H188" s="73" t="s">
        <v>950</v>
      </c>
    </row>
    <row r="189" spans="1:8">
      <c r="A189" s="108"/>
      <c r="B189" s="3" t="s">
        <v>202</v>
      </c>
      <c r="C189" s="29" t="s">
        <v>200</v>
      </c>
      <c r="D189" s="15"/>
      <c r="E189" s="16" t="s">
        <v>521</v>
      </c>
      <c r="G189" s="8">
        <f t="shared" si="15"/>
        <v>0.1111111111111111</v>
      </c>
      <c r="H189" s="73" t="s">
        <v>950</v>
      </c>
    </row>
    <row r="190" spans="1:8">
      <c r="A190" s="108"/>
      <c r="B190" s="3" t="s">
        <v>203</v>
      </c>
      <c r="C190" s="29" t="s">
        <v>202</v>
      </c>
      <c r="D190" s="15"/>
      <c r="E190" s="16" t="s">
        <v>522</v>
      </c>
      <c r="G190" s="8">
        <f t="shared" si="15"/>
        <v>0.1111111111111111</v>
      </c>
      <c r="H190" s="73" t="s">
        <v>950</v>
      </c>
    </row>
    <row r="191" spans="1:8">
      <c r="A191" s="108"/>
      <c r="B191" s="3" t="s">
        <v>204</v>
      </c>
      <c r="C191" s="29" t="s">
        <v>201</v>
      </c>
      <c r="D191" s="15"/>
      <c r="E191" s="16" t="s">
        <v>523</v>
      </c>
      <c r="G191" s="8">
        <f t="shared" si="15"/>
        <v>0.1111111111111111</v>
      </c>
      <c r="H191" s="73" t="s">
        <v>950</v>
      </c>
    </row>
    <row r="192" spans="1:8">
      <c r="A192" s="108"/>
      <c r="B192" s="3" t="s">
        <v>205</v>
      </c>
      <c r="C192" s="29" t="s">
        <v>199</v>
      </c>
      <c r="D192" s="15"/>
      <c r="E192" s="16" t="s">
        <v>524</v>
      </c>
      <c r="G192" s="8">
        <f t="shared" si="15"/>
        <v>0.1111111111111111</v>
      </c>
      <c r="H192" s="73" t="s">
        <v>950</v>
      </c>
    </row>
    <row r="193" spans="1:8">
      <c r="A193" s="108"/>
      <c r="B193" s="3" t="s">
        <v>206</v>
      </c>
      <c r="C193" s="29" t="s">
        <v>198</v>
      </c>
      <c r="D193" s="15"/>
      <c r="E193" s="16" t="s">
        <v>525</v>
      </c>
      <c r="G193" s="8">
        <f t="shared" si="15"/>
        <v>0.1111111111111111</v>
      </c>
      <c r="H193" s="73" t="s">
        <v>950</v>
      </c>
    </row>
    <row r="194" spans="1:8">
      <c r="A194" s="108" t="s">
        <v>19</v>
      </c>
      <c r="B194" s="3" t="s">
        <v>207</v>
      </c>
      <c r="C194" s="29" t="s">
        <v>219</v>
      </c>
      <c r="D194" s="15"/>
      <c r="E194" s="16" t="s">
        <v>526</v>
      </c>
      <c r="G194" s="8">
        <f xml:space="preserve"> 1/ROWS(C194:C210)</f>
        <v>5.8823529411764705E-2</v>
      </c>
      <c r="H194" s="73" t="s">
        <v>950</v>
      </c>
    </row>
    <row r="195" spans="1:8">
      <c r="A195" s="108"/>
      <c r="B195" s="3" t="s">
        <v>208</v>
      </c>
      <c r="C195" s="29" t="s">
        <v>210</v>
      </c>
      <c r="D195" s="15" t="s">
        <v>733</v>
      </c>
      <c r="E195" s="16" t="s">
        <v>527</v>
      </c>
      <c r="G195" s="8">
        <f xml:space="preserve"> 1/ROWS(C195:C211)</f>
        <v>5.8823529411764705E-2</v>
      </c>
      <c r="H195" s="73" t="s">
        <v>950</v>
      </c>
    </row>
    <row r="196" spans="1:8">
      <c r="A196" s="108"/>
      <c r="B196" s="3" t="s">
        <v>209</v>
      </c>
      <c r="C196" s="29" t="s">
        <v>221</v>
      </c>
      <c r="D196" s="15"/>
      <c r="E196" s="16" t="s">
        <v>528</v>
      </c>
      <c r="G196" s="8">
        <f t="shared" ref="G196:G210" si="16" xml:space="preserve"> 1/ROWS(C196:C212)</f>
        <v>5.8823529411764705E-2</v>
      </c>
      <c r="H196" s="73" t="s">
        <v>950</v>
      </c>
    </row>
    <row r="197" spans="1:8">
      <c r="A197" s="108"/>
      <c r="B197" s="3" t="s">
        <v>210</v>
      </c>
      <c r="C197" s="29" t="s">
        <v>207</v>
      </c>
      <c r="D197" s="15"/>
      <c r="E197" s="16" t="s">
        <v>529</v>
      </c>
      <c r="G197" s="8">
        <f t="shared" si="16"/>
        <v>5.8823529411764705E-2</v>
      </c>
      <c r="H197" s="73" t="s">
        <v>950</v>
      </c>
    </row>
    <row r="198" spans="1:8">
      <c r="A198" s="108"/>
      <c r="B198" s="3" t="s">
        <v>211</v>
      </c>
      <c r="C198" s="29" t="s">
        <v>216</v>
      </c>
      <c r="D198" s="15"/>
      <c r="E198" s="16" t="s">
        <v>530</v>
      </c>
      <c r="G198" s="8">
        <f t="shared" si="16"/>
        <v>5.8823529411764705E-2</v>
      </c>
      <c r="H198" s="73" t="s">
        <v>950</v>
      </c>
    </row>
    <row r="199" spans="1:8">
      <c r="A199" s="108"/>
      <c r="B199" s="3" t="s">
        <v>212</v>
      </c>
      <c r="C199" s="29" t="s">
        <v>218</v>
      </c>
      <c r="D199" s="15"/>
      <c r="E199" s="16" t="s">
        <v>531</v>
      </c>
      <c r="G199" s="8">
        <f t="shared" si="16"/>
        <v>5.8823529411764705E-2</v>
      </c>
      <c r="H199" s="73" t="s">
        <v>950</v>
      </c>
    </row>
    <row r="200" spans="1:8">
      <c r="A200" s="108"/>
      <c r="B200" s="3" t="s">
        <v>213</v>
      </c>
      <c r="C200" s="29" t="s">
        <v>213</v>
      </c>
      <c r="D200" s="15"/>
      <c r="E200" s="16" t="s">
        <v>532</v>
      </c>
      <c r="G200" s="8">
        <f t="shared" si="16"/>
        <v>5.8823529411764705E-2</v>
      </c>
      <c r="H200" s="73" t="s">
        <v>950</v>
      </c>
    </row>
    <row r="201" spans="1:8">
      <c r="A201" s="108"/>
      <c r="B201" s="3" t="s">
        <v>214</v>
      </c>
      <c r="C201" s="29" t="s">
        <v>220</v>
      </c>
      <c r="D201" s="15"/>
      <c r="E201" s="16" t="s">
        <v>533</v>
      </c>
      <c r="G201" s="8">
        <f t="shared" si="16"/>
        <v>5.8823529411764705E-2</v>
      </c>
      <c r="H201" s="73" t="s">
        <v>950</v>
      </c>
    </row>
    <row r="202" spans="1:8">
      <c r="A202" s="108"/>
      <c r="B202" s="3" t="s">
        <v>215</v>
      </c>
      <c r="C202" s="29" t="s">
        <v>208</v>
      </c>
      <c r="D202" s="15"/>
      <c r="E202" s="16" t="s">
        <v>534</v>
      </c>
      <c r="G202" s="8">
        <f t="shared" si="16"/>
        <v>5.8823529411764705E-2</v>
      </c>
      <c r="H202" s="73" t="s">
        <v>950</v>
      </c>
    </row>
    <row r="203" spans="1:8">
      <c r="A203" s="108"/>
      <c r="B203" s="3" t="s">
        <v>216</v>
      </c>
      <c r="C203" s="29" t="s">
        <v>211</v>
      </c>
      <c r="D203" s="15"/>
      <c r="E203" s="16" t="s">
        <v>535</v>
      </c>
      <c r="G203" s="8">
        <f t="shared" si="16"/>
        <v>5.8823529411764705E-2</v>
      </c>
      <c r="H203" s="73" t="s">
        <v>950</v>
      </c>
    </row>
    <row r="204" spans="1:8">
      <c r="A204" s="108"/>
      <c r="B204" s="3" t="s">
        <v>217</v>
      </c>
      <c r="C204" s="29" t="s">
        <v>223</v>
      </c>
      <c r="D204" s="15"/>
      <c r="E204" s="16" t="s">
        <v>536</v>
      </c>
      <c r="G204" s="8">
        <f t="shared" si="16"/>
        <v>5.8823529411764705E-2</v>
      </c>
      <c r="H204" s="73" t="s">
        <v>950</v>
      </c>
    </row>
    <row r="205" spans="1:8">
      <c r="A205" s="108"/>
      <c r="B205" s="3" t="s">
        <v>218</v>
      </c>
      <c r="C205" s="29" t="s">
        <v>222</v>
      </c>
      <c r="D205" s="15"/>
      <c r="E205" s="16" t="s">
        <v>537</v>
      </c>
      <c r="G205" s="8">
        <f t="shared" si="16"/>
        <v>5.8823529411764705E-2</v>
      </c>
      <c r="H205" s="73" t="s">
        <v>950</v>
      </c>
    </row>
    <row r="206" spans="1:8">
      <c r="A206" s="108"/>
      <c r="B206" s="3" t="s">
        <v>219</v>
      </c>
      <c r="C206" s="29" t="s">
        <v>217</v>
      </c>
      <c r="D206" s="15"/>
      <c r="E206" s="16" t="s">
        <v>538</v>
      </c>
      <c r="G206" s="8">
        <f t="shared" si="16"/>
        <v>5.8823529411764705E-2</v>
      </c>
      <c r="H206" s="73" t="s">
        <v>950</v>
      </c>
    </row>
    <row r="207" spans="1:8">
      <c r="A207" s="108"/>
      <c r="B207" s="3" t="s">
        <v>220</v>
      </c>
      <c r="C207" s="29" t="s">
        <v>209</v>
      </c>
      <c r="D207" s="15"/>
      <c r="E207" s="16" t="s">
        <v>539</v>
      </c>
      <c r="G207" s="8">
        <f t="shared" si="16"/>
        <v>5.8823529411764705E-2</v>
      </c>
      <c r="H207" s="73" t="s">
        <v>950</v>
      </c>
    </row>
    <row r="208" spans="1:8">
      <c r="A208" s="108"/>
      <c r="B208" s="3" t="s">
        <v>221</v>
      </c>
      <c r="C208" s="29" t="s">
        <v>212</v>
      </c>
      <c r="D208" s="15"/>
      <c r="E208" s="16" t="s">
        <v>540</v>
      </c>
      <c r="G208" s="8">
        <f t="shared" si="16"/>
        <v>5.8823529411764705E-2</v>
      </c>
      <c r="H208" s="73" t="s">
        <v>950</v>
      </c>
    </row>
    <row r="209" spans="1:8">
      <c r="A209" s="108"/>
      <c r="B209" s="3" t="s">
        <v>222</v>
      </c>
      <c r="C209" s="29" t="s">
        <v>214</v>
      </c>
      <c r="D209" s="15"/>
      <c r="E209" s="16" t="s">
        <v>541</v>
      </c>
      <c r="G209" s="8">
        <f t="shared" si="16"/>
        <v>5.8823529411764705E-2</v>
      </c>
      <c r="H209" s="73" t="s">
        <v>950</v>
      </c>
    </row>
    <row r="210" spans="1:8">
      <c r="A210" s="108"/>
      <c r="B210" s="3" t="s">
        <v>223</v>
      </c>
      <c r="C210" s="29" t="s">
        <v>215</v>
      </c>
      <c r="D210" s="32"/>
      <c r="E210" s="16" t="s">
        <v>542</v>
      </c>
      <c r="G210" s="8">
        <f t="shared" si="16"/>
        <v>5.8823529411764705E-2</v>
      </c>
      <c r="H210" s="73" t="s">
        <v>950</v>
      </c>
    </row>
    <row r="211" spans="1:8">
      <c r="A211" s="108" t="s">
        <v>20</v>
      </c>
      <c r="B211" s="3" t="s">
        <v>224</v>
      </c>
      <c r="C211" s="29" t="s">
        <v>226</v>
      </c>
      <c r="D211" s="15"/>
      <c r="E211" s="16" t="s">
        <v>543</v>
      </c>
      <c r="G211" s="8">
        <f xml:space="preserve"> 1/ROWS(C211:C217)</f>
        <v>0.14285714285714285</v>
      </c>
      <c r="H211" s="73" t="s">
        <v>950</v>
      </c>
    </row>
    <row r="212" spans="1:8">
      <c r="A212" s="108"/>
      <c r="B212" s="3" t="s">
        <v>225</v>
      </c>
      <c r="C212" s="29" t="s">
        <v>225</v>
      </c>
      <c r="D212" s="15"/>
      <c r="E212" s="16" t="s">
        <v>544</v>
      </c>
      <c r="G212" s="8">
        <f t="shared" ref="G212:G217" si="17" xml:space="preserve"> 1/ROWS(C212:C218)</f>
        <v>0.14285714285714285</v>
      </c>
      <c r="H212" s="73" t="s">
        <v>950</v>
      </c>
    </row>
    <row r="213" spans="1:8">
      <c r="A213" s="108"/>
      <c r="B213" s="3" t="s">
        <v>226</v>
      </c>
      <c r="C213" s="29" t="s">
        <v>228</v>
      </c>
      <c r="D213" s="15"/>
      <c r="E213" s="16" t="s">
        <v>545</v>
      </c>
      <c r="G213" s="8">
        <f t="shared" si="17"/>
        <v>0.14285714285714285</v>
      </c>
      <c r="H213" s="73" t="s">
        <v>950</v>
      </c>
    </row>
    <row r="214" spans="1:8">
      <c r="A214" s="108"/>
      <c r="B214" s="3" t="s">
        <v>227</v>
      </c>
      <c r="C214" s="29" t="s">
        <v>224</v>
      </c>
      <c r="D214" s="15"/>
      <c r="E214" s="16" t="s">
        <v>546</v>
      </c>
      <c r="G214" s="8">
        <f t="shared" si="17"/>
        <v>0.14285714285714285</v>
      </c>
      <c r="H214" s="73" t="s">
        <v>950</v>
      </c>
    </row>
    <row r="215" spans="1:8">
      <c r="A215" s="108"/>
      <c r="B215" s="3" t="s">
        <v>228</v>
      </c>
      <c r="C215" s="29" t="s">
        <v>227</v>
      </c>
      <c r="D215" s="32"/>
      <c r="E215" s="16" t="s">
        <v>547</v>
      </c>
      <c r="G215" s="8">
        <f t="shared" si="17"/>
        <v>0.14285714285714285</v>
      </c>
      <c r="H215" s="73" t="s">
        <v>950</v>
      </c>
    </row>
    <row r="216" spans="1:8">
      <c r="A216" s="108"/>
      <c r="C216" s="29" t="s">
        <v>548</v>
      </c>
      <c r="D216" s="15"/>
      <c r="E216" s="16" t="s">
        <v>549</v>
      </c>
      <c r="G216" s="8">
        <f t="shared" si="17"/>
        <v>0.14285714285714285</v>
      </c>
      <c r="H216" s="73" t="s">
        <v>950</v>
      </c>
    </row>
    <row r="217" spans="1:8">
      <c r="A217" s="108"/>
      <c r="C217" s="29" t="s">
        <v>550</v>
      </c>
      <c r="D217" s="15"/>
      <c r="E217" s="16" t="s">
        <v>551</v>
      </c>
      <c r="G217" s="8">
        <f t="shared" si="17"/>
        <v>0.14285714285714285</v>
      </c>
      <c r="H217" s="73" t="s">
        <v>950</v>
      </c>
    </row>
    <row r="218" spans="1:8">
      <c r="A218" s="108" t="s">
        <v>21</v>
      </c>
      <c r="B218" s="3" t="s">
        <v>229</v>
      </c>
      <c r="C218" s="29" t="s">
        <v>231</v>
      </c>
      <c r="D218" s="15"/>
      <c r="E218" s="16" t="s">
        <v>552</v>
      </c>
      <c r="G218" s="8">
        <f xml:space="preserve"> 1/ROWS(C218:C225)</f>
        <v>0.125</v>
      </c>
      <c r="H218" s="73" t="s">
        <v>950</v>
      </c>
    </row>
    <row r="219" spans="1:8">
      <c r="A219" s="108"/>
      <c r="B219" s="3" t="s">
        <v>230</v>
      </c>
      <c r="C219" s="29" t="s">
        <v>236</v>
      </c>
      <c r="D219" s="15" t="s">
        <v>730</v>
      </c>
      <c r="E219" s="16" t="s">
        <v>553</v>
      </c>
      <c r="G219" s="8">
        <f xml:space="preserve"> 1/ROWS(C219:C226)</f>
        <v>0.125</v>
      </c>
      <c r="H219" s="73" t="s">
        <v>950</v>
      </c>
    </row>
    <row r="220" spans="1:8">
      <c r="A220" s="108"/>
      <c r="B220" s="3" t="s">
        <v>231</v>
      </c>
      <c r="C220" s="29" t="s">
        <v>232</v>
      </c>
      <c r="D220" s="15"/>
      <c r="E220" s="16" t="s">
        <v>554</v>
      </c>
      <c r="G220" s="8">
        <f t="shared" ref="G220:G225" si="18" xml:space="preserve"> 1/ROWS(C220:C227)</f>
        <v>0.125</v>
      </c>
      <c r="H220" s="73" t="s">
        <v>950</v>
      </c>
    </row>
    <row r="221" spans="1:8">
      <c r="A221" s="108"/>
      <c r="B221" s="3" t="s">
        <v>232</v>
      </c>
      <c r="C221" s="29" t="s">
        <v>230</v>
      </c>
      <c r="D221" s="15"/>
      <c r="E221" s="16" t="s">
        <v>555</v>
      </c>
      <c r="G221" s="8">
        <f t="shared" si="18"/>
        <v>0.125</v>
      </c>
      <c r="H221" s="73" t="s">
        <v>950</v>
      </c>
    </row>
    <row r="222" spans="1:8">
      <c r="A222" s="108"/>
      <c r="B222" s="3" t="s">
        <v>233</v>
      </c>
      <c r="C222" s="29" t="s">
        <v>234</v>
      </c>
      <c r="D222" s="15"/>
      <c r="E222" s="16" t="s">
        <v>556</v>
      </c>
      <c r="G222" s="8">
        <f t="shared" si="18"/>
        <v>0.125</v>
      </c>
      <c r="H222" s="73" t="s">
        <v>950</v>
      </c>
    </row>
    <row r="223" spans="1:8">
      <c r="A223" s="108"/>
      <c r="B223" s="3" t="s">
        <v>234</v>
      </c>
      <c r="C223" s="29" t="s">
        <v>233</v>
      </c>
      <c r="D223" s="15"/>
      <c r="E223" s="16" t="s">
        <v>557</v>
      </c>
      <c r="G223" s="8">
        <f t="shared" si="18"/>
        <v>0.125</v>
      </c>
      <c r="H223" s="73" t="s">
        <v>950</v>
      </c>
    </row>
    <row r="224" spans="1:8">
      <c r="A224" s="108"/>
      <c r="B224" s="3" t="s">
        <v>235</v>
      </c>
      <c r="C224" s="29" t="s">
        <v>229</v>
      </c>
      <c r="D224" s="15"/>
      <c r="E224" s="16" t="s">
        <v>558</v>
      </c>
      <c r="G224" s="8">
        <f t="shared" si="18"/>
        <v>0.125</v>
      </c>
      <c r="H224" s="73" t="s">
        <v>950</v>
      </c>
    </row>
    <row r="225" spans="1:8">
      <c r="A225" s="108"/>
      <c r="B225" s="3" t="s">
        <v>236</v>
      </c>
      <c r="C225" s="29" t="s">
        <v>235</v>
      </c>
      <c r="D225" s="15"/>
      <c r="E225" s="16" t="s">
        <v>559</v>
      </c>
      <c r="G225" s="8">
        <f t="shared" si="18"/>
        <v>0.125</v>
      </c>
      <c r="H225" s="73" t="s">
        <v>950</v>
      </c>
    </row>
    <row r="226" spans="1:8">
      <c r="A226" s="108" t="s">
        <v>22</v>
      </c>
      <c r="B226" s="3" t="s">
        <v>237</v>
      </c>
      <c r="C226" s="29" t="s">
        <v>237</v>
      </c>
      <c r="D226" s="15"/>
      <c r="E226" s="16" t="s">
        <v>560</v>
      </c>
      <c r="G226" s="8">
        <f xml:space="preserve"> 1/ROWS(C226:C227)</f>
        <v>0.5</v>
      </c>
      <c r="H226" s="73" t="s">
        <v>950</v>
      </c>
    </row>
    <row r="227" spans="1:8">
      <c r="A227" s="108"/>
      <c r="B227" s="3" t="s">
        <v>238</v>
      </c>
      <c r="C227" s="29" t="s">
        <v>238</v>
      </c>
      <c r="D227" s="15"/>
      <c r="E227" s="16" t="s">
        <v>561</v>
      </c>
      <c r="G227" s="8">
        <f xml:space="preserve"> 1/ROWS(C227:C228)</f>
        <v>0.5</v>
      </c>
      <c r="H227" s="73" t="s">
        <v>950</v>
      </c>
    </row>
    <row r="228" spans="1:8">
      <c r="A228" s="108" t="s">
        <v>23</v>
      </c>
      <c r="B228" s="3" t="s">
        <v>239</v>
      </c>
      <c r="C228" s="29" t="s">
        <v>241</v>
      </c>
      <c r="D228" s="15"/>
      <c r="E228" s="16" t="s">
        <v>562</v>
      </c>
      <c r="G228" s="8">
        <f xml:space="preserve"> 1/ROWS(C228:C231)</f>
        <v>0.25</v>
      </c>
      <c r="H228" s="73" t="s">
        <v>950</v>
      </c>
    </row>
    <row r="229" spans="1:8">
      <c r="A229" s="108"/>
      <c r="B229" s="3" t="s">
        <v>240</v>
      </c>
      <c r="C229" s="29" t="s">
        <v>239</v>
      </c>
      <c r="D229" s="15"/>
      <c r="E229" s="16" t="s">
        <v>563</v>
      </c>
      <c r="G229" s="8">
        <f t="shared" ref="G229:G231" si="19" xml:space="preserve"> 1/ROWS(C229:C232)</f>
        <v>0.25</v>
      </c>
      <c r="H229" s="73" t="s">
        <v>950</v>
      </c>
    </row>
    <row r="230" spans="1:8">
      <c r="A230" s="108"/>
      <c r="B230" s="3" t="s">
        <v>241</v>
      </c>
      <c r="C230" s="29" t="s">
        <v>242</v>
      </c>
      <c r="D230" s="15"/>
      <c r="E230" s="16" t="s">
        <v>564</v>
      </c>
      <c r="G230" s="8">
        <f t="shared" si="19"/>
        <v>0.25</v>
      </c>
      <c r="H230" s="73" t="s">
        <v>950</v>
      </c>
    </row>
    <row r="231" spans="1:8">
      <c r="A231" s="108"/>
      <c r="B231" s="3" t="s">
        <v>242</v>
      </c>
      <c r="C231" s="29" t="s">
        <v>240</v>
      </c>
      <c r="D231" s="15"/>
      <c r="E231" s="16" t="s">
        <v>565</v>
      </c>
      <c r="G231" s="8">
        <f t="shared" si="19"/>
        <v>0.25</v>
      </c>
      <c r="H231" s="73" t="s">
        <v>950</v>
      </c>
    </row>
    <row r="232" spans="1:8">
      <c r="A232" s="108" t="s">
        <v>24</v>
      </c>
      <c r="B232" s="3" t="s">
        <v>243</v>
      </c>
      <c r="C232" s="29" t="s">
        <v>243</v>
      </c>
      <c r="D232" s="15"/>
      <c r="E232" s="16" t="s">
        <v>566</v>
      </c>
      <c r="G232" s="8">
        <f xml:space="preserve"> 1/ROWS(C232:C236)</f>
        <v>0.2</v>
      </c>
      <c r="H232" s="73" t="s">
        <v>950</v>
      </c>
    </row>
    <row r="233" spans="1:8">
      <c r="A233" s="108"/>
      <c r="B233" s="3" t="s">
        <v>244</v>
      </c>
      <c r="C233" s="29" t="s">
        <v>245</v>
      </c>
      <c r="D233" s="15"/>
      <c r="E233" s="16" t="s">
        <v>567</v>
      </c>
      <c r="G233" s="8">
        <f t="shared" ref="G233:G236" si="20" xml:space="preserve"> 1/ROWS(C233:C237)</f>
        <v>0.2</v>
      </c>
      <c r="H233" s="73" t="s">
        <v>950</v>
      </c>
    </row>
    <row r="234" spans="1:8">
      <c r="A234" s="108"/>
      <c r="B234" s="3" t="s">
        <v>245</v>
      </c>
      <c r="C234" s="29" t="s">
        <v>244</v>
      </c>
      <c r="D234" s="15"/>
      <c r="E234" s="16" t="s">
        <v>568</v>
      </c>
      <c r="G234" s="8">
        <f t="shared" si="20"/>
        <v>0.2</v>
      </c>
      <c r="H234" s="73" t="s">
        <v>950</v>
      </c>
    </row>
    <row r="235" spans="1:8">
      <c r="A235" s="108"/>
      <c r="B235" s="3" t="s">
        <v>246</v>
      </c>
      <c r="C235" s="29" t="s">
        <v>246</v>
      </c>
      <c r="D235" s="15"/>
      <c r="E235" s="16" t="s">
        <v>569</v>
      </c>
      <c r="G235" s="8">
        <f t="shared" si="20"/>
        <v>0.2</v>
      </c>
      <c r="H235" s="73" t="s">
        <v>950</v>
      </c>
    </row>
    <row r="236" spans="1:8">
      <c r="A236" s="108"/>
      <c r="C236" s="29" t="s">
        <v>570</v>
      </c>
      <c r="D236" s="15"/>
      <c r="E236" s="16" t="s">
        <v>571</v>
      </c>
      <c r="G236" s="8">
        <f t="shared" si="20"/>
        <v>0.2</v>
      </c>
      <c r="H236" s="73" t="s">
        <v>950</v>
      </c>
    </row>
    <row r="237" spans="1:8">
      <c r="A237" s="108" t="s">
        <v>25</v>
      </c>
      <c r="B237" s="3" t="s">
        <v>247</v>
      </c>
      <c r="C237" s="29" t="s">
        <v>247</v>
      </c>
      <c r="D237" s="15"/>
      <c r="E237" s="16" t="s">
        <v>572</v>
      </c>
      <c r="G237" s="8">
        <f xml:space="preserve"> 1/ROWS(C237:C244)</f>
        <v>0.125</v>
      </c>
      <c r="H237" s="73" t="s">
        <v>950</v>
      </c>
    </row>
    <row r="238" spans="1:8">
      <c r="A238" s="108"/>
      <c r="B238" s="3" t="s">
        <v>248</v>
      </c>
      <c r="C238" s="29" t="s">
        <v>248</v>
      </c>
      <c r="D238" s="15"/>
      <c r="E238" s="16" t="s">
        <v>573</v>
      </c>
      <c r="G238" s="8">
        <f t="shared" ref="G238:G244" si="21" xml:space="preserve"> 1/ROWS(C238:C245)</f>
        <v>0.125</v>
      </c>
      <c r="H238" s="73" t="s">
        <v>950</v>
      </c>
    </row>
    <row r="239" spans="1:8">
      <c r="A239" s="108"/>
      <c r="B239" s="3" t="s">
        <v>249</v>
      </c>
      <c r="C239" s="29" t="s">
        <v>252</v>
      </c>
      <c r="D239" s="15"/>
      <c r="E239" s="16" t="s">
        <v>574</v>
      </c>
      <c r="G239" s="8">
        <f t="shared" si="21"/>
        <v>0.125</v>
      </c>
      <c r="H239" s="73" t="s">
        <v>950</v>
      </c>
    </row>
    <row r="240" spans="1:8">
      <c r="A240" s="108"/>
      <c r="B240" s="3" t="s">
        <v>250</v>
      </c>
      <c r="C240" s="29" t="s">
        <v>254</v>
      </c>
      <c r="D240" s="15"/>
      <c r="E240" s="16" t="s">
        <v>575</v>
      </c>
      <c r="G240" s="8">
        <f t="shared" si="21"/>
        <v>0.125</v>
      </c>
      <c r="H240" s="73" t="s">
        <v>950</v>
      </c>
    </row>
    <row r="241" spans="1:8">
      <c r="A241" s="108"/>
      <c r="B241" s="3" t="s">
        <v>251</v>
      </c>
      <c r="C241" s="29" t="s">
        <v>251</v>
      </c>
      <c r="D241" s="32"/>
      <c r="E241" s="16" t="s">
        <v>576</v>
      </c>
      <c r="G241" s="8">
        <f t="shared" si="21"/>
        <v>0.125</v>
      </c>
      <c r="H241" s="73" t="s">
        <v>950</v>
      </c>
    </row>
    <row r="242" spans="1:8">
      <c r="A242" s="108"/>
      <c r="B242" s="3" t="s">
        <v>252</v>
      </c>
      <c r="C242" s="29" t="s">
        <v>253</v>
      </c>
      <c r="D242" s="15"/>
      <c r="E242" s="16" t="s">
        <v>577</v>
      </c>
      <c r="G242" s="8">
        <f t="shared" si="21"/>
        <v>0.125</v>
      </c>
      <c r="H242" s="73" t="s">
        <v>950</v>
      </c>
    </row>
    <row r="243" spans="1:8">
      <c r="A243" s="108"/>
      <c r="B243" s="3" t="s">
        <v>253</v>
      </c>
      <c r="C243" s="29" t="s">
        <v>250</v>
      </c>
      <c r="D243" s="15"/>
      <c r="E243" s="16" t="s">
        <v>578</v>
      </c>
      <c r="G243" s="8">
        <f t="shared" si="21"/>
        <v>0.125</v>
      </c>
      <c r="H243" s="73" t="s">
        <v>950</v>
      </c>
    </row>
    <row r="244" spans="1:8">
      <c r="A244" s="108"/>
      <c r="B244" s="3" t="s">
        <v>254</v>
      </c>
      <c r="C244" s="29" t="s">
        <v>249</v>
      </c>
      <c r="D244" s="15"/>
      <c r="E244" s="16" t="s">
        <v>579</v>
      </c>
      <c r="G244" s="8">
        <f t="shared" si="21"/>
        <v>0.125</v>
      </c>
      <c r="H244" s="73" t="s">
        <v>950</v>
      </c>
    </row>
    <row r="245" spans="1:8">
      <c r="A245" s="108" t="s">
        <v>26</v>
      </c>
      <c r="B245" s="3" t="s">
        <v>255</v>
      </c>
      <c r="C245" s="29" t="s">
        <v>294</v>
      </c>
      <c r="D245" s="32"/>
      <c r="E245" s="16" t="s">
        <v>580</v>
      </c>
      <c r="G245" s="8">
        <f xml:space="preserve"> 1/ROWS(C245:C285)</f>
        <v>2.4390243902439025E-2</v>
      </c>
      <c r="H245" s="73" t="s">
        <v>950</v>
      </c>
    </row>
    <row r="246" spans="1:8" ht="29.25">
      <c r="A246" s="108"/>
      <c r="B246" s="3" t="s">
        <v>256</v>
      </c>
      <c r="C246" s="29" t="s">
        <v>268</v>
      </c>
      <c r="D246" s="15"/>
      <c r="E246" s="16" t="s">
        <v>581</v>
      </c>
      <c r="G246" s="8">
        <f t="shared" ref="G246:G252" si="22" xml:space="preserve"> 1/ROWS(C246:C286)</f>
        <v>2.4390243902439025E-2</v>
      </c>
      <c r="H246" s="73" t="s">
        <v>950</v>
      </c>
    </row>
    <row r="247" spans="1:8">
      <c r="A247" s="108"/>
      <c r="B247" s="3" t="s">
        <v>257</v>
      </c>
      <c r="C247" s="29" t="s">
        <v>280</v>
      </c>
      <c r="D247" s="15"/>
      <c r="E247" s="16" t="s">
        <v>582</v>
      </c>
      <c r="G247" s="8">
        <f t="shared" si="22"/>
        <v>2.4390243902439025E-2</v>
      </c>
      <c r="H247" s="73" t="s">
        <v>950</v>
      </c>
    </row>
    <row r="248" spans="1:8">
      <c r="A248" s="108"/>
      <c r="B248" s="3" t="s">
        <v>258</v>
      </c>
      <c r="C248" s="29" t="s">
        <v>270</v>
      </c>
      <c r="D248" s="15"/>
      <c r="E248" s="16" t="s">
        <v>583</v>
      </c>
      <c r="G248" s="8">
        <f t="shared" si="22"/>
        <v>2.4390243902439025E-2</v>
      </c>
      <c r="H248" s="73" t="s">
        <v>950</v>
      </c>
    </row>
    <row r="249" spans="1:8">
      <c r="A249" s="108"/>
      <c r="B249" s="3" t="s">
        <v>259</v>
      </c>
      <c r="C249" s="29" t="s">
        <v>285</v>
      </c>
      <c r="D249" s="15"/>
      <c r="E249" s="16" t="s">
        <v>584</v>
      </c>
      <c r="G249" s="8">
        <f t="shared" si="22"/>
        <v>2.4390243902439025E-2</v>
      </c>
      <c r="H249" s="73" t="s">
        <v>950</v>
      </c>
    </row>
    <row r="250" spans="1:8">
      <c r="A250" s="108"/>
      <c r="B250" s="3" t="s">
        <v>260</v>
      </c>
      <c r="C250" s="29" t="s">
        <v>264</v>
      </c>
      <c r="D250" s="15"/>
      <c r="E250" s="16" t="s">
        <v>585</v>
      </c>
      <c r="G250" s="8">
        <f t="shared" si="22"/>
        <v>2.4390243902439025E-2</v>
      </c>
      <c r="H250" s="73" t="s">
        <v>950</v>
      </c>
    </row>
    <row r="251" spans="1:8">
      <c r="A251" s="108"/>
      <c r="B251" s="3" t="s">
        <v>261</v>
      </c>
      <c r="C251" s="29" t="s">
        <v>269</v>
      </c>
      <c r="D251" s="15"/>
      <c r="E251" s="16" t="s">
        <v>586</v>
      </c>
      <c r="G251" s="8">
        <f t="shared" si="22"/>
        <v>2.4390243902439025E-2</v>
      </c>
      <c r="H251" s="73" t="s">
        <v>950</v>
      </c>
    </row>
    <row r="252" spans="1:8" ht="29.25">
      <c r="A252" s="108"/>
      <c r="B252" s="3" t="s">
        <v>262</v>
      </c>
      <c r="C252" s="29" t="s">
        <v>277</v>
      </c>
      <c r="D252" s="15"/>
      <c r="E252" s="16" t="s">
        <v>587</v>
      </c>
      <c r="G252" s="8">
        <f t="shared" si="22"/>
        <v>2.4390243902439025E-2</v>
      </c>
      <c r="H252" s="73" t="s">
        <v>950</v>
      </c>
    </row>
    <row r="253" spans="1:8">
      <c r="A253" s="108"/>
      <c r="B253" s="3" t="s">
        <v>263</v>
      </c>
      <c r="C253" s="29" t="s">
        <v>295</v>
      </c>
      <c r="D253" s="15"/>
      <c r="E253" s="16" t="s">
        <v>588</v>
      </c>
      <c r="G253" s="8">
        <f t="shared" ref="G253:G285" si="23" xml:space="preserve"> 1/ROWS(C253:C297)</f>
        <v>2.2222222222222223E-2</v>
      </c>
      <c r="H253" s="73" t="s">
        <v>950</v>
      </c>
    </row>
    <row r="254" spans="1:8">
      <c r="A254" s="108"/>
      <c r="B254" s="3" t="s">
        <v>264</v>
      </c>
      <c r="C254" s="29" t="s">
        <v>266</v>
      </c>
      <c r="D254" s="15"/>
      <c r="E254" s="16" t="s">
        <v>589</v>
      </c>
      <c r="G254" s="8">
        <f t="shared" si="23"/>
        <v>2.2222222222222223E-2</v>
      </c>
      <c r="H254" s="73" t="s">
        <v>950</v>
      </c>
    </row>
    <row r="255" spans="1:8">
      <c r="A255" s="108"/>
      <c r="B255" s="3" t="s">
        <v>265</v>
      </c>
      <c r="C255" s="29" t="s">
        <v>263</v>
      </c>
      <c r="D255" s="15"/>
      <c r="E255" s="16" t="s">
        <v>590</v>
      </c>
      <c r="G255" s="8">
        <f t="shared" si="23"/>
        <v>2.2222222222222223E-2</v>
      </c>
      <c r="H255" s="73" t="s">
        <v>950</v>
      </c>
    </row>
    <row r="256" spans="1:8">
      <c r="A256" s="108"/>
      <c r="B256" s="3" t="s">
        <v>266</v>
      </c>
      <c r="C256" s="29" t="s">
        <v>279</v>
      </c>
      <c r="D256" s="15"/>
      <c r="E256" s="16" t="s">
        <v>591</v>
      </c>
      <c r="G256" s="8">
        <f t="shared" si="23"/>
        <v>2.2222222222222223E-2</v>
      </c>
      <c r="H256" s="73" t="s">
        <v>950</v>
      </c>
    </row>
    <row r="257" spans="1:8" ht="29.25">
      <c r="A257" s="108"/>
      <c r="B257" s="3" t="s">
        <v>267</v>
      </c>
      <c r="C257" s="29" t="s">
        <v>272</v>
      </c>
      <c r="D257" s="15"/>
      <c r="E257" s="16" t="s">
        <v>592</v>
      </c>
      <c r="G257" s="8">
        <f t="shared" si="23"/>
        <v>2.2222222222222223E-2</v>
      </c>
      <c r="H257" s="73" t="s">
        <v>950</v>
      </c>
    </row>
    <row r="258" spans="1:8">
      <c r="A258" s="108"/>
      <c r="B258" s="3" t="s">
        <v>268</v>
      </c>
      <c r="C258" s="29" t="s">
        <v>271</v>
      </c>
      <c r="D258" s="15"/>
      <c r="E258" s="16" t="s">
        <v>593</v>
      </c>
      <c r="G258" s="8">
        <f t="shared" si="23"/>
        <v>2.2222222222222223E-2</v>
      </c>
      <c r="H258" s="73" t="s">
        <v>950</v>
      </c>
    </row>
    <row r="259" spans="1:8" ht="29.25">
      <c r="A259" s="108"/>
      <c r="B259" s="3" t="s">
        <v>269</v>
      </c>
      <c r="C259" s="29" t="s">
        <v>275</v>
      </c>
      <c r="D259" s="15"/>
      <c r="E259" s="16" t="s">
        <v>594</v>
      </c>
      <c r="G259" s="8">
        <f t="shared" si="23"/>
        <v>2.2222222222222223E-2</v>
      </c>
      <c r="H259" s="73" t="s">
        <v>950</v>
      </c>
    </row>
    <row r="260" spans="1:8">
      <c r="A260" s="108"/>
      <c r="B260" s="3" t="s">
        <v>270</v>
      </c>
      <c r="C260" s="29" t="s">
        <v>267</v>
      </c>
      <c r="D260" s="15"/>
      <c r="E260" s="16" t="s">
        <v>595</v>
      </c>
      <c r="G260" s="8">
        <f t="shared" si="23"/>
        <v>2.2222222222222223E-2</v>
      </c>
      <c r="H260" s="73" t="s">
        <v>950</v>
      </c>
    </row>
    <row r="261" spans="1:8">
      <c r="A261" s="108"/>
      <c r="B261" s="3" t="s">
        <v>271</v>
      </c>
      <c r="C261" s="29" t="s">
        <v>274</v>
      </c>
      <c r="D261" s="15"/>
      <c r="E261" s="16" t="s">
        <v>596</v>
      </c>
      <c r="G261" s="8">
        <f t="shared" si="23"/>
        <v>2.2222222222222223E-2</v>
      </c>
      <c r="H261" s="73" t="s">
        <v>950</v>
      </c>
    </row>
    <row r="262" spans="1:8">
      <c r="A262" s="108"/>
      <c r="B262" s="3" t="s">
        <v>272</v>
      </c>
      <c r="C262" s="29" t="s">
        <v>282</v>
      </c>
      <c r="D262" s="15"/>
      <c r="E262" s="16" t="s">
        <v>597</v>
      </c>
      <c r="G262" s="8">
        <f t="shared" si="23"/>
        <v>2.2222222222222223E-2</v>
      </c>
      <c r="H262" s="73" t="s">
        <v>950</v>
      </c>
    </row>
    <row r="263" spans="1:8">
      <c r="A263" s="108"/>
      <c r="B263" s="3" t="s">
        <v>273</v>
      </c>
      <c r="C263" s="29" t="s">
        <v>287</v>
      </c>
      <c r="D263" s="15"/>
      <c r="E263" s="16" t="s">
        <v>598</v>
      </c>
      <c r="G263" s="8">
        <f t="shared" si="23"/>
        <v>2.2222222222222223E-2</v>
      </c>
      <c r="H263" s="73" t="s">
        <v>950</v>
      </c>
    </row>
    <row r="264" spans="1:8">
      <c r="A264" s="108"/>
      <c r="B264" s="3" t="s">
        <v>274</v>
      </c>
      <c r="C264" s="29" t="s">
        <v>265</v>
      </c>
      <c r="D264" s="15"/>
      <c r="E264" s="16" t="s">
        <v>599</v>
      </c>
      <c r="G264" s="8">
        <f t="shared" si="23"/>
        <v>2.2222222222222223E-2</v>
      </c>
      <c r="H264" s="73" t="s">
        <v>950</v>
      </c>
    </row>
    <row r="265" spans="1:8">
      <c r="A265" s="108"/>
      <c r="B265" s="3" t="s">
        <v>275</v>
      </c>
      <c r="C265" s="29" t="s">
        <v>293</v>
      </c>
      <c r="D265" s="15"/>
      <c r="E265" s="16" t="s">
        <v>600</v>
      </c>
      <c r="G265" s="8">
        <f t="shared" si="23"/>
        <v>2.2222222222222223E-2</v>
      </c>
      <c r="H265" s="73" t="s">
        <v>950</v>
      </c>
    </row>
    <row r="266" spans="1:8">
      <c r="A266" s="108"/>
      <c r="B266" s="3" t="s">
        <v>276</v>
      </c>
      <c r="C266" s="29" t="s">
        <v>292</v>
      </c>
      <c r="D266" s="15"/>
      <c r="E266" s="16" t="s">
        <v>601</v>
      </c>
      <c r="G266" s="8">
        <f t="shared" si="23"/>
        <v>2.2222222222222223E-2</v>
      </c>
      <c r="H266" s="73" t="s">
        <v>950</v>
      </c>
    </row>
    <row r="267" spans="1:8" ht="29.25">
      <c r="A267" s="108"/>
      <c r="B267" s="3" t="s">
        <v>277</v>
      </c>
      <c r="C267" s="29" t="s">
        <v>291</v>
      </c>
      <c r="D267" s="15"/>
      <c r="E267" s="16" t="s">
        <v>602</v>
      </c>
      <c r="G267" s="8">
        <f t="shared" si="23"/>
        <v>2.2222222222222223E-2</v>
      </c>
      <c r="H267" s="73" t="s">
        <v>950</v>
      </c>
    </row>
    <row r="268" spans="1:8">
      <c r="A268" s="108"/>
      <c r="B268" s="3" t="s">
        <v>278</v>
      </c>
      <c r="C268" s="29" t="s">
        <v>290</v>
      </c>
      <c r="D268" s="15"/>
      <c r="E268" s="16" t="s">
        <v>603</v>
      </c>
      <c r="G268" s="8">
        <f t="shared" si="23"/>
        <v>2.2222222222222223E-2</v>
      </c>
      <c r="H268" s="73" t="s">
        <v>950</v>
      </c>
    </row>
    <row r="269" spans="1:8" ht="29.25">
      <c r="A269" s="108"/>
      <c r="B269" s="3" t="s">
        <v>279</v>
      </c>
      <c r="C269" s="29" t="s">
        <v>289</v>
      </c>
      <c r="D269" s="15"/>
      <c r="E269" s="16" t="s">
        <v>604</v>
      </c>
      <c r="G269" s="8">
        <f t="shared" si="23"/>
        <v>2.2222222222222223E-2</v>
      </c>
      <c r="H269" s="73" t="s">
        <v>950</v>
      </c>
    </row>
    <row r="270" spans="1:8" ht="29.25">
      <c r="A270" s="108"/>
      <c r="B270" s="3" t="s">
        <v>280</v>
      </c>
      <c r="C270" s="29" t="s">
        <v>286</v>
      </c>
      <c r="D270" s="15"/>
      <c r="E270" s="16" t="s">
        <v>605</v>
      </c>
      <c r="G270" s="8">
        <f t="shared" si="23"/>
        <v>2.2222222222222223E-2</v>
      </c>
      <c r="H270" s="73" t="s">
        <v>950</v>
      </c>
    </row>
    <row r="271" spans="1:8">
      <c r="A271" s="108"/>
      <c r="B271" s="3" t="s">
        <v>281</v>
      </c>
      <c r="C271" s="29" t="s">
        <v>283</v>
      </c>
      <c r="D271" s="15"/>
      <c r="E271" s="16" t="s">
        <v>606</v>
      </c>
      <c r="G271" s="8">
        <f t="shared" si="23"/>
        <v>2.2222222222222223E-2</v>
      </c>
      <c r="H271" s="73" t="s">
        <v>950</v>
      </c>
    </row>
    <row r="272" spans="1:8">
      <c r="A272" s="108"/>
      <c r="B272" s="3" t="s">
        <v>282</v>
      </c>
      <c r="C272" s="29" t="s">
        <v>276</v>
      </c>
      <c r="D272" s="15"/>
      <c r="E272" s="16" t="s">
        <v>607</v>
      </c>
      <c r="G272" s="8">
        <f t="shared" si="23"/>
        <v>2.2222222222222223E-2</v>
      </c>
      <c r="H272" s="73" t="s">
        <v>950</v>
      </c>
    </row>
    <row r="273" spans="1:8">
      <c r="A273" s="108"/>
      <c r="B273" s="3" t="s">
        <v>283</v>
      </c>
      <c r="C273" s="29" t="s">
        <v>273</v>
      </c>
      <c r="D273" s="15"/>
      <c r="E273" s="16" t="s">
        <v>608</v>
      </c>
      <c r="G273" s="8">
        <f t="shared" si="23"/>
        <v>2.2222222222222223E-2</v>
      </c>
      <c r="H273" s="73" t="s">
        <v>950</v>
      </c>
    </row>
    <row r="274" spans="1:8" ht="29.25">
      <c r="A274" s="108"/>
      <c r="B274" s="3" t="s">
        <v>284</v>
      </c>
      <c r="C274" s="29" t="s">
        <v>288</v>
      </c>
      <c r="D274" s="15"/>
      <c r="E274" s="16" t="s">
        <v>609</v>
      </c>
      <c r="G274" s="8">
        <f t="shared" si="23"/>
        <v>2.2222222222222223E-2</v>
      </c>
      <c r="H274" s="73" t="s">
        <v>950</v>
      </c>
    </row>
    <row r="275" spans="1:8">
      <c r="A275" s="108"/>
      <c r="B275" s="3" t="s">
        <v>285</v>
      </c>
      <c r="C275" s="29" t="s">
        <v>284</v>
      </c>
      <c r="D275" s="15"/>
      <c r="E275" s="16" t="s">
        <v>610</v>
      </c>
      <c r="G275" s="8">
        <f t="shared" si="23"/>
        <v>2.2222222222222223E-2</v>
      </c>
      <c r="H275" s="73" t="s">
        <v>950</v>
      </c>
    </row>
    <row r="276" spans="1:8">
      <c r="A276" s="108"/>
      <c r="B276" s="3" t="s">
        <v>286</v>
      </c>
      <c r="C276" s="29" t="s">
        <v>281</v>
      </c>
      <c r="D276" s="15"/>
      <c r="E276" s="16" t="s">
        <v>611</v>
      </c>
      <c r="G276" s="8">
        <f t="shared" si="23"/>
        <v>2.2222222222222223E-2</v>
      </c>
      <c r="H276" s="73" t="s">
        <v>950</v>
      </c>
    </row>
    <row r="277" spans="1:8">
      <c r="A277" s="108"/>
      <c r="B277" s="3" t="s">
        <v>287</v>
      </c>
      <c r="C277" s="29" t="s">
        <v>278</v>
      </c>
      <c r="D277" s="15"/>
      <c r="E277" s="16" t="s">
        <v>612</v>
      </c>
      <c r="G277" s="8">
        <f t="shared" si="23"/>
        <v>2.2222222222222223E-2</v>
      </c>
      <c r="H277" s="73" t="s">
        <v>950</v>
      </c>
    </row>
    <row r="278" spans="1:8">
      <c r="A278" s="108"/>
      <c r="B278" s="3" t="s">
        <v>288</v>
      </c>
      <c r="C278" s="29" t="s">
        <v>255</v>
      </c>
      <c r="D278" s="15"/>
      <c r="E278" s="16" t="s">
        <v>613</v>
      </c>
      <c r="G278" s="8">
        <f t="shared" si="23"/>
        <v>2.2222222222222223E-2</v>
      </c>
      <c r="H278" s="73" t="s">
        <v>950</v>
      </c>
    </row>
    <row r="279" spans="1:8">
      <c r="A279" s="108"/>
      <c r="B279" s="3" t="s">
        <v>289</v>
      </c>
      <c r="C279" s="29" t="s">
        <v>256</v>
      </c>
      <c r="D279" s="15"/>
      <c r="E279" s="16" t="s">
        <v>614</v>
      </c>
      <c r="G279" s="8">
        <f t="shared" si="23"/>
        <v>2.2222222222222223E-2</v>
      </c>
      <c r="H279" s="73" t="s">
        <v>950</v>
      </c>
    </row>
    <row r="280" spans="1:8">
      <c r="A280" s="108"/>
      <c r="B280" s="3" t="s">
        <v>290</v>
      </c>
      <c r="C280" s="29" t="s">
        <v>261</v>
      </c>
      <c r="D280" s="15"/>
      <c r="E280" s="16" t="s">
        <v>615</v>
      </c>
      <c r="G280" s="8">
        <f t="shared" si="23"/>
        <v>2.2222222222222223E-2</v>
      </c>
      <c r="H280" s="73" t="s">
        <v>950</v>
      </c>
    </row>
    <row r="281" spans="1:8">
      <c r="A281" s="108"/>
      <c r="B281" s="3" t="s">
        <v>291</v>
      </c>
      <c r="C281" s="29" t="s">
        <v>259</v>
      </c>
      <c r="D281" s="15"/>
      <c r="E281" s="16" t="s">
        <v>616</v>
      </c>
      <c r="G281" s="8">
        <f t="shared" si="23"/>
        <v>2.2222222222222223E-2</v>
      </c>
      <c r="H281" s="73" t="s">
        <v>950</v>
      </c>
    </row>
    <row r="282" spans="1:8">
      <c r="A282" s="108"/>
      <c r="B282" s="3" t="s">
        <v>292</v>
      </c>
      <c r="C282" s="29" t="s">
        <v>260</v>
      </c>
      <c r="D282" s="31"/>
      <c r="E282" s="16" t="s">
        <v>617</v>
      </c>
      <c r="G282" s="8">
        <f t="shared" si="23"/>
        <v>2.2222222222222223E-2</v>
      </c>
      <c r="H282" s="73" t="s">
        <v>950</v>
      </c>
    </row>
    <row r="283" spans="1:8">
      <c r="A283" s="108"/>
      <c r="B283" s="3" t="s">
        <v>293</v>
      </c>
      <c r="C283" s="29" t="s">
        <v>258</v>
      </c>
      <c r="D283" s="15"/>
      <c r="E283" s="16" t="s">
        <v>618</v>
      </c>
      <c r="G283" s="8">
        <f t="shared" si="23"/>
        <v>2.2222222222222223E-2</v>
      </c>
      <c r="H283" s="73" t="s">
        <v>950</v>
      </c>
    </row>
    <row r="284" spans="1:8">
      <c r="A284" s="108"/>
      <c r="B284" s="3" t="s">
        <v>294</v>
      </c>
      <c r="C284" s="29" t="s">
        <v>257</v>
      </c>
      <c r="D284" s="15"/>
      <c r="E284" s="16" t="s">
        <v>619</v>
      </c>
      <c r="G284" s="8">
        <f t="shared" si="23"/>
        <v>2.2222222222222223E-2</v>
      </c>
      <c r="H284" s="73" t="s">
        <v>950</v>
      </c>
    </row>
    <row r="285" spans="1:8">
      <c r="A285" s="108"/>
      <c r="B285" s="3" t="s">
        <v>295</v>
      </c>
      <c r="C285" s="29" t="s">
        <v>262</v>
      </c>
      <c r="D285" s="15"/>
      <c r="E285" s="16" t="s">
        <v>620</v>
      </c>
      <c r="G285" s="8">
        <f t="shared" si="23"/>
        <v>2.2222222222222223E-2</v>
      </c>
      <c r="H285" s="73" t="s">
        <v>950</v>
      </c>
    </row>
    <row r="286" spans="1:8">
      <c r="A286" s="108" t="s">
        <v>27</v>
      </c>
      <c r="B286" s="3" t="s">
        <v>296</v>
      </c>
      <c r="C286" s="21" t="s">
        <v>298</v>
      </c>
      <c r="E286" s="19" t="s">
        <v>629</v>
      </c>
      <c r="G286" s="8">
        <f xml:space="preserve"> 1/ROWS(C286:C296)</f>
        <v>9.0909090909090912E-2</v>
      </c>
      <c r="H286" s="73" t="s">
        <v>950</v>
      </c>
    </row>
    <row r="287" spans="1:8">
      <c r="A287" s="108"/>
      <c r="B287" s="3" t="s">
        <v>297</v>
      </c>
      <c r="C287" s="19" t="s">
        <v>297</v>
      </c>
      <c r="D287" s="3" t="s">
        <v>729</v>
      </c>
      <c r="E287" s="19" t="s">
        <v>630</v>
      </c>
      <c r="G287" s="8">
        <f t="shared" ref="G287:G296" si="24" xml:space="preserve"> 1/ROWS(C287:C297)</f>
        <v>9.0909090909090912E-2</v>
      </c>
      <c r="H287" s="73" t="s">
        <v>950</v>
      </c>
    </row>
    <row r="288" spans="1:8">
      <c r="A288" s="108"/>
      <c r="B288" s="3" t="s">
        <v>298</v>
      </c>
      <c r="C288" s="19" t="s">
        <v>299</v>
      </c>
      <c r="E288" s="19" t="s">
        <v>631</v>
      </c>
      <c r="G288" s="8">
        <f t="shared" si="24"/>
        <v>9.0909090909090912E-2</v>
      </c>
      <c r="H288" s="73" t="s">
        <v>950</v>
      </c>
    </row>
    <row r="289" spans="1:8">
      <c r="A289" s="108"/>
      <c r="B289" s="3" t="s">
        <v>299</v>
      </c>
      <c r="C289" s="29" t="s">
        <v>625</v>
      </c>
      <c r="E289" s="19" t="s">
        <v>632</v>
      </c>
      <c r="G289" s="8">
        <f t="shared" si="24"/>
        <v>9.0909090909090912E-2</v>
      </c>
      <c r="H289" s="73" t="s">
        <v>950</v>
      </c>
    </row>
    <row r="290" spans="1:8">
      <c r="A290" s="108"/>
      <c r="B290" s="3" t="s">
        <v>300</v>
      </c>
      <c r="C290" s="21" t="s">
        <v>626</v>
      </c>
      <c r="E290" s="19" t="s">
        <v>633</v>
      </c>
      <c r="G290" s="8">
        <f t="shared" si="24"/>
        <v>9.0909090909090912E-2</v>
      </c>
      <c r="H290" s="73" t="s">
        <v>950</v>
      </c>
    </row>
    <row r="291" spans="1:8">
      <c r="A291" s="108"/>
      <c r="B291" s="3" t="s">
        <v>301</v>
      </c>
      <c r="C291" s="21" t="s">
        <v>627</v>
      </c>
      <c r="E291" s="19" t="s">
        <v>634</v>
      </c>
      <c r="G291" s="8">
        <f t="shared" si="24"/>
        <v>9.0909090909090912E-2</v>
      </c>
      <c r="H291" s="73" t="s">
        <v>950</v>
      </c>
    </row>
    <row r="292" spans="1:8">
      <c r="A292" s="108"/>
      <c r="B292" s="3" t="s">
        <v>302</v>
      </c>
      <c r="C292" s="21" t="s">
        <v>628</v>
      </c>
      <c r="E292" s="19" t="s">
        <v>635</v>
      </c>
      <c r="G292" s="8">
        <f t="shared" si="24"/>
        <v>9.0909090909090912E-2</v>
      </c>
      <c r="H292" s="73" t="s">
        <v>950</v>
      </c>
    </row>
    <row r="293" spans="1:8">
      <c r="A293" s="108"/>
      <c r="C293" s="12" t="s">
        <v>302</v>
      </c>
      <c r="E293" s="19"/>
      <c r="G293" s="8">
        <f t="shared" si="24"/>
        <v>9.0909090909090912E-2</v>
      </c>
      <c r="H293" s="73" t="s">
        <v>950</v>
      </c>
    </row>
    <row r="294" spans="1:8">
      <c r="A294" s="108"/>
      <c r="C294" s="12" t="s">
        <v>301</v>
      </c>
      <c r="E294" s="19"/>
      <c r="G294" s="8">
        <f t="shared" si="24"/>
        <v>9.0909090909090912E-2</v>
      </c>
      <c r="H294" s="73" t="s">
        <v>950</v>
      </c>
    </row>
    <row r="295" spans="1:8">
      <c r="A295" s="108"/>
      <c r="C295" s="12" t="s">
        <v>300</v>
      </c>
      <c r="E295" s="19"/>
      <c r="G295" s="8">
        <f t="shared" si="24"/>
        <v>9.0909090909090912E-2</v>
      </c>
      <c r="H295" s="73" t="s">
        <v>950</v>
      </c>
    </row>
    <row r="296" spans="1:8">
      <c r="A296" s="108"/>
      <c r="C296" s="12" t="s">
        <v>296</v>
      </c>
      <c r="E296" s="19"/>
      <c r="G296" s="8">
        <f t="shared" si="24"/>
        <v>9.0909090909090912E-2</v>
      </c>
      <c r="H296" s="73" t="s">
        <v>950</v>
      </c>
    </row>
    <row r="297" spans="1:8">
      <c r="A297" s="108" t="s">
        <v>636</v>
      </c>
      <c r="B297" s="3" t="s">
        <v>303</v>
      </c>
      <c r="C297" s="21" t="s">
        <v>305</v>
      </c>
      <c r="D297" s="20"/>
      <c r="E297" s="21" t="s">
        <v>637</v>
      </c>
      <c r="G297" s="8">
        <f xml:space="preserve"> 1/ROWS(C297:C303)</f>
        <v>0.14285714285714285</v>
      </c>
      <c r="H297" s="73" t="s">
        <v>950</v>
      </c>
    </row>
    <row r="298" spans="1:8">
      <c r="A298" s="108"/>
      <c r="B298" s="3" t="s">
        <v>304</v>
      </c>
      <c r="C298" s="21" t="s">
        <v>307</v>
      </c>
      <c r="D298" s="20"/>
      <c r="E298" s="21" t="s">
        <v>638</v>
      </c>
      <c r="G298" s="8">
        <f t="shared" ref="G298:G303" si="25" xml:space="preserve"> 1/ROWS(C298:C304)</f>
        <v>0.14285714285714285</v>
      </c>
      <c r="H298" s="73" t="s">
        <v>950</v>
      </c>
    </row>
    <row r="299" spans="1:8">
      <c r="A299" s="108"/>
      <c r="B299" s="3" t="s">
        <v>305</v>
      </c>
      <c r="C299" s="21" t="s">
        <v>309</v>
      </c>
      <c r="D299" s="20"/>
      <c r="E299" s="21" t="s">
        <v>639</v>
      </c>
      <c r="G299" s="8">
        <f t="shared" si="25"/>
        <v>0.14285714285714285</v>
      </c>
      <c r="H299" s="73" t="s">
        <v>950</v>
      </c>
    </row>
    <row r="300" spans="1:8">
      <c r="A300" s="108"/>
      <c r="B300" s="3" t="s">
        <v>306</v>
      </c>
      <c r="C300" s="21" t="s">
        <v>303</v>
      </c>
      <c r="D300" s="20"/>
      <c r="E300" s="21" t="s">
        <v>640</v>
      </c>
      <c r="G300" s="8">
        <f t="shared" si="25"/>
        <v>0.14285714285714285</v>
      </c>
      <c r="H300" s="73" t="s">
        <v>950</v>
      </c>
    </row>
    <row r="301" spans="1:8">
      <c r="A301" s="108"/>
      <c r="B301" s="3" t="s">
        <v>307</v>
      </c>
      <c r="C301" s="21" t="s">
        <v>308</v>
      </c>
      <c r="D301" s="20"/>
      <c r="E301" s="21" t="s">
        <v>641</v>
      </c>
      <c r="G301" s="8">
        <f t="shared" si="25"/>
        <v>0.14285714285714285</v>
      </c>
      <c r="H301" s="73" t="s">
        <v>950</v>
      </c>
    </row>
    <row r="302" spans="1:8">
      <c r="A302" s="108"/>
      <c r="B302" s="3" t="s">
        <v>308</v>
      </c>
      <c r="C302" s="21" t="s">
        <v>304</v>
      </c>
      <c r="D302" s="20"/>
      <c r="E302" s="21" t="s">
        <v>642</v>
      </c>
      <c r="G302" s="8">
        <f t="shared" si="25"/>
        <v>0.14285714285714285</v>
      </c>
      <c r="H302" s="73" t="s">
        <v>950</v>
      </c>
    </row>
    <row r="303" spans="1:8">
      <c r="A303" s="108"/>
      <c r="B303" s="3" t="s">
        <v>309</v>
      </c>
      <c r="C303" s="21" t="s">
        <v>306</v>
      </c>
      <c r="D303" s="20"/>
      <c r="E303" s="21" t="s">
        <v>643</v>
      </c>
      <c r="G303" s="8">
        <f t="shared" si="25"/>
        <v>0.14285714285714285</v>
      </c>
      <c r="H303" s="73" t="s">
        <v>950</v>
      </c>
    </row>
    <row r="304" spans="1:8">
      <c r="A304" s="26" t="s">
        <v>28</v>
      </c>
      <c r="B304" s="3" t="s">
        <v>310</v>
      </c>
      <c r="C304" s="33" t="s">
        <v>310</v>
      </c>
      <c r="D304" s="34"/>
      <c r="E304" s="33" t="s">
        <v>644</v>
      </c>
      <c r="G304" s="8">
        <v>1</v>
      </c>
      <c r="H304" s="73" t="s">
        <v>950</v>
      </c>
    </row>
    <row r="305" spans="1:8">
      <c r="A305" s="24" t="s">
        <v>29</v>
      </c>
      <c r="B305" s="3" t="s">
        <v>311</v>
      </c>
      <c r="C305" s="19" t="s">
        <v>311</v>
      </c>
      <c r="D305" s="16"/>
      <c r="E305" s="16" t="s">
        <v>645</v>
      </c>
      <c r="G305" s="8">
        <v>1</v>
      </c>
      <c r="H305" s="73" t="s">
        <v>950</v>
      </c>
    </row>
    <row r="306" spans="1:8">
      <c r="A306" s="108" t="s">
        <v>30</v>
      </c>
      <c r="B306" s="3" t="s">
        <v>35</v>
      </c>
      <c r="C306" s="19" t="s">
        <v>33</v>
      </c>
      <c r="D306" s="16"/>
      <c r="E306" s="19" t="s">
        <v>646</v>
      </c>
      <c r="G306" s="8">
        <f xml:space="preserve"> 1/ROWS(C306:C308)</f>
        <v>0.33333333333333331</v>
      </c>
      <c r="H306" s="73" t="s">
        <v>950</v>
      </c>
    </row>
    <row r="307" spans="1:8">
      <c r="A307" s="108"/>
      <c r="B307" s="3" t="s">
        <v>34</v>
      </c>
      <c r="C307" s="19" t="s">
        <v>34</v>
      </c>
      <c r="D307" s="16"/>
      <c r="E307" s="19" t="s">
        <v>647</v>
      </c>
      <c r="G307" s="8">
        <f t="shared" ref="G307:G308" si="26" xml:space="preserve"> 1/ROWS(C307:C309)</f>
        <v>0.33333333333333331</v>
      </c>
      <c r="H307" s="73" t="s">
        <v>950</v>
      </c>
    </row>
    <row r="308" spans="1:8">
      <c r="A308" s="108"/>
      <c r="B308" s="3" t="s">
        <v>33</v>
      </c>
      <c r="C308" s="19" t="s">
        <v>35</v>
      </c>
      <c r="D308" s="16"/>
      <c r="E308" s="19" t="s">
        <v>648</v>
      </c>
      <c r="G308" s="8">
        <f t="shared" si="26"/>
        <v>0.33333333333333331</v>
      </c>
      <c r="H308" s="73" t="s">
        <v>950</v>
      </c>
    </row>
    <row r="309" spans="1:8">
      <c r="A309" s="108" t="s">
        <v>31</v>
      </c>
      <c r="B309" s="3" t="s">
        <v>312</v>
      </c>
      <c r="C309" s="19" t="s">
        <v>315</v>
      </c>
      <c r="D309" s="16"/>
      <c r="E309" s="19" t="s">
        <v>649</v>
      </c>
      <c r="G309" s="8">
        <f xml:space="preserve"> 1/ROWS(C309:C312)</f>
        <v>0.25</v>
      </c>
      <c r="H309" s="73" t="s">
        <v>950</v>
      </c>
    </row>
    <row r="310" spans="1:8">
      <c r="A310" s="108"/>
      <c r="B310" s="3" t="s">
        <v>313</v>
      </c>
      <c r="C310" s="19" t="s">
        <v>314</v>
      </c>
      <c r="D310" s="16" t="s">
        <v>731</v>
      </c>
      <c r="E310" s="19" t="s">
        <v>650</v>
      </c>
      <c r="G310" s="8">
        <f t="shared" ref="G310:G312" si="27" xml:space="preserve"> 1/ROWS(C310:C313)</f>
        <v>0.25</v>
      </c>
      <c r="H310" s="73" t="s">
        <v>950</v>
      </c>
    </row>
    <row r="311" spans="1:8" ht="29.25">
      <c r="A311" s="108"/>
      <c r="B311" s="3" t="s">
        <v>314</v>
      </c>
      <c r="C311" s="19" t="s">
        <v>313</v>
      </c>
      <c r="D311" s="16"/>
      <c r="E311" s="16" t="s">
        <v>651</v>
      </c>
      <c r="G311" s="8">
        <f t="shared" si="27"/>
        <v>0.25</v>
      </c>
      <c r="H311" s="73" t="s">
        <v>950</v>
      </c>
    </row>
    <row r="312" spans="1:8">
      <c r="A312" s="108"/>
      <c r="B312" s="3" t="s">
        <v>315</v>
      </c>
      <c r="C312" s="19" t="s">
        <v>312</v>
      </c>
      <c r="D312" s="16"/>
      <c r="E312" s="16" t="s">
        <v>652</v>
      </c>
      <c r="G312" s="8">
        <f t="shared" si="27"/>
        <v>0.25</v>
      </c>
      <c r="H312" s="73" t="s">
        <v>950</v>
      </c>
    </row>
    <row r="313" spans="1:8">
      <c r="A313" s="26" t="s">
        <v>32</v>
      </c>
      <c r="B313" s="3" t="s">
        <v>5018</v>
      </c>
      <c r="C313" s="19" t="s">
        <v>5018</v>
      </c>
      <c r="G313" s="8">
        <v>1</v>
      </c>
      <c r="H313" s="73" t="s">
        <v>950</v>
      </c>
    </row>
    <row r="314" spans="1:8">
      <c r="A314" s="26" t="s">
        <v>654</v>
      </c>
      <c r="B314" s="3" t="s">
        <v>656</v>
      </c>
      <c r="C314" s="19" t="s">
        <v>656</v>
      </c>
      <c r="E314" s="3" t="s">
        <v>654</v>
      </c>
      <c r="G314" s="8">
        <v>1</v>
      </c>
      <c r="H314" s="73" t="s">
        <v>950</v>
      </c>
    </row>
    <row r="315" spans="1:8">
      <c r="A315" s="26" t="s">
        <v>2150</v>
      </c>
      <c r="C315" s="19" t="s">
        <v>655</v>
      </c>
      <c r="E315" s="3" t="s">
        <v>653</v>
      </c>
      <c r="G315" s="8">
        <v>1</v>
      </c>
      <c r="H315" s="73" t="s">
        <v>950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4CC0-A206-477A-909C-A584B7B4758F}">
  <dimension ref="A1:K315"/>
  <sheetViews>
    <sheetView tabSelected="1" topLeftCell="A72" zoomScale="85" zoomScaleNormal="85" workbookViewId="0">
      <selection activeCell="F85" sqref="F85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18.125" style="3" bestFit="1" customWidth="1"/>
    <col min="5" max="5" width="29.875" style="3" bestFit="1" customWidth="1"/>
    <col min="6" max="6" width="22.625" style="3" bestFit="1" customWidth="1"/>
    <col min="7" max="7" width="10.375" style="8" bestFit="1" customWidth="1"/>
    <col min="8" max="8" width="24" style="3" bestFit="1" customWidth="1"/>
    <col min="9" max="9" width="16.875" style="3" bestFit="1" customWidth="1"/>
    <col min="10" max="10" width="20.625" style="3" bestFit="1" customWidth="1"/>
    <col min="11" max="16384" width="10.875" style="3"/>
  </cols>
  <sheetData>
    <row r="1" spans="1:11">
      <c r="A1" s="22" t="s">
        <v>0</v>
      </c>
      <c r="B1" s="22" t="s">
        <v>657</v>
      </c>
      <c r="C1" s="22" t="s">
        <v>1</v>
      </c>
      <c r="D1" s="22" t="s">
        <v>2</v>
      </c>
      <c r="E1" s="22" t="s">
        <v>658</v>
      </c>
      <c r="F1" s="22" t="s">
        <v>5022</v>
      </c>
      <c r="G1" s="23" t="s">
        <v>5023</v>
      </c>
      <c r="H1" s="1" t="s">
        <v>952</v>
      </c>
      <c r="I1" s="1"/>
      <c r="J1" s="1"/>
    </row>
    <row r="2" spans="1:11" ht="29.25">
      <c r="A2" s="108" t="s">
        <v>3</v>
      </c>
      <c r="B2" s="3" t="s">
        <v>37</v>
      </c>
      <c r="C2" s="29" t="s">
        <v>36</v>
      </c>
      <c r="D2" s="15"/>
      <c r="E2" s="16" t="s">
        <v>621</v>
      </c>
      <c r="G2" s="8">
        <f>1/ROWS(C2:C12)</f>
        <v>9.0909090909090912E-2</v>
      </c>
      <c r="H2" s="73" t="s">
        <v>950</v>
      </c>
      <c r="K2" s="14"/>
    </row>
    <row r="3" spans="1:11">
      <c r="A3" s="108"/>
      <c r="B3" s="3" t="s">
        <v>38</v>
      </c>
      <c r="C3" s="29" t="s">
        <v>46</v>
      </c>
      <c r="D3" s="15"/>
      <c r="E3" s="16" t="s">
        <v>316</v>
      </c>
      <c r="G3" s="8">
        <f t="shared" ref="G3:G12" si="0">1/ROWS(C3:C13)</f>
        <v>9.0909090909090912E-2</v>
      </c>
      <c r="H3" s="73" t="s">
        <v>950</v>
      </c>
      <c r="I3" s="17"/>
      <c r="K3" s="14"/>
    </row>
    <row r="4" spans="1:11">
      <c r="A4" s="108"/>
      <c r="B4" s="3" t="s">
        <v>39</v>
      </c>
      <c r="C4" s="29" t="s">
        <v>40</v>
      </c>
      <c r="D4" s="15"/>
      <c r="E4" s="16" t="s">
        <v>317</v>
      </c>
      <c r="G4" s="8">
        <f t="shared" si="0"/>
        <v>9.0909090909090912E-2</v>
      </c>
      <c r="H4" s="73" t="s">
        <v>950</v>
      </c>
      <c r="K4" s="14"/>
    </row>
    <row r="5" spans="1:11">
      <c r="A5" s="108"/>
      <c r="B5" s="3" t="s">
        <v>40</v>
      </c>
      <c r="C5" s="29" t="s">
        <v>44</v>
      </c>
      <c r="D5" s="15"/>
      <c r="E5" s="16" t="s">
        <v>318</v>
      </c>
      <c r="G5" s="8">
        <f t="shared" si="0"/>
        <v>9.0909090909090912E-2</v>
      </c>
      <c r="H5" s="73" t="s">
        <v>950</v>
      </c>
      <c r="K5" s="14"/>
    </row>
    <row r="6" spans="1:11">
      <c r="A6" s="108"/>
      <c r="B6" s="3" t="s">
        <v>41</v>
      </c>
      <c r="C6" s="29" t="s">
        <v>45</v>
      </c>
      <c r="D6" s="15"/>
      <c r="E6" s="16" t="s">
        <v>319</v>
      </c>
      <c r="G6" s="8">
        <f t="shared" si="0"/>
        <v>9.0909090909090912E-2</v>
      </c>
      <c r="H6" s="73" t="s">
        <v>950</v>
      </c>
      <c r="K6" s="14"/>
    </row>
    <row r="7" spans="1:11">
      <c r="A7" s="108"/>
      <c r="B7" s="3" t="s">
        <v>42</v>
      </c>
      <c r="C7" s="29" t="s">
        <v>37</v>
      </c>
      <c r="D7" s="15"/>
      <c r="E7" s="16" t="s">
        <v>320</v>
      </c>
      <c r="G7" s="8">
        <f t="shared" si="0"/>
        <v>9.0909090909090912E-2</v>
      </c>
      <c r="H7" s="73" t="s">
        <v>950</v>
      </c>
      <c r="K7" s="14"/>
    </row>
    <row r="8" spans="1:11">
      <c r="A8" s="108"/>
      <c r="B8" s="3" t="s">
        <v>43</v>
      </c>
      <c r="C8" s="29" t="s">
        <v>43</v>
      </c>
      <c r="D8" s="15"/>
      <c r="E8" s="16" t="s">
        <v>321</v>
      </c>
      <c r="G8" s="8">
        <f t="shared" si="0"/>
        <v>9.0909090909090912E-2</v>
      </c>
      <c r="H8" s="73" t="s">
        <v>950</v>
      </c>
      <c r="K8" s="14"/>
    </row>
    <row r="9" spans="1:11">
      <c r="A9" s="108"/>
      <c r="B9" s="3" t="s">
        <v>44</v>
      </c>
      <c r="C9" s="29" t="s">
        <v>42</v>
      </c>
      <c r="D9" s="15"/>
      <c r="E9" s="16" t="s">
        <v>322</v>
      </c>
      <c r="G9" s="8">
        <f t="shared" si="0"/>
        <v>9.0909090909090912E-2</v>
      </c>
      <c r="H9" s="73" t="s">
        <v>950</v>
      </c>
      <c r="K9" s="14"/>
    </row>
    <row r="10" spans="1:11">
      <c r="A10" s="108"/>
      <c r="B10" s="3" t="s">
        <v>45</v>
      </c>
      <c r="C10" s="29" t="s">
        <v>41</v>
      </c>
      <c r="D10" s="15"/>
      <c r="E10" s="16" t="s">
        <v>323</v>
      </c>
      <c r="G10" s="8">
        <f t="shared" si="0"/>
        <v>9.0909090909090912E-2</v>
      </c>
      <c r="H10" s="73" t="s">
        <v>950</v>
      </c>
      <c r="K10" s="14"/>
    </row>
    <row r="11" spans="1:11">
      <c r="A11" s="108"/>
      <c r="B11" s="3" t="s">
        <v>36</v>
      </c>
      <c r="C11" s="29" t="s">
        <v>39</v>
      </c>
      <c r="D11" s="15"/>
      <c r="E11" s="16" t="s">
        <v>324</v>
      </c>
      <c r="G11" s="8">
        <f t="shared" si="0"/>
        <v>9.0909090909090912E-2</v>
      </c>
      <c r="H11" s="73" t="s">
        <v>950</v>
      </c>
      <c r="K11" s="14"/>
    </row>
    <row r="12" spans="1:11">
      <c r="A12" s="108"/>
      <c r="B12" s="3" t="s">
        <v>46</v>
      </c>
      <c r="C12" s="29" t="s">
        <v>38</v>
      </c>
      <c r="D12" s="15"/>
      <c r="E12" s="16" t="s">
        <v>325</v>
      </c>
      <c r="G12" s="8">
        <f t="shared" si="0"/>
        <v>9.0909090909090912E-2</v>
      </c>
      <c r="H12" s="73" t="s">
        <v>950</v>
      </c>
      <c r="K12" s="14"/>
    </row>
    <row r="13" spans="1:11">
      <c r="A13" s="108" t="s">
        <v>4</v>
      </c>
      <c r="B13" s="3" t="s">
        <v>47</v>
      </c>
      <c r="C13" s="29" t="s">
        <v>47</v>
      </c>
      <c r="D13" s="15"/>
      <c r="E13" s="16" t="s">
        <v>326</v>
      </c>
      <c r="G13" s="8">
        <f>1/ROWS(C13:C18)</f>
        <v>0.16666666666666666</v>
      </c>
      <c r="H13" s="73" t="s">
        <v>950</v>
      </c>
      <c r="K13" s="14"/>
    </row>
    <row r="14" spans="1:11">
      <c r="A14" s="108"/>
      <c r="B14" s="3" t="s">
        <v>48</v>
      </c>
      <c r="C14" s="29" t="s">
        <v>49</v>
      </c>
      <c r="D14" s="15"/>
      <c r="E14" s="16" t="s">
        <v>327</v>
      </c>
      <c r="G14" s="8">
        <f t="shared" ref="G14:G18" si="1">1/ROWS(C14:C19)</f>
        <v>0.16666666666666666</v>
      </c>
      <c r="H14" s="73" t="s">
        <v>950</v>
      </c>
      <c r="K14" s="14"/>
    </row>
    <row r="15" spans="1:11">
      <c r="A15" s="108"/>
      <c r="B15" s="3" t="s">
        <v>49</v>
      </c>
      <c r="C15" s="29" t="s">
        <v>50</v>
      </c>
      <c r="D15" s="15"/>
      <c r="E15" s="16" t="s">
        <v>328</v>
      </c>
      <c r="G15" s="8">
        <f t="shared" si="1"/>
        <v>0.16666666666666666</v>
      </c>
      <c r="H15" s="73" t="s">
        <v>950</v>
      </c>
      <c r="K15" s="14"/>
    </row>
    <row r="16" spans="1:11">
      <c r="A16" s="108"/>
      <c r="B16" s="3" t="s">
        <v>50</v>
      </c>
      <c r="C16" s="29" t="s">
        <v>51</v>
      </c>
      <c r="D16" s="15"/>
      <c r="E16" s="16" t="s">
        <v>329</v>
      </c>
      <c r="G16" s="8">
        <f t="shared" si="1"/>
        <v>0.16666666666666666</v>
      </c>
      <c r="H16" s="73" t="s">
        <v>950</v>
      </c>
      <c r="K16" s="14"/>
    </row>
    <row r="17" spans="1:11">
      <c r="A17" s="108"/>
      <c r="B17" s="3" t="s">
        <v>51</v>
      </c>
      <c r="C17" s="29" t="s">
        <v>52</v>
      </c>
      <c r="D17" s="15"/>
      <c r="E17" s="16" t="s">
        <v>330</v>
      </c>
      <c r="G17" s="8">
        <f t="shared" si="1"/>
        <v>0.16666666666666666</v>
      </c>
      <c r="H17" s="73" t="s">
        <v>950</v>
      </c>
      <c r="K17" s="14"/>
    </row>
    <row r="18" spans="1:11">
      <c r="A18" s="108"/>
      <c r="B18" s="3" t="s">
        <v>52</v>
      </c>
      <c r="C18" s="29" t="s">
        <v>48</v>
      </c>
      <c r="D18" s="15"/>
      <c r="E18" s="16" t="s">
        <v>331</v>
      </c>
      <c r="G18" s="8">
        <f t="shared" si="1"/>
        <v>0.16666666666666666</v>
      </c>
      <c r="H18" s="73" t="s">
        <v>950</v>
      </c>
      <c r="K18" s="14"/>
    </row>
    <row r="19" spans="1:11">
      <c r="A19" s="108" t="s">
        <v>5</v>
      </c>
      <c r="B19" s="3" t="s">
        <v>53</v>
      </c>
      <c r="C19" s="29" t="s">
        <v>54</v>
      </c>
      <c r="D19" s="15"/>
      <c r="E19" s="16" t="s">
        <v>332</v>
      </c>
      <c r="G19" s="8">
        <f>1/ROWS(C19:C26)</f>
        <v>0.125</v>
      </c>
      <c r="H19" s="73" t="s">
        <v>950</v>
      </c>
      <c r="K19" s="14"/>
    </row>
    <row r="20" spans="1:11">
      <c r="A20" s="108"/>
      <c r="B20" s="3" t="s">
        <v>54</v>
      </c>
      <c r="C20" s="29" t="s">
        <v>53</v>
      </c>
      <c r="D20" s="15"/>
      <c r="E20" s="16" t="s">
        <v>333</v>
      </c>
      <c r="G20" s="8">
        <f t="shared" ref="G20:G26" si="2">1/ROWS(C20:C27)</f>
        <v>0.125</v>
      </c>
      <c r="H20" s="73" t="s">
        <v>950</v>
      </c>
      <c r="K20" s="14"/>
    </row>
    <row r="21" spans="1:11">
      <c r="A21" s="108"/>
      <c r="B21" s="3" t="s">
        <v>55</v>
      </c>
      <c r="C21" s="29" t="s">
        <v>60</v>
      </c>
      <c r="D21" s="15"/>
      <c r="E21" s="16" t="s">
        <v>334</v>
      </c>
      <c r="G21" s="8">
        <f t="shared" si="2"/>
        <v>0.125</v>
      </c>
      <c r="H21" s="73" t="s">
        <v>950</v>
      </c>
      <c r="K21" s="14"/>
    </row>
    <row r="22" spans="1:11">
      <c r="A22" s="108"/>
      <c r="B22" s="3" t="s">
        <v>56</v>
      </c>
      <c r="C22" s="29" t="s">
        <v>58</v>
      </c>
      <c r="D22" s="18"/>
      <c r="E22" s="16" t="s">
        <v>335</v>
      </c>
      <c r="G22" s="8">
        <f t="shared" si="2"/>
        <v>0.125</v>
      </c>
      <c r="H22" s="73" t="s">
        <v>950</v>
      </c>
      <c r="K22" s="14"/>
    </row>
    <row r="23" spans="1:11">
      <c r="A23" s="108"/>
      <c r="B23" s="3" t="s">
        <v>57</v>
      </c>
      <c r="C23" s="29" t="s">
        <v>57</v>
      </c>
      <c r="D23" s="15"/>
      <c r="E23" s="16" t="s">
        <v>336</v>
      </c>
      <c r="G23" s="8">
        <f t="shared" si="2"/>
        <v>0.125</v>
      </c>
      <c r="H23" s="73" t="s">
        <v>950</v>
      </c>
      <c r="K23" s="14"/>
    </row>
    <row r="24" spans="1:11">
      <c r="A24" s="108"/>
      <c r="B24" s="3" t="s">
        <v>58</v>
      </c>
      <c r="C24" s="29" t="s">
        <v>59</v>
      </c>
      <c r="D24" s="15"/>
      <c r="E24" s="16" t="s">
        <v>337</v>
      </c>
      <c r="G24" s="8">
        <f t="shared" si="2"/>
        <v>0.125</v>
      </c>
      <c r="H24" s="73" t="s">
        <v>950</v>
      </c>
      <c r="K24" s="14"/>
    </row>
    <row r="25" spans="1:11">
      <c r="A25" s="108"/>
      <c r="B25" s="3" t="s">
        <v>59</v>
      </c>
      <c r="C25" s="29" t="s">
        <v>55</v>
      </c>
      <c r="D25" s="15"/>
      <c r="E25" s="16" t="s">
        <v>338</v>
      </c>
      <c r="G25" s="8">
        <f t="shared" si="2"/>
        <v>0.125</v>
      </c>
      <c r="H25" s="73" t="s">
        <v>950</v>
      </c>
      <c r="K25" s="14"/>
    </row>
    <row r="26" spans="1:11">
      <c r="A26" s="108"/>
      <c r="B26" s="3" t="s">
        <v>60</v>
      </c>
      <c r="C26" s="29" t="s">
        <v>56</v>
      </c>
      <c r="D26" s="15"/>
      <c r="E26" s="16" t="s">
        <v>339</v>
      </c>
      <c r="G26" s="8">
        <f t="shared" si="2"/>
        <v>0.125</v>
      </c>
      <c r="H26" s="73" t="s">
        <v>950</v>
      </c>
      <c r="K26" s="14"/>
    </row>
    <row r="27" spans="1:11">
      <c r="A27" s="108" t="s">
        <v>6</v>
      </c>
      <c r="B27" s="3" t="s">
        <v>61</v>
      </c>
      <c r="C27" s="29" t="s">
        <v>64</v>
      </c>
      <c r="D27" s="15"/>
      <c r="E27" s="16" t="s">
        <v>340</v>
      </c>
      <c r="G27" s="8">
        <f>1/ROWS(C27:C31)</f>
        <v>0.2</v>
      </c>
      <c r="H27" s="73" t="s">
        <v>950</v>
      </c>
      <c r="K27" s="14"/>
    </row>
    <row r="28" spans="1:11">
      <c r="A28" s="108"/>
      <c r="B28" s="3" t="s">
        <v>62</v>
      </c>
      <c r="C28" s="29" t="s">
        <v>61</v>
      </c>
      <c r="D28" s="15"/>
      <c r="E28" s="16" t="s">
        <v>341</v>
      </c>
      <c r="G28" s="8">
        <f t="shared" ref="G28:G31" si="3">1/ROWS(C28:C32)</f>
        <v>0.2</v>
      </c>
      <c r="H28" s="73" t="s">
        <v>950</v>
      </c>
      <c r="K28" s="14"/>
    </row>
    <row r="29" spans="1:11">
      <c r="A29" s="108"/>
      <c r="B29" s="3" t="s">
        <v>63</v>
      </c>
      <c r="C29" s="29" t="s">
        <v>63</v>
      </c>
      <c r="D29" s="15"/>
      <c r="E29" s="16" t="s">
        <v>342</v>
      </c>
      <c r="G29" s="8">
        <f t="shared" si="3"/>
        <v>0.2</v>
      </c>
      <c r="H29" s="73" t="s">
        <v>950</v>
      </c>
      <c r="K29" s="14"/>
    </row>
    <row r="30" spans="1:11">
      <c r="A30" s="108"/>
      <c r="B30" s="3" t="s">
        <v>64</v>
      </c>
      <c r="C30" s="29" t="s">
        <v>65</v>
      </c>
      <c r="D30" s="15"/>
      <c r="E30" s="16" t="s">
        <v>343</v>
      </c>
      <c r="G30" s="8">
        <f t="shared" si="3"/>
        <v>0.2</v>
      </c>
      <c r="H30" s="73" t="s">
        <v>950</v>
      </c>
      <c r="K30" s="14"/>
    </row>
    <row r="31" spans="1:11">
      <c r="A31" s="108"/>
      <c r="B31" s="3" t="s">
        <v>65</v>
      </c>
      <c r="C31" s="29" t="s">
        <v>62</v>
      </c>
      <c r="D31" s="15"/>
      <c r="E31" s="16" t="s">
        <v>344</v>
      </c>
      <c r="G31" s="8">
        <f t="shared" si="3"/>
        <v>0.2</v>
      </c>
      <c r="H31" s="73" t="s">
        <v>950</v>
      </c>
      <c r="K31" s="14"/>
    </row>
    <row r="32" spans="1:11">
      <c r="A32" s="108" t="s">
        <v>7</v>
      </c>
      <c r="B32" s="3" t="s">
        <v>66</v>
      </c>
      <c r="C32" s="29" t="s">
        <v>101</v>
      </c>
      <c r="D32" s="15"/>
      <c r="E32" s="16" t="s">
        <v>345</v>
      </c>
      <c r="G32" s="8">
        <f>1/ROWS(C32:C69)</f>
        <v>2.6315789473684209E-2</v>
      </c>
      <c r="H32" s="73" t="s">
        <v>950</v>
      </c>
      <c r="K32" s="14"/>
    </row>
    <row r="33" spans="1:11">
      <c r="A33" s="108"/>
      <c r="B33" s="3" t="s">
        <v>67</v>
      </c>
      <c r="C33" s="29" t="s">
        <v>102</v>
      </c>
      <c r="D33" s="15"/>
      <c r="E33" s="16" t="s">
        <v>346</v>
      </c>
      <c r="G33" s="8">
        <f t="shared" ref="G33:G52" si="4">1/ROWS(C33:C70)</f>
        <v>2.6315789473684209E-2</v>
      </c>
      <c r="H33" s="73" t="s">
        <v>950</v>
      </c>
      <c r="K33" s="14"/>
    </row>
    <row r="34" spans="1:11">
      <c r="A34" s="108"/>
      <c r="B34" s="3" t="s">
        <v>68</v>
      </c>
      <c r="C34" s="29" t="s">
        <v>103</v>
      </c>
      <c r="D34" s="15"/>
      <c r="E34" s="16" t="s">
        <v>347</v>
      </c>
      <c r="G34" s="8">
        <f t="shared" si="4"/>
        <v>2.6315789473684209E-2</v>
      </c>
      <c r="H34" s="73" t="s">
        <v>950</v>
      </c>
      <c r="K34" s="14"/>
    </row>
    <row r="35" spans="1:11">
      <c r="A35" s="108"/>
      <c r="B35" s="3" t="s">
        <v>69</v>
      </c>
      <c r="C35" s="29" t="s">
        <v>100</v>
      </c>
      <c r="D35" s="15"/>
      <c r="E35" s="16" t="s">
        <v>348</v>
      </c>
      <c r="G35" s="8">
        <f t="shared" si="4"/>
        <v>2.6315789473684209E-2</v>
      </c>
      <c r="H35" s="73" t="s">
        <v>950</v>
      </c>
      <c r="K35" s="14"/>
    </row>
    <row r="36" spans="1:11">
      <c r="A36" s="108"/>
      <c r="B36" s="3" t="s">
        <v>70</v>
      </c>
      <c r="C36" s="29" t="s">
        <v>97</v>
      </c>
      <c r="D36" s="31"/>
      <c r="E36" s="16" t="s">
        <v>349</v>
      </c>
      <c r="G36" s="8">
        <f t="shared" si="4"/>
        <v>2.6315789473684209E-2</v>
      </c>
      <c r="H36" s="73" t="s">
        <v>950</v>
      </c>
      <c r="K36" s="14"/>
    </row>
    <row r="37" spans="1:11">
      <c r="A37" s="108"/>
      <c r="B37" s="3" t="s">
        <v>71</v>
      </c>
      <c r="C37" s="29" t="s">
        <v>98</v>
      </c>
      <c r="D37" s="15"/>
      <c r="E37" s="16" t="s">
        <v>350</v>
      </c>
      <c r="G37" s="8">
        <f t="shared" si="4"/>
        <v>2.6315789473684209E-2</v>
      </c>
      <c r="H37" s="73" t="s">
        <v>950</v>
      </c>
      <c r="K37" s="14"/>
    </row>
    <row r="38" spans="1:11">
      <c r="A38" s="108"/>
      <c r="B38" s="3" t="s">
        <v>72</v>
      </c>
      <c r="C38" s="29" t="s">
        <v>95</v>
      </c>
      <c r="D38" s="15"/>
      <c r="E38" s="16" t="s">
        <v>351</v>
      </c>
      <c r="G38" s="8">
        <f t="shared" si="4"/>
        <v>2.6315789473684209E-2</v>
      </c>
      <c r="H38" s="73" t="s">
        <v>950</v>
      </c>
      <c r="K38" s="14"/>
    </row>
    <row r="39" spans="1:11">
      <c r="A39" s="108"/>
      <c r="B39" s="3" t="s">
        <v>73</v>
      </c>
      <c r="C39" s="29" t="s">
        <v>96</v>
      </c>
      <c r="D39" s="15"/>
      <c r="E39" s="16" t="s">
        <v>352</v>
      </c>
      <c r="G39" s="8">
        <f t="shared" si="4"/>
        <v>2.6315789473684209E-2</v>
      </c>
      <c r="H39" s="73" t="s">
        <v>950</v>
      </c>
      <c r="K39" s="14"/>
    </row>
    <row r="40" spans="1:11">
      <c r="A40" s="108"/>
      <c r="B40" s="3" t="s">
        <v>74</v>
      </c>
      <c r="C40" s="29" t="s">
        <v>99</v>
      </c>
      <c r="D40" s="15"/>
      <c r="E40" s="16" t="s">
        <v>353</v>
      </c>
      <c r="G40" s="8">
        <f t="shared" si="4"/>
        <v>2.6315789473684209E-2</v>
      </c>
      <c r="H40" s="73" t="s">
        <v>950</v>
      </c>
      <c r="K40" s="14"/>
    </row>
    <row r="41" spans="1:11">
      <c r="A41" s="108"/>
      <c r="B41" s="3" t="s">
        <v>75</v>
      </c>
      <c r="C41" s="29" t="s">
        <v>93</v>
      </c>
      <c r="D41" s="15"/>
      <c r="E41" s="16" t="s">
        <v>354</v>
      </c>
      <c r="G41" s="8">
        <f t="shared" si="4"/>
        <v>2.6315789473684209E-2</v>
      </c>
      <c r="H41" s="73" t="s">
        <v>950</v>
      </c>
      <c r="K41" s="14"/>
    </row>
    <row r="42" spans="1:11">
      <c r="A42" s="108"/>
      <c r="B42" s="3" t="s">
        <v>76</v>
      </c>
      <c r="C42" s="29" t="s">
        <v>94</v>
      </c>
      <c r="D42" s="15"/>
      <c r="E42" s="16" t="s">
        <v>355</v>
      </c>
      <c r="G42" s="8">
        <f t="shared" si="4"/>
        <v>2.6315789473684209E-2</v>
      </c>
      <c r="H42" s="73" t="s">
        <v>950</v>
      </c>
      <c r="K42" s="14"/>
    </row>
    <row r="43" spans="1:11">
      <c r="A43" s="108"/>
      <c r="B43" s="3" t="s">
        <v>77</v>
      </c>
      <c r="C43" s="29" t="s">
        <v>92</v>
      </c>
      <c r="D43" s="15"/>
      <c r="E43" s="16" t="s">
        <v>356</v>
      </c>
      <c r="G43" s="8">
        <f t="shared" si="4"/>
        <v>2.6315789473684209E-2</v>
      </c>
      <c r="H43" s="73" t="s">
        <v>950</v>
      </c>
      <c r="K43" s="14"/>
    </row>
    <row r="44" spans="1:11">
      <c r="A44" s="108"/>
      <c r="B44" s="3" t="s">
        <v>78</v>
      </c>
      <c r="C44" s="29" t="s">
        <v>91</v>
      </c>
      <c r="D44" s="15"/>
      <c r="E44" s="16" t="s">
        <v>357</v>
      </c>
      <c r="G44" s="8">
        <f t="shared" si="4"/>
        <v>2.6315789473684209E-2</v>
      </c>
      <c r="H44" s="73" t="s">
        <v>950</v>
      </c>
      <c r="K44" s="14"/>
    </row>
    <row r="45" spans="1:11">
      <c r="A45" s="108"/>
      <c r="B45" s="3" t="s">
        <v>79</v>
      </c>
      <c r="C45" s="29" t="s">
        <v>90</v>
      </c>
      <c r="D45" s="15"/>
      <c r="E45" s="16" t="s">
        <v>358</v>
      </c>
      <c r="G45" s="8">
        <f t="shared" si="4"/>
        <v>2.6315789473684209E-2</v>
      </c>
      <c r="H45" s="73" t="s">
        <v>950</v>
      </c>
      <c r="K45" s="14"/>
    </row>
    <row r="46" spans="1:11">
      <c r="A46" s="108"/>
      <c r="B46" s="3" t="s">
        <v>80</v>
      </c>
      <c r="C46" s="29" t="s">
        <v>89</v>
      </c>
      <c r="D46" s="15"/>
      <c r="E46" s="16" t="s">
        <v>359</v>
      </c>
      <c r="G46" s="8">
        <f t="shared" si="4"/>
        <v>2.6315789473684209E-2</v>
      </c>
      <c r="H46" s="73" t="s">
        <v>950</v>
      </c>
      <c r="K46" s="14"/>
    </row>
    <row r="47" spans="1:11">
      <c r="A47" s="108"/>
      <c r="B47" s="3" t="s">
        <v>81</v>
      </c>
      <c r="C47" s="29" t="s">
        <v>88</v>
      </c>
      <c r="D47" s="15"/>
      <c r="E47" s="16" t="s">
        <v>360</v>
      </c>
      <c r="G47" s="8">
        <f t="shared" si="4"/>
        <v>2.6315789473684209E-2</v>
      </c>
      <c r="H47" s="73" t="s">
        <v>950</v>
      </c>
      <c r="K47" s="14"/>
    </row>
    <row r="48" spans="1:11">
      <c r="A48" s="108"/>
      <c r="B48" s="3" t="s">
        <v>82</v>
      </c>
      <c r="C48" s="29" t="s">
        <v>87</v>
      </c>
      <c r="D48" s="15"/>
      <c r="E48" s="16" t="s">
        <v>361</v>
      </c>
      <c r="G48" s="8">
        <f t="shared" si="4"/>
        <v>2.6315789473684209E-2</v>
      </c>
      <c r="H48" s="73" t="s">
        <v>950</v>
      </c>
      <c r="K48" s="14"/>
    </row>
    <row r="49" spans="1:11">
      <c r="A49" s="108"/>
      <c r="B49" s="3" t="s">
        <v>83</v>
      </c>
      <c r="C49" s="29" t="s">
        <v>86</v>
      </c>
      <c r="D49" s="15"/>
      <c r="E49" s="16" t="s">
        <v>362</v>
      </c>
      <c r="G49" s="8">
        <f t="shared" si="4"/>
        <v>2.6315789473684209E-2</v>
      </c>
      <c r="H49" s="73" t="s">
        <v>950</v>
      </c>
      <c r="K49" s="14"/>
    </row>
    <row r="50" spans="1:11">
      <c r="A50" s="108"/>
      <c r="B50" s="3" t="s">
        <v>84</v>
      </c>
      <c r="C50" s="29" t="s">
        <v>85</v>
      </c>
      <c r="D50" s="15"/>
      <c r="E50" s="16" t="s">
        <v>363</v>
      </c>
      <c r="G50" s="8">
        <f t="shared" si="4"/>
        <v>2.6315789473684209E-2</v>
      </c>
      <c r="H50" s="73" t="s">
        <v>950</v>
      </c>
      <c r="K50" s="14"/>
    </row>
    <row r="51" spans="1:11">
      <c r="A51" s="108"/>
      <c r="B51" s="3" t="s">
        <v>85</v>
      </c>
      <c r="C51" s="29" t="s">
        <v>84</v>
      </c>
      <c r="D51" s="15"/>
      <c r="E51" s="16" t="s">
        <v>364</v>
      </c>
      <c r="G51" s="8">
        <f t="shared" si="4"/>
        <v>2.6315789473684209E-2</v>
      </c>
      <c r="H51" s="73" t="s">
        <v>950</v>
      </c>
      <c r="K51" s="14"/>
    </row>
    <row r="52" spans="1:11">
      <c r="A52" s="108"/>
      <c r="B52" s="3" t="s">
        <v>86</v>
      </c>
      <c r="C52" s="29" t="s">
        <v>83</v>
      </c>
      <c r="D52" s="15"/>
      <c r="E52" s="16" t="s">
        <v>365</v>
      </c>
      <c r="G52" s="8">
        <f t="shared" si="4"/>
        <v>2.6315789473684209E-2</v>
      </c>
      <c r="H52" s="73" t="s">
        <v>950</v>
      </c>
      <c r="K52" s="14"/>
    </row>
    <row r="53" spans="1:11">
      <c r="A53" s="108"/>
      <c r="B53" s="3" t="s">
        <v>87</v>
      </c>
      <c r="C53" s="29" t="s">
        <v>82</v>
      </c>
      <c r="D53" s="15"/>
      <c r="E53" s="16" t="s">
        <v>366</v>
      </c>
      <c r="G53" s="8">
        <f>1/ROWS(C53:C90)</f>
        <v>2.6315789473684209E-2</v>
      </c>
      <c r="H53" s="73" t="s">
        <v>950</v>
      </c>
      <c r="K53" s="14"/>
    </row>
    <row r="54" spans="1:11">
      <c r="A54" s="108"/>
      <c r="B54" s="3" t="s">
        <v>88</v>
      </c>
      <c r="C54" s="29" t="s">
        <v>81</v>
      </c>
      <c r="D54" s="15"/>
      <c r="E54" s="16" t="s">
        <v>367</v>
      </c>
      <c r="G54" s="8">
        <f t="shared" ref="G54" si="5">1/ROWS(C54:C91)</f>
        <v>2.6315789473684209E-2</v>
      </c>
      <c r="H54" s="73" t="s">
        <v>950</v>
      </c>
      <c r="K54" s="14"/>
    </row>
    <row r="55" spans="1:11">
      <c r="A55" s="108"/>
      <c r="B55" s="3" t="s">
        <v>89</v>
      </c>
      <c r="C55" s="29" t="s">
        <v>78</v>
      </c>
      <c r="D55" s="32" t="s">
        <v>686</v>
      </c>
      <c r="E55" s="16" t="s">
        <v>368</v>
      </c>
      <c r="G55" s="8">
        <f>1/ROWS(C55:C92)</f>
        <v>2.6315789473684209E-2</v>
      </c>
      <c r="H55" s="73" t="s">
        <v>950</v>
      </c>
      <c r="K55" s="14"/>
    </row>
    <row r="56" spans="1:11">
      <c r="A56" s="108"/>
      <c r="B56" s="3" t="s">
        <v>90</v>
      </c>
      <c r="C56" s="29" t="s">
        <v>77</v>
      </c>
      <c r="D56" s="31" t="s">
        <v>701</v>
      </c>
      <c r="E56" s="16" t="s">
        <v>369</v>
      </c>
      <c r="G56" s="8">
        <f t="shared" ref="G56:G69" si="6">1/ROWS(C56:C93)</f>
        <v>2.6315789473684209E-2</v>
      </c>
      <c r="H56" s="73" t="s">
        <v>950</v>
      </c>
      <c r="K56" s="14"/>
    </row>
    <row r="57" spans="1:11">
      <c r="A57" s="108"/>
      <c r="B57" s="3" t="s">
        <v>91</v>
      </c>
      <c r="C57" s="29" t="s">
        <v>76</v>
      </c>
      <c r="D57" s="15"/>
      <c r="E57" s="16" t="s">
        <v>370</v>
      </c>
      <c r="G57" s="8">
        <f t="shared" si="6"/>
        <v>2.6315789473684209E-2</v>
      </c>
      <c r="H57" s="73" t="s">
        <v>950</v>
      </c>
      <c r="K57" s="14"/>
    </row>
    <row r="58" spans="1:11">
      <c r="A58" s="108"/>
      <c r="B58" s="3" t="s">
        <v>92</v>
      </c>
      <c r="C58" s="29" t="s">
        <v>79</v>
      </c>
      <c r="D58" s="15"/>
      <c r="E58" s="16" t="s">
        <v>371</v>
      </c>
      <c r="G58" s="8">
        <f t="shared" si="6"/>
        <v>2.6315789473684209E-2</v>
      </c>
      <c r="H58" s="73" t="s">
        <v>950</v>
      </c>
      <c r="K58" s="14"/>
    </row>
    <row r="59" spans="1:11">
      <c r="A59" s="108"/>
      <c r="B59" s="3" t="s">
        <v>93</v>
      </c>
      <c r="C59" s="29" t="s">
        <v>80</v>
      </c>
      <c r="D59" s="15"/>
      <c r="E59" s="16" t="s">
        <v>372</v>
      </c>
      <c r="G59" s="8">
        <f t="shared" si="6"/>
        <v>2.6315789473684209E-2</v>
      </c>
      <c r="H59" s="73" t="s">
        <v>950</v>
      </c>
      <c r="K59" s="14"/>
    </row>
    <row r="60" spans="1:11">
      <c r="A60" s="108"/>
      <c r="B60" s="3" t="s">
        <v>94</v>
      </c>
      <c r="C60" s="29" t="s">
        <v>75</v>
      </c>
      <c r="D60" s="15"/>
      <c r="E60" s="16" t="s">
        <v>373</v>
      </c>
      <c r="G60" s="8">
        <f t="shared" si="6"/>
        <v>2.6315789473684209E-2</v>
      </c>
      <c r="H60" s="73" t="s">
        <v>950</v>
      </c>
      <c r="K60" s="14"/>
    </row>
    <row r="61" spans="1:11">
      <c r="A61" s="108"/>
      <c r="B61" s="3" t="s">
        <v>95</v>
      </c>
      <c r="C61" s="29" t="s">
        <v>73</v>
      </c>
      <c r="D61" s="15"/>
      <c r="E61" s="16" t="s">
        <v>374</v>
      </c>
      <c r="G61" s="8">
        <f t="shared" si="6"/>
        <v>2.6315789473684209E-2</v>
      </c>
      <c r="H61" s="73" t="s">
        <v>950</v>
      </c>
      <c r="K61" s="14"/>
    </row>
    <row r="62" spans="1:11">
      <c r="A62" s="108"/>
      <c r="B62" s="3" t="s">
        <v>96</v>
      </c>
      <c r="C62" s="29" t="s">
        <v>74</v>
      </c>
      <c r="D62" s="32" t="s">
        <v>688</v>
      </c>
      <c r="E62" s="16" t="s">
        <v>375</v>
      </c>
      <c r="G62" s="8">
        <f t="shared" si="6"/>
        <v>2.6315789473684209E-2</v>
      </c>
      <c r="H62" s="73" t="s">
        <v>950</v>
      </c>
      <c r="K62" s="14"/>
    </row>
    <row r="63" spans="1:11">
      <c r="A63" s="108"/>
      <c r="B63" s="3" t="s">
        <v>97</v>
      </c>
      <c r="C63" s="29" t="s">
        <v>72</v>
      </c>
      <c r="D63" s="15"/>
      <c r="E63" s="16" t="s">
        <v>376</v>
      </c>
      <c r="G63" s="8">
        <f t="shared" si="6"/>
        <v>2.6315789473684209E-2</v>
      </c>
      <c r="H63" s="73" t="s">
        <v>950</v>
      </c>
      <c r="K63" s="14"/>
    </row>
    <row r="64" spans="1:11">
      <c r="A64" s="108"/>
      <c r="B64" s="3" t="s">
        <v>98</v>
      </c>
      <c r="C64" s="29" t="s">
        <v>69</v>
      </c>
      <c r="D64" s="15"/>
      <c r="E64" s="16" t="s">
        <v>377</v>
      </c>
      <c r="G64" s="8">
        <f t="shared" si="6"/>
        <v>2.6315789473684209E-2</v>
      </c>
      <c r="H64" s="73" t="s">
        <v>950</v>
      </c>
      <c r="K64" s="14"/>
    </row>
    <row r="65" spans="1:11">
      <c r="A65" s="108"/>
      <c r="B65" s="3" t="s">
        <v>99</v>
      </c>
      <c r="C65" s="29" t="s">
        <v>70</v>
      </c>
      <c r="D65" s="15"/>
      <c r="E65" s="16" t="s">
        <v>378</v>
      </c>
      <c r="G65" s="8">
        <f t="shared" si="6"/>
        <v>2.6315789473684209E-2</v>
      </c>
      <c r="H65" s="73" t="s">
        <v>950</v>
      </c>
      <c r="K65" s="14"/>
    </row>
    <row r="66" spans="1:11">
      <c r="A66" s="108"/>
      <c r="B66" s="3" t="s">
        <v>100</v>
      </c>
      <c r="C66" s="29" t="s">
        <v>68</v>
      </c>
      <c r="D66" s="32"/>
      <c r="E66" s="16" t="s">
        <v>379</v>
      </c>
      <c r="G66" s="8">
        <f t="shared" si="6"/>
        <v>2.6315789473684209E-2</v>
      </c>
      <c r="H66" s="73" t="s">
        <v>950</v>
      </c>
      <c r="K66" s="14"/>
    </row>
    <row r="67" spans="1:11">
      <c r="A67" s="108"/>
      <c r="B67" s="3" t="s">
        <v>101</v>
      </c>
      <c r="C67" s="29" t="s">
        <v>71</v>
      </c>
      <c r="D67" s="15" t="s">
        <v>727</v>
      </c>
      <c r="E67" s="16" t="s">
        <v>380</v>
      </c>
      <c r="G67" s="8">
        <f t="shared" si="6"/>
        <v>2.6315789473684209E-2</v>
      </c>
      <c r="H67" s="73" t="s">
        <v>950</v>
      </c>
      <c r="K67" s="14"/>
    </row>
    <row r="68" spans="1:11">
      <c r="A68" s="108"/>
      <c r="B68" s="3" t="s">
        <v>102</v>
      </c>
      <c r="C68" s="29" t="s">
        <v>67</v>
      </c>
      <c r="D68" s="32"/>
      <c r="E68" s="16" t="s">
        <v>381</v>
      </c>
      <c r="G68" s="8">
        <f t="shared" si="6"/>
        <v>2.6315789473684209E-2</v>
      </c>
      <c r="H68" s="73" t="s">
        <v>950</v>
      </c>
      <c r="K68" s="14"/>
    </row>
    <row r="69" spans="1:11">
      <c r="A69" s="108"/>
      <c r="B69" s="3" t="s">
        <v>103</v>
      </c>
      <c r="C69" s="29" t="s">
        <v>66</v>
      </c>
      <c r="D69" s="15"/>
      <c r="E69" s="16" t="s">
        <v>382</v>
      </c>
      <c r="G69" s="8">
        <f t="shared" si="6"/>
        <v>2.6315789473684209E-2</v>
      </c>
      <c r="H69" s="73" t="s">
        <v>950</v>
      </c>
      <c r="K69" s="14"/>
    </row>
    <row r="70" spans="1:11">
      <c r="A70" s="24" t="s">
        <v>622</v>
      </c>
      <c r="B70" s="3" t="s">
        <v>383</v>
      </c>
      <c r="C70" s="29" t="s">
        <v>383</v>
      </c>
      <c r="D70" s="15"/>
      <c r="E70" s="16" t="s">
        <v>384</v>
      </c>
      <c r="G70" s="8">
        <v>1</v>
      </c>
      <c r="H70" s="73" t="s">
        <v>950</v>
      </c>
      <c r="K70" s="14"/>
    </row>
    <row r="71" spans="1:11">
      <c r="A71" s="108" t="s">
        <v>8</v>
      </c>
      <c r="B71" s="3" t="s">
        <v>104</v>
      </c>
      <c r="C71" s="29" t="s">
        <v>106</v>
      </c>
      <c r="D71" s="15"/>
      <c r="E71" s="16" t="s">
        <v>385</v>
      </c>
      <c r="G71" s="8">
        <v>0.33329999999999999</v>
      </c>
      <c r="H71" s="73" t="s">
        <v>950</v>
      </c>
      <c r="K71" s="14"/>
    </row>
    <row r="72" spans="1:11">
      <c r="A72" s="108"/>
      <c r="B72" s="3" t="s">
        <v>105</v>
      </c>
      <c r="C72" s="29" t="s">
        <v>105</v>
      </c>
      <c r="D72" s="15"/>
      <c r="E72" s="16" t="s">
        <v>386</v>
      </c>
      <c r="G72" s="8">
        <v>0.33329999999999999</v>
      </c>
      <c r="H72" s="73" t="s">
        <v>950</v>
      </c>
      <c r="K72" s="14"/>
    </row>
    <row r="73" spans="1:11">
      <c r="A73" s="108"/>
      <c r="B73" s="3" t="s">
        <v>106</v>
      </c>
      <c r="C73" s="29" t="s">
        <v>104</v>
      </c>
      <c r="D73" s="15"/>
      <c r="E73" s="16" t="s">
        <v>387</v>
      </c>
      <c r="G73" s="8">
        <v>0.33329999999999999</v>
      </c>
      <c r="H73" s="73" t="s">
        <v>950</v>
      </c>
      <c r="K73" s="14"/>
    </row>
    <row r="74" spans="1:11">
      <c r="A74" s="108" t="s">
        <v>9</v>
      </c>
      <c r="B74" s="3" t="s">
        <v>107</v>
      </c>
      <c r="C74" s="29" t="s">
        <v>114</v>
      </c>
      <c r="D74" s="15"/>
      <c r="E74" s="16" t="s">
        <v>388</v>
      </c>
      <c r="G74" s="8">
        <f xml:space="preserve"> 1/ROWS(C74:C86)</f>
        <v>7.6923076923076927E-2</v>
      </c>
      <c r="H74" s="73" t="s">
        <v>950</v>
      </c>
      <c r="K74" s="14"/>
    </row>
    <row r="75" spans="1:11">
      <c r="A75" s="108"/>
      <c r="B75" s="3" t="s">
        <v>108</v>
      </c>
      <c r="C75" s="29" t="s">
        <v>389</v>
      </c>
      <c r="D75" s="15"/>
      <c r="E75" s="16" t="s">
        <v>390</v>
      </c>
      <c r="G75" s="8">
        <f t="shared" ref="G75:G86" si="7" xml:space="preserve"> 1/ROWS(C75:C87)</f>
        <v>7.6923076923076927E-2</v>
      </c>
      <c r="H75" s="73" t="s">
        <v>950</v>
      </c>
      <c r="K75" s="14"/>
    </row>
    <row r="76" spans="1:11">
      <c r="A76" s="108"/>
      <c r="B76" s="3" t="s">
        <v>109</v>
      </c>
      <c r="C76" s="29" t="s">
        <v>391</v>
      </c>
      <c r="D76" s="15"/>
      <c r="E76" s="16" t="s">
        <v>392</v>
      </c>
      <c r="G76" s="8">
        <f t="shared" si="7"/>
        <v>7.6923076923076927E-2</v>
      </c>
      <c r="H76" s="73" t="s">
        <v>950</v>
      </c>
    </row>
    <row r="77" spans="1:11">
      <c r="A77" s="108"/>
      <c r="B77" s="3" t="s">
        <v>110</v>
      </c>
      <c r="C77" s="29" t="s">
        <v>393</v>
      </c>
      <c r="D77" s="15"/>
      <c r="E77" s="16" t="s">
        <v>394</v>
      </c>
      <c r="G77" s="8">
        <f t="shared" si="7"/>
        <v>7.6923076923076927E-2</v>
      </c>
      <c r="H77" s="73" t="s">
        <v>950</v>
      </c>
    </row>
    <row r="78" spans="1:11">
      <c r="A78" s="108"/>
      <c r="B78" s="3" t="s">
        <v>111</v>
      </c>
      <c r="C78" s="29" t="s">
        <v>115</v>
      </c>
      <c r="D78" s="15"/>
      <c r="E78" s="16" t="s">
        <v>395</v>
      </c>
      <c r="G78" s="8">
        <f t="shared" si="7"/>
        <v>7.6923076923076927E-2</v>
      </c>
      <c r="H78" s="73" t="s">
        <v>950</v>
      </c>
    </row>
    <row r="79" spans="1:11">
      <c r="A79" s="108"/>
      <c r="B79" s="3" t="s">
        <v>112</v>
      </c>
      <c r="C79" s="29" t="s">
        <v>110</v>
      </c>
      <c r="D79" s="15"/>
      <c r="E79" s="16" t="s">
        <v>396</v>
      </c>
      <c r="G79" s="8">
        <f t="shared" si="7"/>
        <v>7.6923076923076927E-2</v>
      </c>
      <c r="H79" s="73" t="s">
        <v>950</v>
      </c>
    </row>
    <row r="80" spans="1:11">
      <c r="A80" s="108"/>
      <c r="B80" s="3" t="s">
        <v>113</v>
      </c>
      <c r="C80" s="29" t="s">
        <v>112</v>
      </c>
      <c r="D80" s="15"/>
      <c r="E80" s="16" t="s">
        <v>397</v>
      </c>
      <c r="G80" s="8">
        <f t="shared" si="7"/>
        <v>7.6923076923076927E-2</v>
      </c>
      <c r="H80" s="73" t="s">
        <v>950</v>
      </c>
    </row>
    <row r="81" spans="1:8">
      <c r="A81" s="108"/>
      <c r="B81" s="3" t="s">
        <v>114</v>
      </c>
      <c r="C81" s="29" t="s">
        <v>111</v>
      </c>
      <c r="D81" s="15"/>
      <c r="E81" s="16" t="s">
        <v>398</v>
      </c>
      <c r="G81" s="8">
        <f t="shared" si="7"/>
        <v>7.6923076923076927E-2</v>
      </c>
      <c r="H81" s="73" t="s">
        <v>950</v>
      </c>
    </row>
    <row r="82" spans="1:8">
      <c r="A82" s="108"/>
      <c r="B82" s="3" t="s">
        <v>115</v>
      </c>
      <c r="C82" s="29" t="s">
        <v>107</v>
      </c>
      <c r="D82" s="15"/>
      <c r="E82" s="16" t="s">
        <v>399</v>
      </c>
      <c r="G82" s="8">
        <f t="shared" si="7"/>
        <v>7.6923076923076927E-2</v>
      </c>
      <c r="H82" s="73" t="s">
        <v>950</v>
      </c>
    </row>
    <row r="83" spans="1:8">
      <c r="A83" s="108"/>
      <c r="C83" s="29" t="s">
        <v>400</v>
      </c>
      <c r="D83" s="15"/>
      <c r="E83" s="16" t="s">
        <v>401</v>
      </c>
      <c r="G83" s="8">
        <f t="shared" si="7"/>
        <v>7.6923076923076927E-2</v>
      </c>
      <c r="H83" s="73" t="s">
        <v>950</v>
      </c>
    </row>
    <row r="84" spans="1:8">
      <c r="A84" s="108"/>
      <c r="C84" s="29" t="s">
        <v>113</v>
      </c>
      <c r="D84" s="15"/>
      <c r="E84" s="16" t="s">
        <v>402</v>
      </c>
      <c r="G84" s="8">
        <f t="shared" si="7"/>
        <v>7.6923076923076927E-2</v>
      </c>
      <c r="H84" s="73" t="s">
        <v>950</v>
      </c>
    </row>
    <row r="85" spans="1:8">
      <c r="A85" s="108"/>
      <c r="C85" s="29" t="s">
        <v>108</v>
      </c>
      <c r="D85" s="15"/>
      <c r="E85" s="16" t="s">
        <v>403</v>
      </c>
      <c r="G85" s="8">
        <f t="shared" si="7"/>
        <v>7.6923076923076927E-2</v>
      </c>
      <c r="H85" s="73" t="s">
        <v>950</v>
      </c>
    </row>
    <row r="86" spans="1:8">
      <c r="A86" s="108"/>
      <c r="C86" s="29" t="s">
        <v>109</v>
      </c>
      <c r="D86" s="15"/>
      <c r="E86" s="16" t="s">
        <v>404</v>
      </c>
      <c r="G86" s="8">
        <f t="shared" si="7"/>
        <v>7.6923076923076927E-2</v>
      </c>
      <c r="H86" s="73" t="s">
        <v>950</v>
      </c>
    </row>
    <row r="87" spans="1:8">
      <c r="A87" s="108" t="s">
        <v>10</v>
      </c>
      <c r="B87" s="3" t="s">
        <v>116</v>
      </c>
      <c r="C87" s="29" t="s">
        <v>120</v>
      </c>
      <c r="D87" s="15"/>
      <c r="E87" s="16" t="s">
        <v>405</v>
      </c>
      <c r="G87" s="8">
        <f xml:space="preserve"> 1/ROWS(C87:C105)</f>
        <v>5.2631578947368418E-2</v>
      </c>
      <c r="H87" s="73" t="s">
        <v>950</v>
      </c>
    </row>
    <row r="88" spans="1:8">
      <c r="A88" s="108"/>
      <c r="B88" s="3" t="s">
        <v>117</v>
      </c>
      <c r="C88" s="29" t="s">
        <v>117</v>
      </c>
      <c r="D88" s="15"/>
      <c r="E88" s="16" t="s">
        <v>406</v>
      </c>
      <c r="G88" s="8">
        <f t="shared" ref="G88:G105" si="8" xml:space="preserve"> 1/ROWS(C88:C106)</f>
        <v>5.2631578947368418E-2</v>
      </c>
      <c r="H88" s="73" t="s">
        <v>950</v>
      </c>
    </row>
    <row r="89" spans="1:8">
      <c r="A89" s="108"/>
      <c r="B89" s="3" t="s">
        <v>118</v>
      </c>
      <c r="C89" s="29" t="s">
        <v>128</v>
      </c>
      <c r="D89" s="15"/>
      <c r="E89" s="16" t="s">
        <v>407</v>
      </c>
      <c r="G89" s="8">
        <f t="shared" si="8"/>
        <v>5.2631578947368418E-2</v>
      </c>
      <c r="H89" s="73" t="s">
        <v>950</v>
      </c>
    </row>
    <row r="90" spans="1:8">
      <c r="A90" s="108"/>
      <c r="B90" s="3" t="s">
        <v>119</v>
      </c>
      <c r="C90" s="29" t="s">
        <v>118</v>
      </c>
      <c r="D90" s="15"/>
      <c r="E90" s="16" t="s">
        <v>408</v>
      </c>
      <c r="G90" s="8">
        <f t="shared" si="8"/>
        <v>5.2631578947368418E-2</v>
      </c>
      <c r="H90" s="73" t="s">
        <v>950</v>
      </c>
    </row>
    <row r="91" spans="1:8">
      <c r="A91" s="108"/>
      <c r="B91" s="3" t="s">
        <v>120</v>
      </c>
      <c r="C91" s="29" t="s">
        <v>123</v>
      </c>
      <c r="D91" s="15"/>
      <c r="E91" s="16" t="s">
        <v>409</v>
      </c>
      <c r="G91" s="8">
        <f t="shared" si="8"/>
        <v>5.2631578947368418E-2</v>
      </c>
      <c r="H91" s="73" t="s">
        <v>950</v>
      </c>
    </row>
    <row r="92" spans="1:8">
      <c r="A92" s="108"/>
      <c r="B92" s="3" t="s">
        <v>121</v>
      </c>
      <c r="C92" s="29" t="s">
        <v>119</v>
      </c>
      <c r="D92" s="15"/>
      <c r="E92" s="16" t="s">
        <v>410</v>
      </c>
      <c r="G92" s="8">
        <f t="shared" si="8"/>
        <v>5.2631578947368418E-2</v>
      </c>
      <c r="H92" s="73" t="s">
        <v>950</v>
      </c>
    </row>
    <row r="93" spans="1:8">
      <c r="A93" s="108"/>
      <c r="B93" s="3" t="s">
        <v>122</v>
      </c>
      <c r="C93" s="29" t="s">
        <v>129</v>
      </c>
      <c r="D93" s="15"/>
      <c r="E93" s="16" t="s">
        <v>411</v>
      </c>
      <c r="G93" s="8">
        <f t="shared" si="8"/>
        <v>5.2631578947368418E-2</v>
      </c>
      <c r="H93" s="73" t="s">
        <v>950</v>
      </c>
    </row>
    <row r="94" spans="1:8">
      <c r="A94" s="108"/>
      <c r="B94" s="3" t="s">
        <v>123</v>
      </c>
      <c r="C94" s="29" t="s">
        <v>124</v>
      </c>
      <c r="D94" s="15"/>
      <c r="E94" s="16" t="s">
        <v>412</v>
      </c>
      <c r="G94" s="8">
        <f t="shared" si="8"/>
        <v>5.2631578947368418E-2</v>
      </c>
      <c r="H94" s="73" t="s">
        <v>950</v>
      </c>
    </row>
    <row r="95" spans="1:8">
      <c r="A95" s="108"/>
      <c r="B95" s="3" t="s">
        <v>124</v>
      </c>
      <c r="C95" s="29" t="s">
        <v>126</v>
      </c>
      <c r="D95" s="15"/>
      <c r="E95" s="16" t="s">
        <v>413</v>
      </c>
      <c r="G95" s="8">
        <f t="shared" si="8"/>
        <v>5.2631578947368418E-2</v>
      </c>
      <c r="H95" s="73" t="s">
        <v>950</v>
      </c>
    </row>
    <row r="96" spans="1:8">
      <c r="A96" s="108"/>
      <c r="B96" s="3" t="s">
        <v>125</v>
      </c>
      <c r="C96" s="29" t="s">
        <v>127</v>
      </c>
      <c r="D96" s="15"/>
      <c r="E96" s="16" t="s">
        <v>414</v>
      </c>
      <c r="G96" s="8">
        <f t="shared" si="8"/>
        <v>5.2631578947368418E-2</v>
      </c>
      <c r="H96" s="73" t="s">
        <v>950</v>
      </c>
    </row>
    <row r="97" spans="1:8">
      <c r="A97" s="108"/>
      <c r="B97" s="3" t="s">
        <v>126</v>
      </c>
      <c r="C97" s="29" t="s">
        <v>121</v>
      </c>
      <c r="D97" s="15"/>
      <c r="E97" s="16" t="s">
        <v>415</v>
      </c>
      <c r="G97" s="8">
        <f t="shared" si="8"/>
        <v>5.2631578947368418E-2</v>
      </c>
      <c r="H97" s="73" t="s">
        <v>950</v>
      </c>
    </row>
    <row r="98" spans="1:8">
      <c r="A98" s="108"/>
      <c r="B98" s="3" t="s">
        <v>127</v>
      </c>
      <c r="C98" s="29" t="s">
        <v>125</v>
      </c>
      <c r="D98" s="15"/>
      <c r="E98" s="16" t="s">
        <v>416</v>
      </c>
      <c r="G98" s="8">
        <f t="shared" si="8"/>
        <v>5.2631578947368418E-2</v>
      </c>
      <c r="H98" s="73" t="s">
        <v>950</v>
      </c>
    </row>
    <row r="99" spans="1:8">
      <c r="A99" s="108"/>
      <c r="B99" s="3" t="s">
        <v>128</v>
      </c>
      <c r="C99" s="29" t="s">
        <v>122</v>
      </c>
      <c r="D99" s="15"/>
      <c r="E99" s="16" t="s">
        <v>417</v>
      </c>
      <c r="G99" s="8">
        <f t="shared" si="8"/>
        <v>5.2631578947368418E-2</v>
      </c>
      <c r="H99" s="73" t="s">
        <v>950</v>
      </c>
    </row>
    <row r="100" spans="1:8">
      <c r="A100" s="108"/>
      <c r="B100" s="3" t="s">
        <v>129</v>
      </c>
      <c r="C100" s="29" t="s">
        <v>418</v>
      </c>
      <c r="D100" s="15"/>
      <c r="E100" s="16" t="s">
        <v>419</v>
      </c>
      <c r="G100" s="8">
        <f t="shared" si="8"/>
        <v>5.2631578947368418E-2</v>
      </c>
      <c r="H100" s="73" t="s">
        <v>950</v>
      </c>
    </row>
    <row r="101" spans="1:8">
      <c r="A101" s="108"/>
      <c r="B101" s="3" t="s">
        <v>130</v>
      </c>
      <c r="C101" s="29" t="s">
        <v>130</v>
      </c>
      <c r="D101" s="15"/>
      <c r="E101" s="16" t="s">
        <v>420</v>
      </c>
      <c r="G101" s="8">
        <f t="shared" si="8"/>
        <v>5.2631578947368418E-2</v>
      </c>
      <c r="H101" s="73" t="s">
        <v>950</v>
      </c>
    </row>
    <row r="102" spans="1:8">
      <c r="A102" s="108"/>
      <c r="C102" s="29" t="s">
        <v>116</v>
      </c>
      <c r="D102" s="15"/>
      <c r="E102" s="16" t="s">
        <v>421</v>
      </c>
      <c r="G102" s="8">
        <f t="shared" si="8"/>
        <v>5.2631578947368418E-2</v>
      </c>
      <c r="H102" s="73" t="s">
        <v>950</v>
      </c>
    </row>
    <row r="103" spans="1:8">
      <c r="A103" s="108"/>
      <c r="C103" s="29" t="s">
        <v>422</v>
      </c>
      <c r="D103" s="15"/>
      <c r="E103" s="16" t="s">
        <v>423</v>
      </c>
      <c r="G103" s="8">
        <f t="shared" si="8"/>
        <v>5.2631578947368418E-2</v>
      </c>
      <c r="H103" s="73" t="s">
        <v>950</v>
      </c>
    </row>
    <row r="104" spans="1:8">
      <c r="A104" s="108"/>
      <c r="C104" s="29" t="s">
        <v>424</v>
      </c>
      <c r="D104" s="15"/>
      <c r="E104" s="16" t="s">
        <v>425</v>
      </c>
      <c r="G104" s="8">
        <f t="shared" si="8"/>
        <v>5.2631578947368418E-2</v>
      </c>
      <c r="H104" s="73" t="s">
        <v>950</v>
      </c>
    </row>
    <row r="105" spans="1:8">
      <c r="A105" s="108"/>
      <c r="C105" s="29" t="s">
        <v>426</v>
      </c>
      <c r="D105" s="15"/>
      <c r="E105" s="16" t="s">
        <v>427</v>
      </c>
      <c r="G105" s="8">
        <f t="shared" si="8"/>
        <v>5.2631578947368418E-2</v>
      </c>
      <c r="H105" s="73" t="s">
        <v>950</v>
      </c>
    </row>
    <row r="106" spans="1:8">
      <c r="A106" s="108" t="s">
        <v>11</v>
      </c>
      <c r="B106" s="3" t="s">
        <v>131</v>
      </c>
      <c r="C106" s="29" t="s">
        <v>132</v>
      </c>
      <c r="D106" s="15"/>
      <c r="E106" s="16" t="s">
        <v>428</v>
      </c>
      <c r="G106" s="8">
        <f xml:space="preserve"> 1/ROWS(C106:C132)</f>
        <v>3.7037037037037035E-2</v>
      </c>
      <c r="H106" s="73" t="s">
        <v>950</v>
      </c>
    </row>
    <row r="107" spans="1:8">
      <c r="A107" s="108"/>
      <c r="B107" s="3" t="s">
        <v>132</v>
      </c>
      <c r="C107" s="29" t="s">
        <v>143</v>
      </c>
      <c r="D107" s="15"/>
      <c r="E107" s="16" t="s">
        <v>429</v>
      </c>
      <c r="G107" s="8">
        <f t="shared" ref="G107:G108" si="9" xml:space="preserve"> 1/ROWS(C107:C133)</f>
        <v>3.7037037037037035E-2</v>
      </c>
      <c r="H107" s="73" t="s">
        <v>950</v>
      </c>
    </row>
    <row r="108" spans="1:8">
      <c r="A108" s="108"/>
      <c r="B108" s="3" t="s">
        <v>133</v>
      </c>
      <c r="C108" s="29" t="s">
        <v>141</v>
      </c>
      <c r="D108" s="15"/>
      <c r="E108" s="16" t="s">
        <v>430</v>
      </c>
      <c r="G108" s="8">
        <f t="shared" si="9"/>
        <v>3.7037037037037035E-2</v>
      </c>
      <c r="H108" s="73" t="s">
        <v>950</v>
      </c>
    </row>
    <row r="109" spans="1:8">
      <c r="A109" s="108"/>
      <c r="B109" s="3" t="s">
        <v>134</v>
      </c>
      <c r="C109" s="29" t="s">
        <v>138</v>
      </c>
      <c r="D109" s="15"/>
      <c r="E109" s="16" t="s">
        <v>431</v>
      </c>
      <c r="G109" s="8">
        <f t="shared" ref="G109:G132" si="10" xml:space="preserve"> 1/ROWS(C109:C136)</f>
        <v>3.5714285714285712E-2</v>
      </c>
      <c r="H109" s="73" t="s">
        <v>950</v>
      </c>
    </row>
    <row r="110" spans="1:8">
      <c r="A110" s="108"/>
      <c r="B110" s="3" t="s">
        <v>135</v>
      </c>
      <c r="C110" s="30" t="s">
        <v>145</v>
      </c>
      <c r="D110" s="16"/>
      <c r="E110" s="19" t="s">
        <v>432</v>
      </c>
      <c r="G110" s="8">
        <f t="shared" si="10"/>
        <v>3.5714285714285712E-2</v>
      </c>
      <c r="H110" s="73" t="s">
        <v>950</v>
      </c>
    </row>
    <row r="111" spans="1:8">
      <c r="A111" s="108"/>
      <c r="B111" s="3" t="s">
        <v>136</v>
      </c>
      <c r="C111" s="30" t="s">
        <v>137</v>
      </c>
      <c r="D111" s="31"/>
      <c r="E111" s="19" t="s">
        <v>433</v>
      </c>
      <c r="G111" s="8">
        <f t="shared" si="10"/>
        <v>3.5714285714285712E-2</v>
      </c>
      <c r="H111" s="73" t="s">
        <v>950</v>
      </c>
    </row>
    <row r="112" spans="1:8">
      <c r="A112" s="108"/>
      <c r="B112" s="3" t="s">
        <v>137</v>
      </c>
      <c r="C112" s="29" t="s">
        <v>134</v>
      </c>
      <c r="D112" s="32"/>
      <c r="E112" s="16" t="s">
        <v>434</v>
      </c>
      <c r="G112" s="8">
        <f t="shared" si="10"/>
        <v>3.5714285714285712E-2</v>
      </c>
      <c r="H112" s="73" t="s">
        <v>950</v>
      </c>
    </row>
    <row r="113" spans="1:8">
      <c r="A113" s="108"/>
      <c r="B113" s="3" t="s">
        <v>138</v>
      </c>
      <c r="C113" s="29" t="s">
        <v>151</v>
      </c>
      <c r="D113" s="15"/>
      <c r="E113" s="16" t="s">
        <v>435</v>
      </c>
      <c r="G113" s="8">
        <f t="shared" si="10"/>
        <v>3.5714285714285712E-2</v>
      </c>
      <c r="H113" s="73" t="s">
        <v>950</v>
      </c>
    </row>
    <row r="114" spans="1:8">
      <c r="A114" s="108"/>
      <c r="B114" s="3" t="s">
        <v>139</v>
      </c>
      <c r="C114" s="29" t="s">
        <v>133</v>
      </c>
      <c r="D114" s="15"/>
      <c r="E114" s="16" t="s">
        <v>436</v>
      </c>
      <c r="G114" s="8">
        <f t="shared" si="10"/>
        <v>3.5714285714285712E-2</v>
      </c>
      <c r="H114" s="73" t="s">
        <v>950</v>
      </c>
    </row>
    <row r="115" spans="1:8">
      <c r="A115" s="108"/>
      <c r="B115" s="3" t="s">
        <v>140</v>
      </c>
      <c r="C115" s="29" t="s">
        <v>148</v>
      </c>
      <c r="D115" s="15"/>
      <c r="E115" s="16" t="s">
        <v>437</v>
      </c>
      <c r="G115" s="8">
        <f t="shared" si="10"/>
        <v>3.5714285714285712E-2</v>
      </c>
      <c r="H115" s="73" t="s">
        <v>950</v>
      </c>
    </row>
    <row r="116" spans="1:8">
      <c r="A116" s="108"/>
      <c r="B116" s="3" t="s">
        <v>141</v>
      </c>
      <c r="C116" s="29" t="s">
        <v>135</v>
      </c>
      <c r="D116" s="15"/>
      <c r="E116" s="16" t="s">
        <v>438</v>
      </c>
      <c r="G116" s="8">
        <f t="shared" si="10"/>
        <v>3.5714285714285712E-2</v>
      </c>
      <c r="H116" s="73" t="s">
        <v>950</v>
      </c>
    </row>
    <row r="117" spans="1:8">
      <c r="A117" s="108"/>
      <c r="B117" s="3" t="s">
        <v>142</v>
      </c>
      <c r="C117" s="29" t="s">
        <v>136</v>
      </c>
      <c r="D117" s="15"/>
      <c r="E117" s="16" t="s">
        <v>439</v>
      </c>
      <c r="G117" s="8">
        <f t="shared" si="10"/>
        <v>3.5714285714285712E-2</v>
      </c>
      <c r="H117" s="73" t="s">
        <v>950</v>
      </c>
    </row>
    <row r="118" spans="1:8">
      <c r="A118" s="108"/>
      <c r="B118" s="3" t="s">
        <v>143</v>
      </c>
      <c r="C118" s="29" t="s">
        <v>140</v>
      </c>
      <c r="D118" s="15"/>
      <c r="E118" s="16" t="s">
        <v>440</v>
      </c>
      <c r="G118" s="8">
        <f t="shared" si="10"/>
        <v>3.5714285714285712E-2</v>
      </c>
      <c r="H118" s="73" t="s">
        <v>950</v>
      </c>
    </row>
    <row r="119" spans="1:8">
      <c r="A119" s="108"/>
      <c r="B119" s="3" t="s">
        <v>144</v>
      </c>
      <c r="C119" s="29" t="s">
        <v>139</v>
      </c>
      <c r="D119" s="15"/>
      <c r="E119" s="16" t="s">
        <v>441</v>
      </c>
      <c r="G119" s="8">
        <f t="shared" si="10"/>
        <v>3.5714285714285712E-2</v>
      </c>
      <c r="H119" s="73" t="s">
        <v>950</v>
      </c>
    </row>
    <row r="120" spans="1:8">
      <c r="A120" s="108"/>
      <c r="B120" s="3" t="s">
        <v>145</v>
      </c>
      <c r="C120" s="29" t="s">
        <v>142</v>
      </c>
      <c r="D120" s="15"/>
      <c r="E120" s="16" t="s">
        <v>442</v>
      </c>
      <c r="G120" s="8">
        <f t="shared" si="10"/>
        <v>3.5714285714285712E-2</v>
      </c>
      <c r="H120" s="73" t="s">
        <v>950</v>
      </c>
    </row>
    <row r="121" spans="1:8">
      <c r="A121" s="108"/>
      <c r="B121" s="3" t="s">
        <v>146</v>
      </c>
      <c r="C121" s="29" t="s">
        <v>144</v>
      </c>
      <c r="D121" s="15"/>
      <c r="E121" s="16" t="s">
        <v>443</v>
      </c>
      <c r="G121" s="8">
        <f t="shared" si="10"/>
        <v>3.5714285714285712E-2</v>
      </c>
      <c r="H121" s="73" t="s">
        <v>950</v>
      </c>
    </row>
    <row r="122" spans="1:8">
      <c r="A122" s="108"/>
      <c r="B122" s="3" t="s">
        <v>147</v>
      </c>
      <c r="C122" s="29" t="s">
        <v>146</v>
      </c>
      <c r="D122" s="15"/>
      <c r="E122" s="16" t="s">
        <v>444</v>
      </c>
      <c r="G122" s="8">
        <f t="shared" si="10"/>
        <v>3.5714285714285712E-2</v>
      </c>
      <c r="H122" s="73" t="s">
        <v>950</v>
      </c>
    </row>
    <row r="123" spans="1:8">
      <c r="A123" s="108"/>
      <c r="B123" s="3" t="s">
        <v>148</v>
      </c>
      <c r="C123" s="29" t="s">
        <v>147</v>
      </c>
      <c r="D123" s="15"/>
      <c r="E123" s="16" t="s">
        <v>445</v>
      </c>
      <c r="G123" s="8">
        <f t="shared" si="10"/>
        <v>3.5714285714285712E-2</v>
      </c>
      <c r="H123" s="73" t="s">
        <v>950</v>
      </c>
    </row>
    <row r="124" spans="1:8">
      <c r="A124" s="108"/>
      <c r="B124" s="3" t="s">
        <v>149</v>
      </c>
      <c r="C124" s="29" t="s">
        <v>150</v>
      </c>
      <c r="D124" s="15"/>
      <c r="E124" s="16" t="s">
        <v>446</v>
      </c>
      <c r="G124" s="8">
        <f t="shared" si="10"/>
        <v>3.5714285714285712E-2</v>
      </c>
      <c r="H124" s="73" t="s">
        <v>950</v>
      </c>
    </row>
    <row r="125" spans="1:8">
      <c r="A125" s="108"/>
      <c r="B125" s="3" t="s">
        <v>150</v>
      </c>
      <c r="C125" s="29" t="s">
        <v>152</v>
      </c>
      <c r="D125" s="15"/>
      <c r="E125" s="16" t="s">
        <v>447</v>
      </c>
      <c r="G125" s="8">
        <f t="shared" si="10"/>
        <v>3.5714285714285712E-2</v>
      </c>
      <c r="H125" s="73" t="s">
        <v>950</v>
      </c>
    </row>
    <row r="126" spans="1:8">
      <c r="A126" s="108"/>
      <c r="B126" s="3" t="s">
        <v>151</v>
      </c>
      <c r="C126" s="29" t="s">
        <v>149</v>
      </c>
      <c r="D126" s="15"/>
      <c r="E126" s="16" t="s">
        <v>448</v>
      </c>
      <c r="G126" s="8">
        <f t="shared" si="10"/>
        <v>3.5714285714285712E-2</v>
      </c>
      <c r="H126" s="73" t="s">
        <v>950</v>
      </c>
    </row>
    <row r="127" spans="1:8">
      <c r="A127" s="108"/>
      <c r="B127" s="3" t="s">
        <v>152</v>
      </c>
      <c r="C127" s="29" t="s">
        <v>131</v>
      </c>
      <c r="D127" s="15"/>
      <c r="E127" s="16" t="s">
        <v>449</v>
      </c>
      <c r="G127" s="8">
        <f t="shared" si="10"/>
        <v>3.5714285714285712E-2</v>
      </c>
      <c r="H127" s="73" t="s">
        <v>950</v>
      </c>
    </row>
    <row r="128" spans="1:8">
      <c r="A128" s="108"/>
      <c r="C128" s="29" t="s">
        <v>450</v>
      </c>
      <c r="D128" s="15"/>
      <c r="E128" s="16" t="s">
        <v>451</v>
      </c>
      <c r="G128" s="8">
        <f t="shared" si="10"/>
        <v>3.5714285714285712E-2</v>
      </c>
      <c r="H128" s="73" t="s">
        <v>950</v>
      </c>
    </row>
    <row r="129" spans="1:8">
      <c r="A129" s="108"/>
      <c r="C129" s="29" t="s">
        <v>452</v>
      </c>
      <c r="D129" s="15"/>
      <c r="E129" s="16" t="s">
        <v>453</v>
      </c>
      <c r="G129" s="8">
        <f t="shared" si="10"/>
        <v>3.5714285714285712E-2</v>
      </c>
      <c r="H129" s="73" t="s">
        <v>950</v>
      </c>
    </row>
    <row r="130" spans="1:8">
      <c r="A130" s="108"/>
      <c r="C130" s="29" t="s">
        <v>454</v>
      </c>
      <c r="D130" s="15"/>
      <c r="E130" s="16" t="s">
        <v>455</v>
      </c>
      <c r="G130" s="8">
        <f t="shared" si="10"/>
        <v>3.5714285714285712E-2</v>
      </c>
      <c r="H130" s="73" t="s">
        <v>950</v>
      </c>
    </row>
    <row r="131" spans="1:8">
      <c r="A131" s="108"/>
      <c r="C131" s="29" t="s">
        <v>456</v>
      </c>
      <c r="D131" s="15"/>
      <c r="E131" s="16" t="s">
        <v>457</v>
      </c>
      <c r="G131" s="8">
        <f t="shared" si="10"/>
        <v>3.5714285714285712E-2</v>
      </c>
      <c r="H131" s="73" t="s">
        <v>950</v>
      </c>
    </row>
    <row r="132" spans="1:8">
      <c r="A132" s="108"/>
      <c r="C132" s="29" t="s">
        <v>458</v>
      </c>
      <c r="D132" s="15"/>
      <c r="E132" s="16" t="s">
        <v>459</v>
      </c>
      <c r="G132" s="8">
        <f t="shared" si="10"/>
        <v>3.5714285714285712E-2</v>
      </c>
      <c r="H132" s="73" t="s">
        <v>950</v>
      </c>
    </row>
    <row r="133" spans="1:8">
      <c r="A133" s="108" t="s">
        <v>12</v>
      </c>
      <c r="B133" s="3" t="s">
        <v>153</v>
      </c>
      <c r="C133" s="19" t="s">
        <v>460</v>
      </c>
      <c r="D133" s="16"/>
      <c r="E133" s="19" t="s">
        <v>461</v>
      </c>
      <c r="G133" s="8">
        <f xml:space="preserve"> 1/ROWS(C133:C137)</f>
        <v>0.2</v>
      </c>
      <c r="H133" s="73" t="s">
        <v>950</v>
      </c>
    </row>
    <row r="134" spans="1:8">
      <c r="A134" s="108"/>
      <c r="B134" s="3" t="s">
        <v>154</v>
      </c>
      <c r="C134" s="29" t="s">
        <v>154</v>
      </c>
      <c r="D134" s="15"/>
      <c r="E134" s="16" t="s">
        <v>462</v>
      </c>
      <c r="G134" s="8">
        <f t="shared" ref="G134:G137" si="11" xml:space="preserve"> 1/ROWS(C134:C138)</f>
        <v>0.2</v>
      </c>
      <c r="H134" s="73" t="s">
        <v>950</v>
      </c>
    </row>
    <row r="135" spans="1:8">
      <c r="A135" s="108"/>
      <c r="C135" s="29" t="s">
        <v>153</v>
      </c>
      <c r="D135" s="15"/>
      <c r="E135" s="16"/>
      <c r="G135" s="8">
        <f t="shared" si="11"/>
        <v>0.2</v>
      </c>
      <c r="H135" s="73" t="s">
        <v>950</v>
      </c>
    </row>
    <row r="136" spans="1:8">
      <c r="A136" s="108"/>
      <c r="C136" s="29" t="s">
        <v>463</v>
      </c>
      <c r="D136" s="15"/>
      <c r="E136" s="16" t="s">
        <v>464</v>
      </c>
      <c r="G136" s="8">
        <f t="shared" si="11"/>
        <v>0.2</v>
      </c>
      <c r="H136" s="73" t="s">
        <v>950</v>
      </c>
    </row>
    <row r="137" spans="1:8">
      <c r="A137" s="108"/>
      <c r="C137" s="29" t="s">
        <v>465</v>
      </c>
      <c r="D137" s="15"/>
      <c r="E137" s="16" t="s">
        <v>466</v>
      </c>
      <c r="G137" s="8">
        <f t="shared" si="11"/>
        <v>0.2</v>
      </c>
      <c r="H137" s="73" t="s">
        <v>950</v>
      </c>
    </row>
    <row r="138" spans="1:8">
      <c r="A138" s="108" t="s">
        <v>13</v>
      </c>
      <c r="B138" s="3" t="s">
        <v>155</v>
      </c>
      <c r="C138" s="29" t="s">
        <v>163</v>
      </c>
      <c r="D138" s="15"/>
      <c r="E138" s="16" t="s">
        <v>467</v>
      </c>
      <c r="G138" s="8">
        <f xml:space="preserve"> 1/ROWS(C138:C158)</f>
        <v>4.7619047619047616E-2</v>
      </c>
      <c r="H138" s="73" t="s">
        <v>950</v>
      </c>
    </row>
    <row r="139" spans="1:8">
      <c r="A139" s="108"/>
      <c r="B139" s="3" t="s">
        <v>156</v>
      </c>
      <c r="C139" s="29" t="s">
        <v>156</v>
      </c>
      <c r="D139" s="15"/>
      <c r="E139" s="16" t="s">
        <v>468</v>
      </c>
      <c r="G139" s="8">
        <f t="shared" ref="G139:G158" si="12" xml:space="preserve"> 1/ROWS(C139:C159)</f>
        <v>4.7619047619047616E-2</v>
      </c>
      <c r="H139" s="73" t="s">
        <v>950</v>
      </c>
    </row>
    <row r="140" spans="1:8">
      <c r="A140" s="108"/>
      <c r="B140" s="3" t="s">
        <v>157</v>
      </c>
      <c r="C140" s="29" t="s">
        <v>167</v>
      </c>
      <c r="D140" s="15"/>
      <c r="E140" s="16" t="s">
        <v>469</v>
      </c>
      <c r="G140" s="8">
        <f t="shared" si="12"/>
        <v>4.7619047619047616E-2</v>
      </c>
      <c r="H140" s="73" t="s">
        <v>950</v>
      </c>
    </row>
    <row r="141" spans="1:8">
      <c r="A141" s="108"/>
      <c r="B141" s="3" t="s">
        <v>158</v>
      </c>
      <c r="C141" s="29" t="s">
        <v>166</v>
      </c>
      <c r="D141" s="15"/>
      <c r="E141" s="16" t="s">
        <v>470</v>
      </c>
      <c r="G141" s="8">
        <f t="shared" si="12"/>
        <v>4.7619047619047616E-2</v>
      </c>
      <c r="H141" s="73" t="s">
        <v>950</v>
      </c>
    </row>
    <row r="142" spans="1:8">
      <c r="A142" s="108"/>
      <c r="B142" s="3" t="s">
        <v>159</v>
      </c>
      <c r="C142" s="29" t="s">
        <v>175</v>
      </c>
      <c r="D142" s="15"/>
      <c r="E142" s="16" t="s">
        <v>471</v>
      </c>
      <c r="G142" s="8">
        <f t="shared" si="12"/>
        <v>4.7619047619047616E-2</v>
      </c>
      <c r="H142" s="73" t="s">
        <v>950</v>
      </c>
    </row>
    <row r="143" spans="1:8">
      <c r="A143" s="108"/>
      <c r="B143" s="3" t="s">
        <v>160</v>
      </c>
      <c r="C143" s="29" t="s">
        <v>164</v>
      </c>
      <c r="D143" s="15"/>
      <c r="E143" s="16" t="s">
        <v>472</v>
      </c>
      <c r="G143" s="8">
        <f t="shared" si="12"/>
        <v>4.7619047619047616E-2</v>
      </c>
      <c r="H143" s="73" t="s">
        <v>950</v>
      </c>
    </row>
    <row r="144" spans="1:8">
      <c r="A144" s="108"/>
      <c r="B144" s="3" t="s">
        <v>161</v>
      </c>
      <c r="C144" s="29" t="s">
        <v>171</v>
      </c>
      <c r="D144" s="15"/>
      <c r="E144" s="16" t="s">
        <v>473</v>
      </c>
      <c r="G144" s="8">
        <f t="shared" si="12"/>
        <v>4.7619047619047616E-2</v>
      </c>
      <c r="H144" s="73" t="s">
        <v>950</v>
      </c>
    </row>
    <row r="145" spans="1:8">
      <c r="A145" s="108"/>
      <c r="B145" s="3" t="s">
        <v>162</v>
      </c>
      <c r="C145" s="29" t="s">
        <v>174</v>
      </c>
      <c r="D145" s="32"/>
      <c r="E145" s="16" t="s">
        <v>474</v>
      </c>
      <c r="G145" s="8">
        <f t="shared" si="12"/>
        <v>4.7619047619047616E-2</v>
      </c>
      <c r="H145" s="73" t="s">
        <v>950</v>
      </c>
    </row>
    <row r="146" spans="1:8">
      <c r="A146" s="108"/>
      <c r="B146" s="3" t="s">
        <v>163</v>
      </c>
      <c r="C146" s="29" t="s">
        <v>173</v>
      </c>
      <c r="D146" s="15"/>
      <c r="E146" s="16" t="s">
        <v>475</v>
      </c>
      <c r="G146" s="8">
        <f t="shared" si="12"/>
        <v>4.7619047619047616E-2</v>
      </c>
      <c r="H146" s="73" t="s">
        <v>950</v>
      </c>
    </row>
    <row r="147" spans="1:8">
      <c r="A147" s="108"/>
      <c r="B147" s="3" t="s">
        <v>164</v>
      </c>
      <c r="C147" s="29" t="s">
        <v>172</v>
      </c>
      <c r="D147" s="15"/>
      <c r="E147" s="16" t="s">
        <v>476</v>
      </c>
      <c r="G147" s="8">
        <f t="shared" si="12"/>
        <v>4.7619047619047616E-2</v>
      </c>
      <c r="H147" s="73" t="s">
        <v>950</v>
      </c>
    </row>
    <row r="148" spans="1:8">
      <c r="A148" s="108"/>
      <c r="B148" s="3" t="s">
        <v>165</v>
      </c>
      <c r="C148" s="29" t="s">
        <v>161</v>
      </c>
      <c r="D148" s="32"/>
      <c r="E148" s="16" t="s">
        <v>477</v>
      </c>
      <c r="G148" s="8">
        <f t="shared" si="12"/>
        <v>4.7619047619047616E-2</v>
      </c>
      <c r="H148" s="73" t="s">
        <v>950</v>
      </c>
    </row>
    <row r="149" spans="1:8">
      <c r="A149" s="108"/>
      <c r="B149" s="3" t="s">
        <v>166</v>
      </c>
      <c r="C149" s="29" t="s">
        <v>162</v>
      </c>
      <c r="D149" s="15"/>
      <c r="E149" s="16" t="s">
        <v>478</v>
      </c>
      <c r="G149" s="8">
        <f t="shared" si="12"/>
        <v>4.7619047619047616E-2</v>
      </c>
      <c r="H149" s="73" t="s">
        <v>950</v>
      </c>
    </row>
    <row r="150" spans="1:8" ht="29.25">
      <c r="A150" s="108"/>
      <c r="B150" s="3" t="s">
        <v>167</v>
      </c>
      <c r="C150" s="29" t="s">
        <v>158</v>
      </c>
      <c r="D150" s="15"/>
      <c r="E150" s="16" t="s">
        <v>479</v>
      </c>
      <c r="G150" s="8">
        <f t="shared" si="12"/>
        <v>4.7619047619047616E-2</v>
      </c>
      <c r="H150" s="73" t="s">
        <v>950</v>
      </c>
    </row>
    <row r="151" spans="1:8">
      <c r="A151" s="108"/>
      <c r="B151" s="3" t="s">
        <v>168</v>
      </c>
      <c r="C151" s="29" t="s">
        <v>159</v>
      </c>
      <c r="D151" s="15"/>
      <c r="E151" s="16" t="s">
        <v>480</v>
      </c>
      <c r="G151" s="8">
        <f t="shared" si="12"/>
        <v>4.7619047619047616E-2</v>
      </c>
      <c r="H151" s="73" t="s">
        <v>950</v>
      </c>
    </row>
    <row r="152" spans="1:8">
      <c r="A152" s="108"/>
      <c r="B152" s="3" t="s">
        <v>169</v>
      </c>
      <c r="C152" s="29" t="s">
        <v>155</v>
      </c>
      <c r="D152" s="32"/>
      <c r="E152" s="16" t="s">
        <v>481</v>
      </c>
      <c r="G152" s="8">
        <f t="shared" si="12"/>
        <v>4.7619047619047616E-2</v>
      </c>
      <c r="H152" s="73" t="s">
        <v>950</v>
      </c>
    </row>
    <row r="153" spans="1:8">
      <c r="A153" s="108"/>
      <c r="B153" s="3" t="s">
        <v>170</v>
      </c>
      <c r="C153" s="29" t="s">
        <v>169</v>
      </c>
      <c r="D153" s="15"/>
      <c r="E153" s="16" t="s">
        <v>482</v>
      </c>
      <c r="G153" s="8">
        <f t="shared" si="12"/>
        <v>4.7619047619047616E-2</v>
      </c>
      <c r="H153" s="73" t="s">
        <v>950</v>
      </c>
    </row>
    <row r="154" spans="1:8">
      <c r="A154" s="108"/>
      <c r="B154" s="3" t="s">
        <v>171</v>
      </c>
      <c r="C154" s="29" t="s">
        <v>170</v>
      </c>
      <c r="D154" s="15"/>
      <c r="E154" s="16" t="s">
        <v>483</v>
      </c>
      <c r="G154" s="8">
        <f t="shared" si="12"/>
        <v>4.7619047619047616E-2</v>
      </c>
      <c r="H154" s="73" t="s">
        <v>950</v>
      </c>
    </row>
    <row r="155" spans="1:8">
      <c r="A155" s="108"/>
      <c r="B155" s="3" t="s">
        <v>172</v>
      </c>
      <c r="C155" s="29" t="s">
        <v>160</v>
      </c>
      <c r="D155" s="15"/>
      <c r="E155" s="16" t="s">
        <v>484</v>
      </c>
      <c r="G155" s="8">
        <f t="shared" si="12"/>
        <v>4.7619047619047616E-2</v>
      </c>
      <c r="H155" s="73" t="s">
        <v>950</v>
      </c>
    </row>
    <row r="156" spans="1:8">
      <c r="A156" s="108"/>
      <c r="B156" s="3" t="s">
        <v>173</v>
      </c>
      <c r="C156" s="29" t="s">
        <v>157</v>
      </c>
      <c r="D156" s="15"/>
      <c r="E156" s="16" t="s">
        <v>485</v>
      </c>
      <c r="G156" s="8">
        <f t="shared" si="12"/>
        <v>4.7619047619047616E-2</v>
      </c>
      <c r="H156" s="73" t="s">
        <v>950</v>
      </c>
    </row>
    <row r="157" spans="1:8">
      <c r="A157" s="108"/>
      <c r="B157" s="3" t="s">
        <v>174</v>
      </c>
      <c r="C157" s="29" t="s">
        <v>165</v>
      </c>
      <c r="D157" s="15"/>
      <c r="E157" s="16" t="s">
        <v>486</v>
      </c>
      <c r="G157" s="8">
        <f t="shared" si="12"/>
        <v>4.7619047619047616E-2</v>
      </c>
      <c r="H157" s="73" t="s">
        <v>950</v>
      </c>
    </row>
    <row r="158" spans="1:8">
      <c r="A158" s="108"/>
      <c r="B158" s="3" t="s">
        <v>175</v>
      </c>
      <c r="C158" s="29" t="s">
        <v>168</v>
      </c>
      <c r="D158" s="15"/>
      <c r="E158" s="16" t="s">
        <v>487</v>
      </c>
      <c r="G158" s="8">
        <f t="shared" si="12"/>
        <v>4.7619047619047616E-2</v>
      </c>
      <c r="H158" s="73" t="s">
        <v>950</v>
      </c>
    </row>
    <row r="159" spans="1:8">
      <c r="A159" s="26" t="s">
        <v>624</v>
      </c>
      <c r="C159" s="29" t="s">
        <v>488</v>
      </c>
      <c r="D159" s="15"/>
      <c r="E159" s="16" t="s">
        <v>489</v>
      </c>
      <c r="G159" s="8">
        <v>1</v>
      </c>
      <c r="H159" s="73" t="s">
        <v>950</v>
      </c>
    </row>
    <row r="160" spans="1:8">
      <c r="A160" s="26" t="s">
        <v>14</v>
      </c>
      <c r="B160" s="3" t="s">
        <v>176</v>
      </c>
      <c r="C160" s="29" t="s">
        <v>176</v>
      </c>
      <c r="D160" s="15"/>
      <c r="E160" s="16" t="s">
        <v>490</v>
      </c>
      <c r="G160" s="8">
        <v>1</v>
      </c>
      <c r="H160" s="73" t="s">
        <v>950</v>
      </c>
    </row>
    <row r="161" spans="1:8">
      <c r="A161" s="108" t="s">
        <v>623</v>
      </c>
      <c r="B161" s="3" t="s">
        <v>491</v>
      </c>
      <c r="C161" s="29" t="s">
        <v>491</v>
      </c>
      <c r="D161" s="15"/>
      <c r="E161" s="16" t="s">
        <v>492</v>
      </c>
      <c r="G161" s="8">
        <v>0.5</v>
      </c>
      <c r="H161" s="73" t="s">
        <v>950</v>
      </c>
    </row>
    <row r="162" spans="1:8">
      <c r="A162" s="108"/>
      <c r="B162" s="3" t="s">
        <v>493</v>
      </c>
      <c r="C162" s="29" t="s">
        <v>493</v>
      </c>
      <c r="D162" s="15" t="s">
        <v>732</v>
      </c>
      <c r="E162" s="16" t="s">
        <v>494</v>
      </c>
      <c r="G162" s="8">
        <v>0.5</v>
      </c>
      <c r="H162" s="73" t="s">
        <v>950</v>
      </c>
    </row>
    <row r="163" spans="1:8">
      <c r="A163" s="26" t="s">
        <v>15</v>
      </c>
      <c r="B163" s="3" t="s">
        <v>177</v>
      </c>
      <c r="C163" s="29" t="s">
        <v>177</v>
      </c>
      <c r="D163" s="15"/>
      <c r="E163" s="16" t="s">
        <v>15</v>
      </c>
      <c r="G163" s="8">
        <v>1</v>
      </c>
      <c r="H163" s="73" t="s">
        <v>950</v>
      </c>
    </row>
    <row r="164" spans="1:8">
      <c r="A164" s="108" t="s">
        <v>16</v>
      </c>
      <c r="B164" s="3" t="s">
        <v>178</v>
      </c>
      <c r="C164" s="29" t="s">
        <v>182</v>
      </c>
      <c r="D164" s="15"/>
      <c r="E164" s="16" t="s">
        <v>495</v>
      </c>
      <c r="G164" s="8">
        <f xml:space="preserve"> 1/ROWS(C164:C171)</f>
        <v>0.125</v>
      </c>
      <c r="H164" s="73" t="s">
        <v>950</v>
      </c>
    </row>
    <row r="165" spans="1:8">
      <c r="A165" s="108"/>
      <c r="B165" s="3" t="s">
        <v>179</v>
      </c>
      <c r="C165" s="29" t="s">
        <v>181</v>
      </c>
      <c r="D165" s="15"/>
      <c r="E165" s="16" t="s">
        <v>496</v>
      </c>
      <c r="G165" s="8">
        <f t="shared" ref="G165:G171" si="13" xml:space="preserve"> 1/ROWS(C165:C172)</f>
        <v>0.125</v>
      </c>
      <c r="H165" s="73" t="s">
        <v>950</v>
      </c>
    </row>
    <row r="166" spans="1:8">
      <c r="A166" s="108"/>
      <c r="B166" s="3" t="s">
        <v>180</v>
      </c>
      <c r="C166" s="29" t="s">
        <v>180</v>
      </c>
      <c r="D166" s="15"/>
      <c r="E166" s="16" t="s">
        <v>497</v>
      </c>
      <c r="G166" s="8">
        <f t="shared" si="13"/>
        <v>0.125</v>
      </c>
      <c r="H166" s="73" t="s">
        <v>950</v>
      </c>
    </row>
    <row r="167" spans="1:8">
      <c r="A167" s="108"/>
      <c r="B167" s="3" t="s">
        <v>181</v>
      </c>
      <c r="C167" s="29" t="s">
        <v>179</v>
      </c>
      <c r="D167" s="15"/>
      <c r="E167" s="16" t="s">
        <v>498</v>
      </c>
      <c r="G167" s="8">
        <f t="shared" si="13"/>
        <v>0.125</v>
      </c>
      <c r="H167" s="73" t="s">
        <v>950</v>
      </c>
    </row>
    <row r="168" spans="1:8">
      <c r="A168" s="108"/>
      <c r="B168" s="3" t="s">
        <v>182</v>
      </c>
      <c r="C168" s="29" t="s">
        <v>184</v>
      </c>
      <c r="D168" s="15"/>
      <c r="E168" s="16" t="s">
        <v>499</v>
      </c>
      <c r="G168" s="8">
        <f t="shared" si="13"/>
        <v>0.125</v>
      </c>
      <c r="H168" s="73" t="s">
        <v>950</v>
      </c>
    </row>
    <row r="169" spans="1:8">
      <c r="A169" s="108"/>
      <c r="B169" s="3" t="s">
        <v>183</v>
      </c>
      <c r="C169" s="29" t="s">
        <v>183</v>
      </c>
      <c r="D169" s="32"/>
      <c r="E169" s="16" t="s">
        <v>500</v>
      </c>
      <c r="G169" s="8">
        <f t="shared" si="13"/>
        <v>0.125</v>
      </c>
      <c r="H169" s="73" t="s">
        <v>950</v>
      </c>
    </row>
    <row r="170" spans="1:8">
      <c r="A170" s="108"/>
      <c r="B170" s="3" t="s">
        <v>184</v>
      </c>
      <c r="C170" s="29" t="s">
        <v>178</v>
      </c>
      <c r="D170" s="15"/>
      <c r="E170" s="16" t="s">
        <v>501</v>
      </c>
      <c r="G170" s="8">
        <f t="shared" si="13"/>
        <v>0.125</v>
      </c>
      <c r="H170" s="73" t="s">
        <v>950</v>
      </c>
    </row>
    <row r="171" spans="1:8">
      <c r="A171" s="108"/>
      <c r="B171" s="3" t="s">
        <v>185</v>
      </c>
      <c r="C171" s="29" t="s">
        <v>185</v>
      </c>
      <c r="D171" s="15"/>
      <c r="E171" s="16" t="s">
        <v>502</v>
      </c>
      <c r="G171" s="8">
        <f t="shared" si="13"/>
        <v>0.125</v>
      </c>
      <c r="H171" s="73" t="s">
        <v>950</v>
      </c>
    </row>
    <row r="172" spans="1:8">
      <c r="A172" s="26" t="s">
        <v>504</v>
      </c>
      <c r="C172" s="29" t="s">
        <v>503</v>
      </c>
      <c r="D172" s="15"/>
      <c r="E172" s="16" t="s">
        <v>504</v>
      </c>
      <c r="G172" s="8">
        <v>1</v>
      </c>
      <c r="H172" s="73" t="s">
        <v>950</v>
      </c>
    </row>
    <row r="173" spans="1:8">
      <c r="A173" s="108" t="s">
        <v>17</v>
      </c>
      <c r="B173" s="3" t="s">
        <v>186</v>
      </c>
      <c r="C173" s="29" t="s">
        <v>193</v>
      </c>
      <c r="D173" s="15" t="s">
        <v>728</v>
      </c>
      <c r="E173" s="16" t="s">
        <v>505</v>
      </c>
      <c r="G173" s="8">
        <f xml:space="preserve"> 1/ROWS(C173:C184)</f>
        <v>8.3333333333333329E-2</v>
      </c>
      <c r="H173" s="73" t="s">
        <v>950</v>
      </c>
    </row>
    <row r="174" spans="1:8">
      <c r="A174" s="108"/>
      <c r="B174" s="3" t="s">
        <v>187</v>
      </c>
      <c r="C174" s="29" t="s">
        <v>195</v>
      </c>
      <c r="D174" s="15"/>
      <c r="E174" s="16" t="s">
        <v>506</v>
      </c>
      <c r="G174" s="8">
        <f t="shared" ref="G174:G184" si="14" xml:space="preserve"> 1/ROWS(C174:C185)</f>
        <v>8.3333333333333329E-2</v>
      </c>
      <c r="H174" s="73" t="s">
        <v>950</v>
      </c>
    </row>
    <row r="175" spans="1:8">
      <c r="A175" s="108"/>
      <c r="B175" s="3" t="s">
        <v>188</v>
      </c>
      <c r="C175" s="29" t="s">
        <v>197</v>
      </c>
      <c r="D175" s="15"/>
      <c r="E175" s="16" t="s">
        <v>507</v>
      </c>
      <c r="G175" s="8">
        <f t="shared" si="14"/>
        <v>8.3333333333333329E-2</v>
      </c>
      <c r="H175" s="73" t="s">
        <v>950</v>
      </c>
    </row>
    <row r="176" spans="1:8">
      <c r="A176" s="108"/>
      <c r="B176" s="3" t="s">
        <v>189</v>
      </c>
      <c r="C176" s="29" t="s">
        <v>188</v>
      </c>
      <c r="D176" s="15"/>
      <c r="E176" s="16" t="s">
        <v>508</v>
      </c>
      <c r="G176" s="8">
        <f t="shared" si="14"/>
        <v>8.3333333333333329E-2</v>
      </c>
      <c r="H176" s="73" t="s">
        <v>950</v>
      </c>
    </row>
    <row r="177" spans="1:8">
      <c r="A177" s="108"/>
      <c r="B177" s="3" t="s">
        <v>190</v>
      </c>
      <c r="C177" s="29" t="s">
        <v>194</v>
      </c>
      <c r="D177" s="15"/>
      <c r="E177" s="16" t="s">
        <v>509</v>
      </c>
      <c r="G177" s="8">
        <f t="shared" si="14"/>
        <v>8.3333333333333329E-2</v>
      </c>
      <c r="H177" s="73" t="s">
        <v>950</v>
      </c>
    </row>
    <row r="178" spans="1:8">
      <c r="A178" s="108"/>
      <c r="B178" s="3" t="s">
        <v>191</v>
      </c>
      <c r="C178" s="29" t="s">
        <v>196</v>
      </c>
      <c r="D178" s="15"/>
      <c r="E178" s="16" t="s">
        <v>510</v>
      </c>
      <c r="G178" s="8">
        <f t="shared" si="14"/>
        <v>8.3333333333333329E-2</v>
      </c>
      <c r="H178" s="73" t="s">
        <v>950</v>
      </c>
    </row>
    <row r="179" spans="1:8">
      <c r="A179" s="108"/>
      <c r="B179" s="3" t="s">
        <v>192</v>
      </c>
      <c r="C179" s="29" t="s">
        <v>190</v>
      </c>
      <c r="D179" s="15"/>
      <c r="E179" s="16" t="s">
        <v>511</v>
      </c>
      <c r="G179" s="8">
        <f t="shared" si="14"/>
        <v>8.3333333333333329E-2</v>
      </c>
      <c r="H179" s="73" t="s">
        <v>950</v>
      </c>
    </row>
    <row r="180" spans="1:8">
      <c r="A180" s="108"/>
      <c r="B180" s="3" t="s">
        <v>193</v>
      </c>
      <c r="C180" s="29" t="s">
        <v>189</v>
      </c>
      <c r="D180" s="15"/>
      <c r="E180" s="16" t="s">
        <v>512</v>
      </c>
      <c r="G180" s="8">
        <f t="shared" si="14"/>
        <v>8.3333333333333329E-2</v>
      </c>
      <c r="H180" s="73" t="s">
        <v>950</v>
      </c>
    </row>
    <row r="181" spans="1:8">
      <c r="A181" s="108"/>
      <c r="B181" s="3" t="s">
        <v>194</v>
      </c>
      <c r="C181" s="29" t="s">
        <v>186</v>
      </c>
      <c r="D181" s="15"/>
      <c r="E181" s="16" t="s">
        <v>513</v>
      </c>
      <c r="G181" s="8">
        <f t="shared" si="14"/>
        <v>8.3333333333333329E-2</v>
      </c>
      <c r="H181" s="73" t="s">
        <v>950</v>
      </c>
    </row>
    <row r="182" spans="1:8">
      <c r="A182" s="108"/>
      <c r="B182" s="3" t="s">
        <v>195</v>
      </c>
      <c r="C182" s="29" t="s">
        <v>187</v>
      </c>
      <c r="D182" s="32"/>
      <c r="E182" s="16" t="s">
        <v>514</v>
      </c>
      <c r="G182" s="8">
        <f t="shared" si="14"/>
        <v>8.3333333333333329E-2</v>
      </c>
      <c r="H182" s="73" t="s">
        <v>950</v>
      </c>
    </row>
    <row r="183" spans="1:8">
      <c r="A183" s="108"/>
      <c r="B183" s="3" t="s">
        <v>196</v>
      </c>
      <c r="C183" s="29" t="s">
        <v>191</v>
      </c>
      <c r="D183" s="32"/>
      <c r="E183" s="16" t="s">
        <v>515</v>
      </c>
      <c r="G183" s="8">
        <f t="shared" si="14"/>
        <v>8.3333333333333329E-2</v>
      </c>
      <c r="H183" s="73" t="s">
        <v>950</v>
      </c>
    </row>
    <row r="184" spans="1:8">
      <c r="A184" s="108"/>
      <c r="B184" s="3" t="s">
        <v>197</v>
      </c>
      <c r="C184" s="29" t="s">
        <v>192</v>
      </c>
      <c r="D184" s="32"/>
      <c r="E184" s="16" t="s">
        <v>516</v>
      </c>
      <c r="G184" s="8">
        <f t="shared" si="14"/>
        <v>8.3333333333333329E-2</v>
      </c>
      <c r="H184" s="73" t="s">
        <v>950</v>
      </c>
    </row>
    <row r="185" spans="1:8">
      <c r="A185" s="108" t="s">
        <v>18</v>
      </c>
      <c r="B185" s="3" t="s">
        <v>198</v>
      </c>
      <c r="C185" s="29" t="s">
        <v>206</v>
      </c>
      <c r="D185" s="15"/>
      <c r="E185" s="16" t="s">
        <v>517</v>
      </c>
      <c r="G185" s="8">
        <f xml:space="preserve"> 1/ROWS(C185:C193)</f>
        <v>0.1111111111111111</v>
      </c>
      <c r="H185" s="73" t="s">
        <v>950</v>
      </c>
    </row>
    <row r="186" spans="1:8">
      <c r="A186" s="108"/>
      <c r="B186" s="3" t="s">
        <v>199</v>
      </c>
      <c r="C186" s="29" t="s">
        <v>204</v>
      </c>
      <c r="D186" s="15"/>
      <c r="E186" s="16" t="s">
        <v>518</v>
      </c>
      <c r="G186" s="8">
        <f t="shared" ref="G186:G193" si="15" xml:space="preserve"> 1/ROWS(C186:C194)</f>
        <v>0.1111111111111111</v>
      </c>
      <c r="H186" s="73" t="s">
        <v>950</v>
      </c>
    </row>
    <row r="187" spans="1:8">
      <c r="A187" s="108"/>
      <c r="B187" s="3" t="s">
        <v>200</v>
      </c>
      <c r="C187" s="29" t="s">
        <v>203</v>
      </c>
      <c r="D187" s="15"/>
      <c r="E187" s="16" t="s">
        <v>519</v>
      </c>
      <c r="G187" s="8">
        <f t="shared" si="15"/>
        <v>0.1111111111111111</v>
      </c>
      <c r="H187" s="73" t="s">
        <v>950</v>
      </c>
    </row>
    <row r="188" spans="1:8">
      <c r="A188" s="108"/>
      <c r="B188" s="3" t="s">
        <v>201</v>
      </c>
      <c r="C188" s="29" t="s">
        <v>205</v>
      </c>
      <c r="D188" s="15"/>
      <c r="E188" s="16" t="s">
        <v>520</v>
      </c>
      <c r="G188" s="8">
        <f t="shared" si="15"/>
        <v>0.1111111111111111</v>
      </c>
      <c r="H188" s="73" t="s">
        <v>950</v>
      </c>
    </row>
    <row r="189" spans="1:8">
      <c r="A189" s="108"/>
      <c r="B189" s="3" t="s">
        <v>202</v>
      </c>
      <c r="C189" s="29" t="s">
        <v>200</v>
      </c>
      <c r="D189" s="15"/>
      <c r="E189" s="16" t="s">
        <v>521</v>
      </c>
      <c r="G189" s="8">
        <f t="shared" si="15"/>
        <v>0.1111111111111111</v>
      </c>
      <c r="H189" s="73" t="s">
        <v>950</v>
      </c>
    </row>
    <row r="190" spans="1:8">
      <c r="A190" s="108"/>
      <c r="B190" s="3" t="s">
        <v>203</v>
      </c>
      <c r="C190" s="29" t="s">
        <v>202</v>
      </c>
      <c r="D190" s="15"/>
      <c r="E190" s="16" t="s">
        <v>522</v>
      </c>
      <c r="G190" s="8">
        <f t="shared" si="15"/>
        <v>0.1111111111111111</v>
      </c>
      <c r="H190" s="73" t="s">
        <v>950</v>
      </c>
    </row>
    <row r="191" spans="1:8">
      <c r="A191" s="108"/>
      <c r="B191" s="3" t="s">
        <v>204</v>
      </c>
      <c r="C191" s="29" t="s">
        <v>201</v>
      </c>
      <c r="D191" s="15"/>
      <c r="E191" s="16" t="s">
        <v>523</v>
      </c>
      <c r="G191" s="8">
        <f t="shared" si="15"/>
        <v>0.1111111111111111</v>
      </c>
      <c r="H191" s="73" t="s">
        <v>950</v>
      </c>
    </row>
    <row r="192" spans="1:8">
      <c r="A192" s="108"/>
      <c r="B192" s="3" t="s">
        <v>205</v>
      </c>
      <c r="C192" s="29" t="s">
        <v>199</v>
      </c>
      <c r="D192" s="15"/>
      <c r="E192" s="16" t="s">
        <v>524</v>
      </c>
      <c r="G192" s="8">
        <f t="shared" si="15"/>
        <v>0.1111111111111111</v>
      </c>
      <c r="H192" s="73" t="s">
        <v>950</v>
      </c>
    </row>
    <row r="193" spans="1:8">
      <c r="A193" s="108"/>
      <c r="B193" s="3" t="s">
        <v>206</v>
      </c>
      <c r="C193" s="29" t="s">
        <v>198</v>
      </c>
      <c r="D193" s="15"/>
      <c r="E193" s="16" t="s">
        <v>525</v>
      </c>
      <c r="G193" s="8">
        <f t="shared" si="15"/>
        <v>0.1111111111111111</v>
      </c>
      <c r="H193" s="73" t="s">
        <v>950</v>
      </c>
    </row>
    <row r="194" spans="1:8">
      <c r="A194" s="108" t="s">
        <v>19</v>
      </c>
      <c r="B194" s="3" t="s">
        <v>207</v>
      </c>
      <c r="C194" s="29" t="s">
        <v>219</v>
      </c>
      <c r="D194" s="15"/>
      <c r="E194" s="16" t="s">
        <v>526</v>
      </c>
      <c r="G194" s="8">
        <f xml:space="preserve"> 1/ROWS(C194:C210)</f>
        <v>5.8823529411764705E-2</v>
      </c>
      <c r="H194" s="73" t="s">
        <v>950</v>
      </c>
    </row>
    <row r="195" spans="1:8">
      <c r="A195" s="108"/>
      <c r="B195" s="3" t="s">
        <v>208</v>
      </c>
      <c r="C195" s="29" t="s">
        <v>210</v>
      </c>
      <c r="D195" s="15" t="s">
        <v>733</v>
      </c>
      <c r="E195" s="16" t="s">
        <v>527</v>
      </c>
      <c r="G195" s="8">
        <f xml:space="preserve"> 1/ROWS(C195:C211)</f>
        <v>5.8823529411764705E-2</v>
      </c>
      <c r="H195" s="73" t="s">
        <v>950</v>
      </c>
    </row>
    <row r="196" spans="1:8">
      <c r="A196" s="108"/>
      <c r="B196" s="3" t="s">
        <v>209</v>
      </c>
      <c r="C196" s="29" t="s">
        <v>221</v>
      </c>
      <c r="D196" s="15"/>
      <c r="E196" s="16" t="s">
        <v>528</v>
      </c>
      <c r="G196" s="8">
        <f t="shared" ref="G196:G210" si="16" xml:space="preserve"> 1/ROWS(C196:C212)</f>
        <v>5.8823529411764705E-2</v>
      </c>
      <c r="H196" s="73" t="s">
        <v>950</v>
      </c>
    </row>
    <row r="197" spans="1:8">
      <c r="A197" s="108"/>
      <c r="B197" s="3" t="s">
        <v>210</v>
      </c>
      <c r="C197" s="29" t="s">
        <v>207</v>
      </c>
      <c r="D197" s="15"/>
      <c r="E197" s="16" t="s">
        <v>529</v>
      </c>
      <c r="G197" s="8">
        <f t="shared" si="16"/>
        <v>5.8823529411764705E-2</v>
      </c>
      <c r="H197" s="73" t="s">
        <v>950</v>
      </c>
    </row>
    <row r="198" spans="1:8">
      <c r="A198" s="108"/>
      <c r="B198" s="3" t="s">
        <v>211</v>
      </c>
      <c r="C198" s="29" t="s">
        <v>216</v>
      </c>
      <c r="D198" s="15"/>
      <c r="E198" s="16" t="s">
        <v>530</v>
      </c>
      <c r="G198" s="8">
        <f t="shared" si="16"/>
        <v>5.8823529411764705E-2</v>
      </c>
      <c r="H198" s="73" t="s">
        <v>950</v>
      </c>
    </row>
    <row r="199" spans="1:8">
      <c r="A199" s="108"/>
      <c r="B199" s="3" t="s">
        <v>212</v>
      </c>
      <c r="C199" s="29" t="s">
        <v>218</v>
      </c>
      <c r="D199" s="15"/>
      <c r="E199" s="16" t="s">
        <v>531</v>
      </c>
      <c r="G199" s="8">
        <f t="shared" si="16"/>
        <v>5.8823529411764705E-2</v>
      </c>
      <c r="H199" s="73" t="s">
        <v>950</v>
      </c>
    </row>
    <row r="200" spans="1:8">
      <c r="A200" s="108"/>
      <c r="B200" s="3" t="s">
        <v>213</v>
      </c>
      <c r="C200" s="29" t="s">
        <v>213</v>
      </c>
      <c r="D200" s="15"/>
      <c r="E200" s="16" t="s">
        <v>532</v>
      </c>
      <c r="G200" s="8">
        <f t="shared" si="16"/>
        <v>5.8823529411764705E-2</v>
      </c>
      <c r="H200" s="73" t="s">
        <v>950</v>
      </c>
    </row>
    <row r="201" spans="1:8">
      <c r="A201" s="108"/>
      <c r="B201" s="3" t="s">
        <v>214</v>
      </c>
      <c r="C201" s="29" t="s">
        <v>220</v>
      </c>
      <c r="D201" s="15"/>
      <c r="E201" s="16" t="s">
        <v>533</v>
      </c>
      <c r="G201" s="8">
        <f t="shared" si="16"/>
        <v>5.8823529411764705E-2</v>
      </c>
      <c r="H201" s="73" t="s">
        <v>950</v>
      </c>
    </row>
    <row r="202" spans="1:8">
      <c r="A202" s="108"/>
      <c r="B202" s="3" t="s">
        <v>215</v>
      </c>
      <c r="C202" s="29" t="s">
        <v>208</v>
      </c>
      <c r="D202" s="15"/>
      <c r="E202" s="16" t="s">
        <v>534</v>
      </c>
      <c r="G202" s="8">
        <f t="shared" si="16"/>
        <v>5.8823529411764705E-2</v>
      </c>
      <c r="H202" s="73" t="s">
        <v>950</v>
      </c>
    </row>
    <row r="203" spans="1:8">
      <c r="A203" s="108"/>
      <c r="B203" s="3" t="s">
        <v>216</v>
      </c>
      <c r="C203" s="29" t="s">
        <v>211</v>
      </c>
      <c r="D203" s="15"/>
      <c r="E203" s="16" t="s">
        <v>535</v>
      </c>
      <c r="G203" s="8">
        <f t="shared" si="16"/>
        <v>5.8823529411764705E-2</v>
      </c>
      <c r="H203" s="73" t="s">
        <v>950</v>
      </c>
    </row>
    <row r="204" spans="1:8">
      <c r="A204" s="108"/>
      <c r="B204" s="3" t="s">
        <v>217</v>
      </c>
      <c r="C204" s="29" t="s">
        <v>223</v>
      </c>
      <c r="D204" s="15"/>
      <c r="E204" s="16" t="s">
        <v>536</v>
      </c>
      <c r="G204" s="8">
        <f t="shared" si="16"/>
        <v>5.8823529411764705E-2</v>
      </c>
      <c r="H204" s="73" t="s">
        <v>950</v>
      </c>
    </row>
    <row r="205" spans="1:8">
      <c r="A205" s="108"/>
      <c r="B205" s="3" t="s">
        <v>218</v>
      </c>
      <c r="C205" s="29" t="s">
        <v>222</v>
      </c>
      <c r="D205" s="15"/>
      <c r="E205" s="16" t="s">
        <v>537</v>
      </c>
      <c r="G205" s="8">
        <f t="shared" si="16"/>
        <v>5.8823529411764705E-2</v>
      </c>
      <c r="H205" s="73" t="s">
        <v>950</v>
      </c>
    </row>
    <row r="206" spans="1:8">
      <c r="A206" s="108"/>
      <c r="B206" s="3" t="s">
        <v>219</v>
      </c>
      <c r="C206" s="29" t="s">
        <v>217</v>
      </c>
      <c r="D206" s="15"/>
      <c r="E206" s="16" t="s">
        <v>538</v>
      </c>
      <c r="G206" s="8">
        <f t="shared" si="16"/>
        <v>5.8823529411764705E-2</v>
      </c>
      <c r="H206" s="73" t="s">
        <v>950</v>
      </c>
    </row>
    <row r="207" spans="1:8">
      <c r="A207" s="108"/>
      <c r="B207" s="3" t="s">
        <v>220</v>
      </c>
      <c r="C207" s="29" t="s">
        <v>209</v>
      </c>
      <c r="D207" s="15"/>
      <c r="E207" s="16" t="s">
        <v>539</v>
      </c>
      <c r="G207" s="8">
        <f t="shared" si="16"/>
        <v>5.8823529411764705E-2</v>
      </c>
      <c r="H207" s="73" t="s">
        <v>950</v>
      </c>
    </row>
    <row r="208" spans="1:8">
      <c r="A208" s="108"/>
      <c r="B208" s="3" t="s">
        <v>221</v>
      </c>
      <c r="C208" s="29" t="s">
        <v>212</v>
      </c>
      <c r="D208" s="15"/>
      <c r="E208" s="16" t="s">
        <v>540</v>
      </c>
      <c r="G208" s="8">
        <f t="shared" si="16"/>
        <v>5.8823529411764705E-2</v>
      </c>
      <c r="H208" s="73" t="s">
        <v>950</v>
      </c>
    </row>
    <row r="209" spans="1:8">
      <c r="A209" s="108"/>
      <c r="B209" s="3" t="s">
        <v>222</v>
      </c>
      <c r="C209" s="29" t="s">
        <v>214</v>
      </c>
      <c r="D209" s="15"/>
      <c r="E209" s="16" t="s">
        <v>541</v>
      </c>
      <c r="G209" s="8">
        <f t="shared" si="16"/>
        <v>5.8823529411764705E-2</v>
      </c>
      <c r="H209" s="73" t="s">
        <v>950</v>
      </c>
    </row>
    <row r="210" spans="1:8">
      <c r="A210" s="108"/>
      <c r="B210" s="3" t="s">
        <v>223</v>
      </c>
      <c r="C210" s="29" t="s">
        <v>215</v>
      </c>
      <c r="D210" s="32"/>
      <c r="E210" s="16" t="s">
        <v>542</v>
      </c>
      <c r="G210" s="8">
        <f t="shared" si="16"/>
        <v>5.8823529411764705E-2</v>
      </c>
      <c r="H210" s="73" t="s">
        <v>950</v>
      </c>
    </row>
    <row r="211" spans="1:8">
      <c r="A211" s="108" t="s">
        <v>20</v>
      </c>
      <c r="B211" s="3" t="s">
        <v>224</v>
      </c>
      <c r="C211" s="29" t="s">
        <v>226</v>
      </c>
      <c r="D211" s="15"/>
      <c r="E211" s="16" t="s">
        <v>543</v>
      </c>
      <c r="G211" s="8">
        <f xml:space="preserve"> 1/ROWS(C211:C217)</f>
        <v>0.14285714285714285</v>
      </c>
      <c r="H211" s="73" t="s">
        <v>950</v>
      </c>
    </row>
    <row r="212" spans="1:8">
      <c r="A212" s="108"/>
      <c r="B212" s="3" t="s">
        <v>225</v>
      </c>
      <c r="C212" s="29" t="s">
        <v>225</v>
      </c>
      <c r="D212" s="15"/>
      <c r="E212" s="16" t="s">
        <v>544</v>
      </c>
      <c r="G212" s="8">
        <f t="shared" ref="G212:G217" si="17" xml:space="preserve"> 1/ROWS(C212:C218)</f>
        <v>0.14285714285714285</v>
      </c>
      <c r="H212" s="73" t="s">
        <v>950</v>
      </c>
    </row>
    <row r="213" spans="1:8">
      <c r="A213" s="108"/>
      <c r="B213" s="3" t="s">
        <v>226</v>
      </c>
      <c r="C213" s="29" t="s">
        <v>228</v>
      </c>
      <c r="D213" s="15"/>
      <c r="E213" s="16" t="s">
        <v>545</v>
      </c>
      <c r="G213" s="8">
        <f t="shared" si="17"/>
        <v>0.14285714285714285</v>
      </c>
      <c r="H213" s="73" t="s">
        <v>950</v>
      </c>
    </row>
    <row r="214" spans="1:8">
      <c r="A214" s="108"/>
      <c r="B214" s="3" t="s">
        <v>227</v>
      </c>
      <c r="C214" s="29" t="s">
        <v>224</v>
      </c>
      <c r="D214" s="15"/>
      <c r="E214" s="16" t="s">
        <v>546</v>
      </c>
      <c r="G214" s="8">
        <f t="shared" si="17"/>
        <v>0.14285714285714285</v>
      </c>
      <c r="H214" s="73" t="s">
        <v>950</v>
      </c>
    </row>
    <row r="215" spans="1:8">
      <c r="A215" s="108"/>
      <c r="B215" s="3" t="s">
        <v>228</v>
      </c>
      <c r="C215" s="29" t="s">
        <v>227</v>
      </c>
      <c r="D215" s="32"/>
      <c r="E215" s="16" t="s">
        <v>547</v>
      </c>
      <c r="G215" s="8">
        <f t="shared" si="17"/>
        <v>0.14285714285714285</v>
      </c>
      <c r="H215" s="73" t="s">
        <v>950</v>
      </c>
    </row>
    <row r="216" spans="1:8">
      <c r="A216" s="108"/>
      <c r="C216" s="29" t="s">
        <v>548</v>
      </c>
      <c r="D216" s="15"/>
      <c r="E216" s="16" t="s">
        <v>549</v>
      </c>
      <c r="G216" s="8">
        <f t="shared" si="17"/>
        <v>0.14285714285714285</v>
      </c>
      <c r="H216" s="73" t="s">
        <v>950</v>
      </c>
    </row>
    <row r="217" spans="1:8">
      <c r="A217" s="108"/>
      <c r="C217" s="29" t="s">
        <v>550</v>
      </c>
      <c r="D217" s="15"/>
      <c r="E217" s="16" t="s">
        <v>551</v>
      </c>
      <c r="G217" s="8">
        <f t="shared" si="17"/>
        <v>0.14285714285714285</v>
      </c>
      <c r="H217" s="73" t="s">
        <v>950</v>
      </c>
    </row>
    <row r="218" spans="1:8">
      <c r="A218" s="108" t="s">
        <v>21</v>
      </c>
      <c r="B218" s="3" t="s">
        <v>229</v>
      </c>
      <c r="C218" s="29" t="s">
        <v>231</v>
      </c>
      <c r="D218" s="15"/>
      <c r="E218" s="16" t="s">
        <v>552</v>
      </c>
      <c r="G218" s="8">
        <f xml:space="preserve"> 1/ROWS(C218:C225)</f>
        <v>0.125</v>
      </c>
      <c r="H218" s="73" t="s">
        <v>950</v>
      </c>
    </row>
    <row r="219" spans="1:8">
      <c r="A219" s="108"/>
      <c r="B219" s="3" t="s">
        <v>230</v>
      </c>
      <c r="C219" s="29" t="s">
        <v>236</v>
      </c>
      <c r="D219" s="15" t="s">
        <v>730</v>
      </c>
      <c r="E219" s="16" t="s">
        <v>553</v>
      </c>
      <c r="G219" s="8">
        <f xml:space="preserve"> 1/ROWS(C219:C226)</f>
        <v>0.125</v>
      </c>
      <c r="H219" s="73" t="s">
        <v>950</v>
      </c>
    </row>
    <row r="220" spans="1:8">
      <c r="A220" s="108"/>
      <c r="B220" s="3" t="s">
        <v>231</v>
      </c>
      <c r="C220" s="29" t="s">
        <v>232</v>
      </c>
      <c r="D220" s="15"/>
      <c r="E220" s="16" t="s">
        <v>554</v>
      </c>
      <c r="G220" s="8">
        <f t="shared" ref="G220:G225" si="18" xml:space="preserve"> 1/ROWS(C220:C227)</f>
        <v>0.125</v>
      </c>
      <c r="H220" s="73" t="s">
        <v>950</v>
      </c>
    </row>
    <row r="221" spans="1:8">
      <c r="A221" s="108"/>
      <c r="B221" s="3" t="s">
        <v>232</v>
      </c>
      <c r="C221" s="29" t="s">
        <v>230</v>
      </c>
      <c r="D221" s="15"/>
      <c r="E221" s="16" t="s">
        <v>555</v>
      </c>
      <c r="G221" s="8">
        <f t="shared" si="18"/>
        <v>0.125</v>
      </c>
      <c r="H221" s="73" t="s">
        <v>950</v>
      </c>
    </row>
    <row r="222" spans="1:8">
      <c r="A222" s="108"/>
      <c r="B222" s="3" t="s">
        <v>233</v>
      </c>
      <c r="C222" s="29" t="s">
        <v>234</v>
      </c>
      <c r="D222" s="15"/>
      <c r="E222" s="16" t="s">
        <v>556</v>
      </c>
      <c r="G222" s="8">
        <f t="shared" si="18"/>
        <v>0.125</v>
      </c>
      <c r="H222" s="73" t="s">
        <v>950</v>
      </c>
    </row>
    <row r="223" spans="1:8">
      <c r="A223" s="108"/>
      <c r="B223" s="3" t="s">
        <v>234</v>
      </c>
      <c r="C223" s="29" t="s">
        <v>233</v>
      </c>
      <c r="D223" s="15"/>
      <c r="E223" s="16" t="s">
        <v>557</v>
      </c>
      <c r="G223" s="8">
        <f t="shared" si="18"/>
        <v>0.125</v>
      </c>
      <c r="H223" s="73" t="s">
        <v>950</v>
      </c>
    </row>
    <row r="224" spans="1:8">
      <c r="A224" s="108"/>
      <c r="B224" s="3" t="s">
        <v>235</v>
      </c>
      <c r="C224" s="29" t="s">
        <v>229</v>
      </c>
      <c r="D224" s="15"/>
      <c r="E224" s="16" t="s">
        <v>558</v>
      </c>
      <c r="G224" s="8">
        <f t="shared" si="18"/>
        <v>0.125</v>
      </c>
      <c r="H224" s="73" t="s">
        <v>950</v>
      </c>
    </row>
    <row r="225" spans="1:8">
      <c r="A225" s="108"/>
      <c r="B225" s="3" t="s">
        <v>236</v>
      </c>
      <c r="C225" s="29" t="s">
        <v>235</v>
      </c>
      <c r="D225" s="15"/>
      <c r="E225" s="16" t="s">
        <v>559</v>
      </c>
      <c r="G225" s="8">
        <f t="shared" si="18"/>
        <v>0.125</v>
      </c>
      <c r="H225" s="73" t="s">
        <v>950</v>
      </c>
    </row>
    <row r="226" spans="1:8">
      <c r="A226" s="108" t="s">
        <v>22</v>
      </c>
      <c r="B226" s="3" t="s">
        <v>237</v>
      </c>
      <c r="C226" s="29" t="s">
        <v>237</v>
      </c>
      <c r="D226" s="15"/>
      <c r="E226" s="16" t="s">
        <v>560</v>
      </c>
      <c r="G226" s="8">
        <f xml:space="preserve"> 1/ROWS(C226:C227)</f>
        <v>0.5</v>
      </c>
      <c r="H226" s="73" t="s">
        <v>950</v>
      </c>
    </row>
    <row r="227" spans="1:8">
      <c r="A227" s="108"/>
      <c r="B227" s="3" t="s">
        <v>238</v>
      </c>
      <c r="C227" s="29" t="s">
        <v>238</v>
      </c>
      <c r="D227" s="15"/>
      <c r="E227" s="16" t="s">
        <v>561</v>
      </c>
      <c r="G227" s="8">
        <f xml:space="preserve"> 1/ROWS(C227:C228)</f>
        <v>0.5</v>
      </c>
      <c r="H227" s="73" t="s">
        <v>950</v>
      </c>
    </row>
    <row r="228" spans="1:8">
      <c r="A228" s="108" t="s">
        <v>23</v>
      </c>
      <c r="B228" s="3" t="s">
        <v>239</v>
      </c>
      <c r="C228" s="29" t="s">
        <v>241</v>
      </c>
      <c r="D228" s="15"/>
      <c r="E228" s="16" t="s">
        <v>562</v>
      </c>
      <c r="G228" s="8">
        <f xml:space="preserve"> 1/ROWS(C228:C231)</f>
        <v>0.25</v>
      </c>
      <c r="H228" s="73" t="s">
        <v>950</v>
      </c>
    </row>
    <row r="229" spans="1:8">
      <c r="A229" s="108"/>
      <c r="B229" s="3" t="s">
        <v>240</v>
      </c>
      <c r="C229" s="29" t="s">
        <v>239</v>
      </c>
      <c r="D229" s="15"/>
      <c r="E229" s="16" t="s">
        <v>563</v>
      </c>
      <c r="G229" s="8">
        <f t="shared" ref="G229:G231" si="19" xml:space="preserve"> 1/ROWS(C229:C232)</f>
        <v>0.25</v>
      </c>
      <c r="H229" s="73" t="s">
        <v>950</v>
      </c>
    </row>
    <row r="230" spans="1:8">
      <c r="A230" s="108"/>
      <c r="B230" s="3" t="s">
        <v>241</v>
      </c>
      <c r="C230" s="29" t="s">
        <v>242</v>
      </c>
      <c r="D230" s="15"/>
      <c r="E230" s="16" t="s">
        <v>564</v>
      </c>
      <c r="G230" s="8">
        <f t="shared" si="19"/>
        <v>0.25</v>
      </c>
      <c r="H230" s="73" t="s">
        <v>950</v>
      </c>
    </row>
    <row r="231" spans="1:8">
      <c r="A231" s="108"/>
      <c r="B231" s="3" t="s">
        <v>242</v>
      </c>
      <c r="C231" s="29" t="s">
        <v>240</v>
      </c>
      <c r="D231" s="15"/>
      <c r="E231" s="16" t="s">
        <v>565</v>
      </c>
      <c r="G231" s="8">
        <f t="shared" si="19"/>
        <v>0.25</v>
      </c>
      <c r="H231" s="73" t="s">
        <v>950</v>
      </c>
    </row>
    <row r="232" spans="1:8">
      <c r="A232" s="108" t="s">
        <v>24</v>
      </c>
      <c r="B232" s="3" t="s">
        <v>243</v>
      </c>
      <c r="C232" s="29" t="s">
        <v>243</v>
      </c>
      <c r="D232" s="15"/>
      <c r="E232" s="16" t="s">
        <v>566</v>
      </c>
      <c r="G232" s="8">
        <f xml:space="preserve"> 1/ROWS(C232:C236)</f>
        <v>0.2</v>
      </c>
      <c r="H232" s="73" t="s">
        <v>950</v>
      </c>
    </row>
    <row r="233" spans="1:8">
      <c r="A233" s="108"/>
      <c r="B233" s="3" t="s">
        <v>244</v>
      </c>
      <c r="C233" s="29" t="s">
        <v>245</v>
      </c>
      <c r="D233" s="15"/>
      <c r="E233" s="16" t="s">
        <v>567</v>
      </c>
      <c r="G233" s="8">
        <f t="shared" ref="G233:G236" si="20" xml:space="preserve"> 1/ROWS(C233:C237)</f>
        <v>0.2</v>
      </c>
      <c r="H233" s="73" t="s">
        <v>950</v>
      </c>
    </row>
    <row r="234" spans="1:8">
      <c r="A234" s="108"/>
      <c r="B234" s="3" t="s">
        <v>245</v>
      </c>
      <c r="C234" s="29" t="s">
        <v>244</v>
      </c>
      <c r="D234" s="15"/>
      <c r="E234" s="16" t="s">
        <v>568</v>
      </c>
      <c r="G234" s="8">
        <f t="shared" si="20"/>
        <v>0.2</v>
      </c>
      <c r="H234" s="73" t="s">
        <v>950</v>
      </c>
    </row>
    <row r="235" spans="1:8">
      <c r="A235" s="108"/>
      <c r="B235" s="3" t="s">
        <v>246</v>
      </c>
      <c r="C235" s="29" t="s">
        <v>246</v>
      </c>
      <c r="D235" s="15"/>
      <c r="E235" s="16" t="s">
        <v>569</v>
      </c>
      <c r="G235" s="8">
        <f t="shared" si="20"/>
        <v>0.2</v>
      </c>
      <c r="H235" s="73" t="s">
        <v>950</v>
      </c>
    </row>
    <row r="236" spans="1:8">
      <c r="A236" s="108"/>
      <c r="C236" s="29" t="s">
        <v>570</v>
      </c>
      <c r="D236" s="15"/>
      <c r="E236" s="16" t="s">
        <v>571</v>
      </c>
      <c r="G236" s="8">
        <f t="shared" si="20"/>
        <v>0.2</v>
      </c>
      <c r="H236" s="73" t="s">
        <v>950</v>
      </c>
    </row>
    <row r="237" spans="1:8">
      <c r="A237" s="108" t="s">
        <v>25</v>
      </c>
      <c r="B237" s="3" t="s">
        <v>247</v>
      </c>
      <c r="C237" s="29" t="s">
        <v>247</v>
      </c>
      <c r="D237" s="15"/>
      <c r="E237" s="16" t="s">
        <v>572</v>
      </c>
      <c r="G237" s="8">
        <f xml:space="preserve"> 1/ROWS(C237:C244)</f>
        <v>0.125</v>
      </c>
      <c r="H237" s="73" t="s">
        <v>950</v>
      </c>
    </row>
    <row r="238" spans="1:8">
      <c r="A238" s="108"/>
      <c r="B238" s="3" t="s">
        <v>248</v>
      </c>
      <c r="C238" s="29" t="s">
        <v>248</v>
      </c>
      <c r="D238" s="15"/>
      <c r="E238" s="16" t="s">
        <v>573</v>
      </c>
      <c r="G238" s="8">
        <f t="shared" ref="G238:G244" si="21" xml:space="preserve"> 1/ROWS(C238:C245)</f>
        <v>0.125</v>
      </c>
      <c r="H238" s="73" t="s">
        <v>950</v>
      </c>
    </row>
    <row r="239" spans="1:8">
      <c r="A239" s="108"/>
      <c r="B239" s="3" t="s">
        <v>249</v>
      </c>
      <c r="C239" s="29" t="s">
        <v>252</v>
      </c>
      <c r="D239" s="15"/>
      <c r="E239" s="16" t="s">
        <v>574</v>
      </c>
      <c r="G239" s="8">
        <f t="shared" si="21"/>
        <v>0.125</v>
      </c>
      <c r="H239" s="73" t="s">
        <v>950</v>
      </c>
    </row>
    <row r="240" spans="1:8">
      <c r="A240" s="108"/>
      <c r="B240" s="3" t="s">
        <v>250</v>
      </c>
      <c r="C240" s="29" t="s">
        <v>254</v>
      </c>
      <c r="D240" s="15"/>
      <c r="E240" s="16" t="s">
        <v>575</v>
      </c>
      <c r="G240" s="8">
        <f t="shared" si="21"/>
        <v>0.125</v>
      </c>
      <c r="H240" s="73" t="s">
        <v>950</v>
      </c>
    </row>
    <row r="241" spans="1:8">
      <c r="A241" s="108"/>
      <c r="B241" s="3" t="s">
        <v>251</v>
      </c>
      <c r="C241" s="29" t="s">
        <v>251</v>
      </c>
      <c r="D241" s="32"/>
      <c r="E241" s="16" t="s">
        <v>576</v>
      </c>
      <c r="G241" s="8">
        <f t="shared" si="21"/>
        <v>0.125</v>
      </c>
      <c r="H241" s="73" t="s">
        <v>950</v>
      </c>
    </row>
    <row r="242" spans="1:8">
      <c r="A242" s="108"/>
      <c r="B242" s="3" t="s">
        <v>252</v>
      </c>
      <c r="C242" s="29" t="s">
        <v>253</v>
      </c>
      <c r="D242" s="15"/>
      <c r="E242" s="16" t="s">
        <v>577</v>
      </c>
      <c r="G242" s="8">
        <f t="shared" si="21"/>
        <v>0.125</v>
      </c>
      <c r="H242" s="73" t="s">
        <v>950</v>
      </c>
    </row>
    <row r="243" spans="1:8">
      <c r="A243" s="108"/>
      <c r="B243" s="3" t="s">
        <v>253</v>
      </c>
      <c r="C243" s="29" t="s">
        <v>250</v>
      </c>
      <c r="D243" s="15"/>
      <c r="E243" s="16" t="s">
        <v>578</v>
      </c>
      <c r="G243" s="8">
        <f t="shared" si="21"/>
        <v>0.125</v>
      </c>
      <c r="H243" s="73" t="s">
        <v>950</v>
      </c>
    </row>
    <row r="244" spans="1:8">
      <c r="A244" s="108"/>
      <c r="B244" s="3" t="s">
        <v>254</v>
      </c>
      <c r="C244" s="29" t="s">
        <v>249</v>
      </c>
      <c r="D244" s="15"/>
      <c r="E244" s="16" t="s">
        <v>579</v>
      </c>
      <c r="G244" s="8">
        <f t="shared" si="21"/>
        <v>0.125</v>
      </c>
      <c r="H244" s="73" t="s">
        <v>950</v>
      </c>
    </row>
    <row r="245" spans="1:8">
      <c r="A245" s="108" t="s">
        <v>26</v>
      </c>
      <c r="B245" s="3" t="s">
        <v>255</v>
      </c>
      <c r="C245" s="29" t="s">
        <v>294</v>
      </c>
      <c r="D245" s="32"/>
      <c r="E245" s="16" t="s">
        <v>580</v>
      </c>
      <c r="G245" s="8">
        <f xml:space="preserve"> 1/ROWS(C245:C285)</f>
        <v>2.4390243902439025E-2</v>
      </c>
      <c r="H245" s="73" t="s">
        <v>950</v>
      </c>
    </row>
    <row r="246" spans="1:8" ht="29.25">
      <c r="A246" s="108"/>
      <c r="B246" s="3" t="s">
        <v>256</v>
      </c>
      <c r="C246" s="29" t="s">
        <v>268</v>
      </c>
      <c r="D246" s="15"/>
      <c r="E246" s="16" t="s">
        <v>581</v>
      </c>
      <c r="G246" s="8">
        <f t="shared" ref="G246:G252" si="22" xml:space="preserve"> 1/ROWS(C246:C286)</f>
        <v>2.4390243902439025E-2</v>
      </c>
      <c r="H246" s="73" t="s">
        <v>950</v>
      </c>
    </row>
    <row r="247" spans="1:8">
      <c r="A247" s="108"/>
      <c r="B247" s="3" t="s">
        <v>257</v>
      </c>
      <c r="C247" s="29" t="s">
        <v>280</v>
      </c>
      <c r="D247" s="15"/>
      <c r="E247" s="16" t="s">
        <v>582</v>
      </c>
      <c r="G247" s="8">
        <f t="shared" si="22"/>
        <v>2.4390243902439025E-2</v>
      </c>
      <c r="H247" s="73" t="s">
        <v>950</v>
      </c>
    </row>
    <row r="248" spans="1:8">
      <c r="A248" s="108"/>
      <c r="B248" s="3" t="s">
        <v>258</v>
      </c>
      <c r="C248" s="29" t="s">
        <v>270</v>
      </c>
      <c r="D248" s="15"/>
      <c r="E248" s="16" t="s">
        <v>583</v>
      </c>
      <c r="G248" s="8">
        <f t="shared" si="22"/>
        <v>2.4390243902439025E-2</v>
      </c>
      <c r="H248" s="73" t="s">
        <v>950</v>
      </c>
    </row>
    <row r="249" spans="1:8">
      <c r="A249" s="108"/>
      <c r="B249" s="3" t="s">
        <v>259</v>
      </c>
      <c r="C249" s="29" t="s">
        <v>285</v>
      </c>
      <c r="D249" s="15"/>
      <c r="E249" s="16" t="s">
        <v>584</v>
      </c>
      <c r="G249" s="8">
        <f t="shared" si="22"/>
        <v>2.4390243902439025E-2</v>
      </c>
      <c r="H249" s="73" t="s">
        <v>950</v>
      </c>
    </row>
    <row r="250" spans="1:8">
      <c r="A250" s="108"/>
      <c r="B250" s="3" t="s">
        <v>260</v>
      </c>
      <c r="C250" s="29" t="s">
        <v>264</v>
      </c>
      <c r="D250" s="15"/>
      <c r="E250" s="16" t="s">
        <v>585</v>
      </c>
      <c r="G250" s="8">
        <f t="shared" si="22"/>
        <v>2.4390243902439025E-2</v>
      </c>
      <c r="H250" s="73" t="s">
        <v>950</v>
      </c>
    </row>
    <row r="251" spans="1:8">
      <c r="A251" s="108"/>
      <c r="B251" s="3" t="s">
        <v>261</v>
      </c>
      <c r="C251" s="29" t="s">
        <v>269</v>
      </c>
      <c r="D251" s="15"/>
      <c r="E251" s="16" t="s">
        <v>586</v>
      </c>
      <c r="G251" s="8">
        <f t="shared" si="22"/>
        <v>2.4390243902439025E-2</v>
      </c>
      <c r="H251" s="73" t="s">
        <v>950</v>
      </c>
    </row>
    <row r="252" spans="1:8" ht="29.25">
      <c r="A252" s="108"/>
      <c r="B252" s="3" t="s">
        <v>262</v>
      </c>
      <c r="C252" s="29" t="s">
        <v>277</v>
      </c>
      <c r="D252" s="15"/>
      <c r="E252" s="16" t="s">
        <v>587</v>
      </c>
      <c r="G252" s="8">
        <f t="shared" si="22"/>
        <v>2.4390243902439025E-2</v>
      </c>
      <c r="H252" s="73" t="s">
        <v>950</v>
      </c>
    </row>
    <row r="253" spans="1:8">
      <c r="A253" s="108"/>
      <c r="B253" s="3" t="s">
        <v>263</v>
      </c>
      <c r="C253" s="29" t="s">
        <v>295</v>
      </c>
      <c r="D253" s="15"/>
      <c r="E253" s="16" t="s">
        <v>588</v>
      </c>
      <c r="G253" s="8">
        <f t="shared" ref="G253:G285" si="23" xml:space="preserve"> 1/ROWS(C253:C297)</f>
        <v>2.2222222222222223E-2</v>
      </c>
      <c r="H253" s="73" t="s">
        <v>950</v>
      </c>
    </row>
    <row r="254" spans="1:8">
      <c r="A254" s="108"/>
      <c r="B254" s="3" t="s">
        <v>264</v>
      </c>
      <c r="C254" s="29" t="s">
        <v>266</v>
      </c>
      <c r="D254" s="15"/>
      <c r="E254" s="16" t="s">
        <v>589</v>
      </c>
      <c r="G254" s="8">
        <f t="shared" si="23"/>
        <v>2.2222222222222223E-2</v>
      </c>
      <c r="H254" s="73" t="s">
        <v>950</v>
      </c>
    </row>
    <row r="255" spans="1:8">
      <c r="A255" s="108"/>
      <c r="B255" s="3" t="s">
        <v>265</v>
      </c>
      <c r="C255" s="29" t="s">
        <v>263</v>
      </c>
      <c r="D255" s="15"/>
      <c r="E255" s="16" t="s">
        <v>590</v>
      </c>
      <c r="G255" s="8">
        <f t="shared" si="23"/>
        <v>2.2222222222222223E-2</v>
      </c>
      <c r="H255" s="73" t="s">
        <v>950</v>
      </c>
    </row>
    <row r="256" spans="1:8">
      <c r="A256" s="108"/>
      <c r="B256" s="3" t="s">
        <v>266</v>
      </c>
      <c r="C256" s="29" t="s">
        <v>279</v>
      </c>
      <c r="D256" s="15"/>
      <c r="E256" s="16" t="s">
        <v>591</v>
      </c>
      <c r="G256" s="8">
        <f t="shared" si="23"/>
        <v>2.2222222222222223E-2</v>
      </c>
      <c r="H256" s="73" t="s">
        <v>950</v>
      </c>
    </row>
    <row r="257" spans="1:8" ht="29.25">
      <c r="A257" s="108"/>
      <c r="B257" s="3" t="s">
        <v>267</v>
      </c>
      <c r="C257" s="29" t="s">
        <v>272</v>
      </c>
      <c r="D257" s="15"/>
      <c r="E257" s="16" t="s">
        <v>592</v>
      </c>
      <c r="G257" s="8">
        <f t="shared" si="23"/>
        <v>2.2222222222222223E-2</v>
      </c>
      <c r="H257" s="73" t="s">
        <v>950</v>
      </c>
    </row>
    <row r="258" spans="1:8">
      <c r="A258" s="108"/>
      <c r="B258" s="3" t="s">
        <v>268</v>
      </c>
      <c r="C258" s="29" t="s">
        <v>271</v>
      </c>
      <c r="D258" s="15"/>
      <c r="E258" s="16" t="s">
        <v>593</v>
      </c>
      <c r="G258" s="8">
        <f t="shared" si="23"/>
        <v>2.2222222222222223E-2</v>
      </c>
      <c r="H258" s="73" t="s">
        <v>950</v>
      </c>
    </row>
    <row r="259" spans="1:8" ht="29.25">
      <c r="A259" s="108"/>
      <c r="B259" s="3" t="s">
        <v>269</v>
      </c>
      <c r="C259" s="29" t="s">
        <v>275</v>
      </c>
      <c r="D259" s="15"/>
      <c r="E259" s="16" t="s">
        <v>594</v>
      </c>
      <c r="G259" s="8">
        <f t="shared" si="23"/>
        <v>2.2222222222222223E-2</v>
      </c>
      <c r="H259" s="73" t="s">
        <v>950</v>
      </c>
    </row>
    <row r="260" spans="1:8">
      <c r="A260" s="108"/>
      <c r="B260" s="3" t="s">
        <v>270</v>
      </c>
      <c r="C260" s="29" t="s">
        <v>267</v>
      </c>
      <c r="D260" s="15"/>
      <c r="E260" s="16" t="s">
        <v>595</v>
      </c>
      <c r="G260" s="8">
        <f t="shared" si="23"/>
        <v>2.2222222222222223E-2</v>
      </c>
      <c r="H260" s="73" t="s">
        <v>950</v>
      </c>
    </row>
    <row r="261" spans="1:8">
      <c r="A261" s="108"/>
      <c r="B261" s="3" t="s">
        <v>271</v>
      </c>
      <c r="C261" s="29" t="s">
        <v>274</v>
      </c>
      <c r="D261" s="15"/>
      <c r="E261" s="16" t="s">
        <v>596</v>
      </c>
      <c r="G261" s="8">
        <f t="shared" si="23"/>
        <v>2.2222222222222223E-2</v>
      </c>
      <c r="H261" s="73" t="s">
        <v>950</v>
      </c>
    </row>
    <row r="262" spans="1:8">
      <c r="A262" s="108"/>
      <c r="B262" s="3" t="s">
        <v>272</v>
      </c>
      <c r="C262" s="29" t="s">
        <v>282</v>
      </c>
      <c r="D262" s="15"/>
      <c r="E262" s="16" t="s">
        <v>597</v>
      </c>
      <c r="G262" s="8">
        <f t="shared" si="23"/>
        <v>2.2222222222222223E-2</v>
      </c>
      <c r="H262" s="73" t="s">
        <v>950</v>
      </c>
    </row>
    <row r="263" spans="1:8">
      <c r="A263" s="108"/>
      <c r="B263" s="3" t="s">
        <v>273</v>
      </c>
      <c r="C263" s="29" t="s">
        <v>287</v>
      </c>
      <c r="D263" s="15"/>
      <c r="E263" s="16" t="s">
        <v>598</v>
      </c>
      <c r="G263" s="8">
        <f t="shared" si="23"/>
        <v>2.2222222222222223E-2</v>
      </c>
      <c r="H263" s="73" t="s">
        <v>950</v>
      </c>
    </row>
    <row r="264" spans="1:8">
      <c r="A264" s="108"/>
      <c r="B264" s="3" t="s">
        <v>274</v>
      </c>
      <c r="C264" s="29" t="s">
        <v>265</v>
      </c>
      <c r="D264" s="15"/>
      <c r="E264" s="16" t="s">
        <v>599</v>
      </c>
      <c r="G264" s="8">
        <f t="shared" si="23"/>
        <v>2.2222222222222223E-2</v>
      </c>
      <c r="H264" s="73" t="s">
        <v>950</v>
      </c>
    </row>
    <row r="265" spans="1:8">
      <c r="A265" s="108"/>
      <c r="B265" s="3" t="s">
        <v>275</v>
      </c>
      <c r="C265" s="29" t="s">
        <v>293</v>
      </c>
      <c r="D265" s="15"/>
      <c r="E265" s="16" t="s">
        <v>600</v>
      </c>
      <c r="G265" s="8">
        <f t="shared" si="23"/>
        <v>2.2222222222222223E-2</v>
      </c>
      <c r="H265" s="73" t="s">
        <v>950</v>
      </c>
    </row>
    <row r="266" spans="1:8">
      <c r="A266" s="108"/>
      <c r="B266" s="3" t="s">
        <v>276</v>
      </c>
      <c r="C266" s="29" t="s">
        <v>292</v>
      </c>
      <c r="D266" s="15"/>
      <c r="E266" s="16" t="s">
        <v>601</v>
      </c>
      <c r="G266" s="8">
        <f t="shared" si="23"/>
        <v>2.2222222222222223E-2</v>
      </c>
      <c r="H266" s="73" t="s">
        <v>950</v>
      </c>
    </row>
    <row r="267" spans="1:8" ht="29.25">
      <c r="A267" s="108"/>
      <c r="B267" s="3" t="s">
        <v>277</v>
      </c>
      <c r="C267" s="29" t="s">
        <v>291</v>
      </c>
      <c r="D267" s="15"/>
      <c r="E267" s="16" t="s">
        <v>602</v>
      </c>
      <c r="G267" s="8">
        <f t="shared" si="23"/>
        <v>2.2222222222222223E-2</v>
      </c>
      <c r="H267" s="73" t="s">
        <v>950</v>
      </c>
    </row>
    <row r="268" spans="1:8">
      <c r="A268" s="108"/>
      <c r="B268" s="3" t="s">
        <v>278</v>
      </c>
      <c r="C268" s="29" t="s">
        <v>290</v>
      </c>
      <c r="D268" s="15"/>
      <c r="E268" s="16" t="s">
        <v>603</v>
      </c>
      <c r="G268" s="8">
        <f t="shared" si="23"/>
        <v>2.2222222222222223E-2</v>
      </c>
      <c r="H268" s="73" t="s">
        <v>950</v>
      </c>
    </row>
    <row r="269" spans="1:8" ht="29.25">
      <c r="A269" s="108"/>
      <c r="B269" s="3" t="s">
        <v>279</v>
      </c>
      <c r="C269" s="29" t="s">
        <v>289</v>
      </c>
      <c r="D269" s="15"/>
      <c r="E269" s="16" t="s">
        <v>604</v>
      </c>
      <c r="G269" s="8">
        <f t="shared" si="23"/>
        <v>2.2222222222222223E-2</v>
      </c>
      <c r="H269" s="73" t="s">
        <v>950</v>
      </c>
    </row>
    <row r="270" spans="1:8" ht="29.25">
      <c r="A270" s="108"/>
      <c r="B270" s="3" t="s">
        <v>280</v>
      </c>
      <c r="C270" s="29" t="s">
        <v>286</v>
      </c>
      <c r="D270" s="15"/>
      <c r="E270" s="16" t="s">
        <v>605</v>
      </c>
      <c r="G270" s="8">
        <f t="shared" si="23"/>
        <v>2.2222222222222223E-2</v>
      </c>
      <c r="H270" s="73" t="s">
        <v>950</v>
      </c>
    </row>
    <row r="271" spans="1:8">
      <c r="A271" s="108"/>
      <c r="B271" s="3" t="s">
        <v>281</v>
      </c>
      <c r="C271" s="29" t="s">
        <v>283</v>
      </c>
      <c r="D271" s="15"/>
      <c r="E271" s="16" t="s">
        <v>606</v>
      </c>
      <c r="G271" s="8">
        <f t="shared" si="23"/>
        <v>2.2222222222222223E-2</v>
      </c>
      <c r="H271" s="73" t="s">
        <v>950</v>
      </c>
    </row>
    <row r="272" spans="1:8">
      <c r="A272" s="108"/>
      <c r="B272" s="3" t="s">
        <v>282</v>
      </c>
      <c r="C272" s="29" t="s">
        <v>276</v>
      </c>
      <c r="D272" s="15"/>
      <c r="E272" s="16" t="s">
        <v>607</v>
      </c>
      <c r="G272" s="8">
        <f t="shared" si="23"/>
        <v>2.2222222222222223E-2</v>
      </c>
      <c r="H272" s="73" t="s">
        <v>950</v>
      </c>
    </row>
    <row r="273" spans="1:8">
      <c r="A273" s="108"/>
      <c r="B273" s="3" t="s">
        <v>283</v>
      </c>
      <c r="C273" s="29" t="s">
        <v>273</v>
      </c>
      <c r="D273" s="15"/>
      <c r="E273" s="16" t="s">
        <v>608</v>
      </c>
      <c r="G273" s="8">
        <f t="shared" si="23"/>
        <v>2.2222222222222223E-2</v>
      </c>
      <c r="H273" s="73" t="s">
        <v>950</v>
      </c>
    </row>
    <row r="274" spans="1:8" ht="29.25">
      <c r="A274" s="108"/>
      <c r="B274" s="3" t="s">
        <v>284</v>
      </c>
      <c r="C274" s="29" t="s">
        <v>288</v>
      </c>
      <c r="D274" s="15"/>
      <c r="E274" s="16" t="s">
        <v>609</v>
      </c>
      <c r="G274" s="8">
        <f t="shared" si="23"/>
        <v>2.2222222222222223E-2</v>
      </c>
      <c r="H274" s="73" t="s">
        <v>950</v>
      </c>
    </row>
    <row r="275" spans="1:8">
      <c r="A275" s="108"/>
      <c r="B275" s="3" t="s">
        <v>285</v>
      </c>
      <c r="C275" s="29" t="s">
        <v>284</v>
      </c>
      <c r="D275" s="15"/>
      <c r="E275" s="16" t="s">
        <v>610</v>
      </c>
      <c r="G275" s="8">
        <f t="shared" si="23"/>
        <v>2.2222222222222223E-2</v>
      </c>
      <c r="H275" s="73" t="s">
        <v>950</v>
      </c>
    </row>
    <row r="276" spans="1:8">
      <c r="A276" s="108"/>
      <c r="B276" s="3" t="s">
        <v>286</v>
      </c>
      <c r="C276" s="29" t="s">
        <v>281</v>
      </c>
      <c r="D276" s="15"/>
      <c r="E276" s="16" t="s">
        <v>611</v>
      </c>
      <c r="G276" s="8">
        <f t="shared" si="23"/>
        <v>2.2222222222222223E-2</v>
      </c>
      <c r="H276" s="73" t="s">
        <v>950</v>
      </c>
    </row>
    <row r="277" spans="1:8">
      <c r="A277" s="108"/>
      <c r="B277" s="3" t="s">
        <v>287</v>
      </c>
      <c r="C277" s="29" t="s">
        <v>278</v>
      </c>
      <c r="D277" s="15"/>
      <c r="E277" s="16" t="s">
        <v>612</v>
      </c>
      <c r="G277" s="8">
        <f t="shared" si="23"/>
        <v>2.2222222222222223E-2</v>
      </c>
      <c r="H277" s="73" t="s">
        <v>950</v>
      </c>
    </row>
    <row r="278" spans="1:8">
      <c r="A278" s="108"/>
      <c r="B278" s="3" t="s">
        <v>288</v>
      </c>
      <c r="C278" s="29" t="s">
        <v>255</v>
      </c>
      <c r="D278" s="15"/>
      <c r="E278" s="16" t="s">
        <v>613</v>
      </c>
      <c r="G278" s="8">
        <f t="shared" si="23"/>
        <v>2.2222222222222223E-2</v>
      </c>
      <c r="H278" s="73" t="s">
        <v>950</v>
      </c>
    </row>
    <row r="279" spans="1:8">
      <c r="A279" s="108"/>
      <c r="B279" s="3" t="s">
        <v>289</v>
      </c>
      <c r="C279" s="29" t="s">
        <v>256</v>
      </c>
      <c r="D279" s="15"/>
      <c r="E279" s="16" t="s">
        <v>614</v>
      </c>
      <c r="G279" s="8">
        <f t="shared" si="23"/>
        <v>2.2222222222222223E-2</v>
      </c>
      <c r="H279" s="73" t="s">
        <v>950</v>
      </c>
    </row>
    <row r="280" spans="1:8">
      <c r="A280" s="108"/>
      <c r="B280" s="3" t="s">
        <v>290</v>
      </c>
      <c r="C280" s="29" t="s">
        <v>261</v>
      </c>
      <c r="D280" s="15"/>
      <c r="E280" s="16" t="s">
        <v>615</v>
      </c>
      <c r="G280" s="8">
        <f t="shared" si="23"/>
        <v>2.2222222222222223E-2</v>
      </c>
      <c r="H280" s="73" t="s">
        <v>950</v>
      </c>
    </row>
    <row r="281" spans="1:8">
      <c r="A281" s="108"/>
      <c r="B281" s="3" t="s">
        <v>291</v>
      </c>
      <c r="C281" s="29" t="s">
        <v>259</v>
      </c>
      <c r="D281" s="15"/>
      <c r="E281" s="16" t="s">
        <v>616</v>
      </c>
      <c r="G281" s="8">
        <f t="shared" si="23"/>
        <v>2.2222222222222223E-2</v>
      </c>
      <c r="H281" s="73" t="s">
        <v>950</v>
      </c>
    </row>
    <row r="282" spans="1:8">
      <c r="A282" s="108"/>
      <c r="B282" s="3" t="s">
        <v>292</v>
      </c>
      <c r="C282" s="29" t="s">
        <v>260</v>
      </c>
      <c r="D282" s="31"/>
      <c r="E282" s="16" t="s">
        <v>617</v>
      </c>
      <c r="G282" s="8">
        <f t="shared" si="23"/>
        <v>2.2222222222222223E-2</v>
      </c>
      <c r="H282" s="73" t="s">
        <v>950</v>
      </c>
    </row>
    <row r="283" spans="1:8">
      <c r="A283" s="108"/>
      <c r="B283" s="3" t="s">
        <v>293</v>
      </c>
      <c r="C283" s="29" t="s">
        <v>258</v>
      </c>
      <c r="D283" s="15"/>
      <c r="E283" s="16" t="s">
        <v>618</v>
      </c>
      <c r="G283" s="8">
        <f t="shared" si="23"/>
        <v>2.2222222222222223E-2</v>
      </c>
      <c r="H283" s="73" t="s">
        <v>950</v>
      </c>
    </row>
    <row r="284" spans="1:8">
      <c r="A284" s="108"/>
      <c r="B284" s="3" t="s">
        <v>294</v>
      </c>
      <c r="C284" s="29" t="s">
        <v>257</v>
      </c>
      <c r="D284" s="15"/>
      <c r="E284" s="16" t="s">
        <v>619</v>
      </c>
      <c r="G284" s="8">
        <f t="shared" si="23"/>
        <v>2.2222222222222223E-2</v>
      </c>
      <c r="H284" s="73" t="s">
        <v>950</v>
      </c>
    </row>
    <row r="285" spans="1:8">
      <c r="A285" s="108"/>
      <c r="B285" s="3" t="s">
        <v>295</v>
      </c>
      <c r="C285" s="29" t="s">
        <v>262</v>
      </c>
      <c r="D285" s="15"/>
      <c r="E285" s="16" t="s">
        <v>620</v>
      </c>
      <c r="G285" s="8">
        <f t="shared" si="23"/>
        <v>2.2222222222222223E-2</v>
      </c>
      <c r="H285" s="73" t="s">
        <v>950</v>
      </c>
    </row>
    <row r="286" spans="1:8">
      <c r="A286" s="108" t="s">
        <v>27</v>
      </c>
      <c r="B286" s="3" t="s">
        <v>296</v>
      </c>
      <c r="C286" s="21" t="s">
        <v>298</v>
      </c>
      <c r="E286" s="19" t="s">
        <v>629</v>
      </c>
      <c r="G286" s="8">
        <f xml:space="preserve"> 1/ROWS(C286:C296)</f>
        <v>9.0909090909090912E-2</v>
      </c>
      <c r="H286" s="73" t="s">
        <v>950</v>
      </c>
    </row>
    <row r="287" spans="1:8">
      <c r="A287" s="108"/>
      <c r="B287" s="3" t="s">
        <v>297</v>
      </c>
      <c r="C287" s="19" t="s">
        <v>297</v>
      </c>
      <c r="D287" s="3" t="s">
        <v>729</v>
      </c>
      <c r="E287" s="19" t="s">
        <v>630</v>
      </c>
      <c r="G287" s="8">
        <f t="shared" ref="G287:G296" si="24" xml:space="preserve"> 1/ROWS(C287:C297)</f>
        <v>9.0909090909090912E-2</v>
      </c>
      <c r="H287" s="73" t="s">
        <v>950</v>
      </c>
    </row>
    <row r="288" spans="1:8">
      <c r="A288" s="108"/>
      <c r="B288" s="3" t="s">
        <v>298</v>
      </c>
      <c r="C288" s="19" t="s">
        <v>299</v>
      </c>
      <c r="E288" s="19" t="s">
        <v>631</v>
      </c>
      <c r="G288" s="8">
        <f t="shared" si="24"/>
        <v>9.0909090909090912E-2</v>
      </c>
      <c r="H288" s="73" t="s">
        <v>950</v>
      </c>
    </row>
    <row r="289" spans="1:8">
      <c r="A289" s="108"/>
      <c r="B289" s="3" t="s">
        <v>299</v>
      </c>
      <c r="C289" s="29" t="s">
        <v>625</v>
      </c>
      <c r="E289" s="19" t="s">
        <v>632</v>
      </c>
      <c r="G289" s="8">
        <f t="shared" si="24"/>
        <v>9.0909090909090912E-2</v>
      </c>
      <c r="H289" s="73" t="s">
        <v>950</v>
      </c>
    </row>
    <row r="290" spans="1:8">
      <c r="A290" s="108"/>
      <c r="B290" s="3" t="s">
        <v>300</v>
      </c>
      <c r="C290" s="21" t="s">
        <v>626</v>
      </c>
      <c r="E290" s="19" t="s">
        <v>633</v>
      </c>
      <c r="G290" s="8">
        <f t="shared" si="24"/>
        <v>9.0909090909090912E-2</v>
      </c>
      <c r="H290" s="73" t="s">
        <v>950</v>
      </c>
    </row>
    <row r="291" spans="1:8">
      <c r="A291" s="108"/>
      <c r="B291" s="3" t="s">
        <v>301</v>
      </c>
      <c r="C291" s="21" t="s">
        <v>627</v>
      </c>
      <c r="E291" s="19" t="s">
        <v>634</v>
      </c>
      <c r="G291" s="8">
        <f t="shared" si="24"/>
        <v>9.0909090909090912E-2</v>
      </c>
      <c r="H291" s="73" t="s">
        <v>950</v>
      </c>
    </row>
    <row r="292" spans="1:8">
      <c r="A292" s="108"/>
      <c r="B292" s="3" t="s">
        <v>302</v>
      </c>
      <c r="C292" s="21" t="s">
        <v>628</v>
      </c>
      <c r="E292" s="19" t="s">
        <v>635</v>
      </c>
      <c r="G292" s="8">
        <f t="shared" si="24"/>
        <v>9.0909090909090912E-2</v>
      </c>
      <c r="H292" s="73" t="s">
        <v>950</v>
      </c>
    </row>
    <row r="293" spans="1:8">
      <c r="A293" s="108"/>
      <c r="C293" s="12" t="s">
        <v>302</v>
      </c>
      <c r="E293" s="19"/>
      <c r="G293" s="8">
        <f t="shared" si="24"/>
        <v>9.0909090909090912E-2</v>
      </c>
      <c r="H293" s="73" t="s">
        <v>950</v>
      </c>
    </row>
    <row r="294" spans="1:8">
      <c r="A294" s="108"/>
      <c r="C294" s="12" t="s">
        <v>301</v>
      </c>
      <c r="E294" s="19"/>
      <c r="G294" s="8">
        <f t="shared" si="24"/>
        <v>9.0909090909090912E-2</v>
      </c>
      <c r="H294" s="73" t="s">
        <v>950</v>
      </c>
    </row>
    <row r="295" spans="1:8">
      <c r="A295" s="108"/>
      <c r="C295" s="12" t="s">
        <v>300</v>
      </c>
      <c r="E295" s="19"/>
      <c r="G295" s="8">
        <f t="shared" si="24"/>
        <v>9.0909090909090912E-2</v>
      </c>
      <c r="H295" s="73" t="s">
        <v>950</v>
      </c>
    </row>
    <row r="296" spans="1:8">
      <c r="A296" s="108"/>
      <c r="C296" s="12" t="s">
        <v>296</v>
      </c>
      <c r="E296" s="19"/>
      <c r="G296" s="8">
        <f t="shared" si="24"/>
        <v>9.0909090909090912E-2</v>
      </c>
      <c r="H296" s="73" t="s">
        <v>950</v>
      </c>
    </row>
    <row r="297" spans="1:8">
      <c r="A297" s="108" t="s">
        <v>636</v>
      </c>
      <c r="B297" s="3" t="s">
        <v>303</v>
      </c>
      <c r="C297" s="21" t="s">
        <v>305</v>
      </c>
      <c r="D297" s="20"/>
      <c r="E297" s="21" t="s">
        <v>637</v>
      </c>
      <c r="G297" s="8">
        <f xml:space="preserve"> 1/ROWS(C297:C303)</f>
        <v>0.14285714285714285</v>
      </c>
      <c r="H297" s="73" t="s">
        <v>950</v>
      </c>
    </row>
    <row r="298" spans="1:8">
      <c r="A298" s="108"/>
      <c r="B298" s="3" t="s">
        <v>304</v>
      </c>
      <c r="C298" s="21" t="s">
        <v>307</v>
      </c>
      <c r="D298" s="20"/>
      <c r="E298" s="21" t="s">
        <v>638</v>
      </c>
      <c r="G298" s="8">
        <f t="shared" ref="G298:G303" si="25" xml:space="preserve"> 1/ROWS(C298:C304)</f>
        <v>0.14285714285714285</v>
      </c>
      <c r="H298" s="73" t="s">
        <v>950</v>
      </c>
    </row>
    <row r="299" spans="1:8">
      <c r="A299" s="108"/>
      <c r="B299" s="3" t="s">
        <v>305</v>
      </c>
      <c r="C299" s="21" t="s">
        <v>309</v>
      </c>
      <c r="D299" s="20"/>
      <c r="E299" s="21" t="s">
        <v>639</v>
      </c>
      <c r="G299" s="8">
        <f t="shared" si="25"/>
        <v>0.14285714285714285</v>
      </c>
      <c r="H299" s="73" t="s">
        <v>950</v>
      </c>
    </row>
    <row r="300" spans="1:8">
      <c r="A300" s="108"/>
      <c r="B300" s="3" t="s">
        <v>306</v>
      </c>
      <c r="C300" s="21" t="s">
        <v>303</v>
      </c>
      <c r="D300" s="20"/>
      <c r="E300" s="21" t="s">
        <v>640</v>
      </c>
      <c r="G300" s="8">
        <f t="shared" si="25"/>
        <v>0.14285714285714285</v>
      </c>
      <c r="H300" s="73" t="s">
        <v>950</v>
      </c>
    </row>
    <row r="301" spans="1:8">
      <c r="A301" s="108"/>
      <c r="B301" s="3" t="s">
        <v>307</v>
      </c>
      <c r="C301" s="21" t="s">
        <v>308</v>
      </c>
      <c r="D301" s="20"/>
      <c r="E301" s="21" t="s">
        <v>641</v>
      </c>
      <c r="G301" s="8">
        <f t="shared" si="25"/>
        <v>0.14285714285714285</v>
      </c>
      <c r="H301" s="73" t="s">
        <v>950</v>
      </c>
    </row>
    <row r="302" spans="1:8">
      <c r="A302" s="108"/>
      <c r="B302" s="3" t="s">
        <v>308</v>
      </c>
      <c r="C302" s="21" t="s">
        <v>304</v>
      </c>
      <c r="D302" s="20"/>
      <c r="E302" s="21" t="s">
        <v>642</v>
      </c>
      <c r="G302" s="8">
        <f t="shared" si="25"/>
        <v>0.14285714285714285</v>
      </c>
      <c r="H302" s="73" t="s">
        <v>950</v>
      </c>
    </row>
    <row r="303" spans="1:8">
      <c r="A303" s="108"/>
      <c r="B303" s="3" t="s">
        <v>309</v>
      </c>
      <c r="C303" s="21" t="s">
        <v>306</v>
      </c>
      <c r="D303" s="20"/>
      <c r="E303" s="21" t="s">
        <v>643</v>
      </c>
      <c r="G303" s="8">
        <f t="shared" si="25"/>
        <v>0.14285714285714285</v>
      </c>
      <c r="H303" s="73" t="s">
        <v>950</v>
      </c>
    </row>
    <row r="304" spans="1:8">
      <c r="A304" s="26" t="s">
        <v>28</v>
      </c>
      <c r="B304" s="3" t="s">
        <v>310</v>
      </c>
      <c r="C304" s="33" t="s">
        <v>310</v>
      </c>
      <c r="D304" s="34"/>
      <c r="E304" s="33" t="s">
        <v>644</v>
      </c>
      <c r="G304" s="8">
        <v>1</v>
      </c>
      <c r="H304" s="73" t="s">
        <v>950</v>
      </c>
    </row>
    <row r="305" spans="1:8">
      <c r="A305" s="24" t="s">
        <v>29</v>
      </c>
      <c r="B305" s="3" t="s">
        <v>311</v>
      </c>
      <c r="C305" s="19" t="s">
        <v>311</v>
      </c>
      <c r="D305" s="16"/>
      <c r="E305" s="16" t="s">
        <v>645</v>
      </c>
      <c r="G305" s="8">
        <v>1</v>
      </c>
      <c r="H305" s="73" t="s">
        <v>950</v>
      </c>
    </row>
    <row r="306" spans="1:8">
      <c r="A306" s="108" t="s">
        <v>30</v>
      </c>
      <c r="B306" s="3" t="s">
        <v>35</v>
      </c>
      <c r="C306" s="19" t="s">
        <v>33</v>
      </c>
      <c r="D306" s="16"/>
      <c r="E306" s="19" t="s">
        <v>646</v>
      </c>
      <c r="G306" s="8">
        <f xml:space="preserve"> 1/ROWS(C306:C308)</f>
        <v>0.33333333333333331</v>
      </c>
      <c r="H306" s="73" t="s">
        <v>950</v>
      </c>
    </row>
    <row r="307" spans="1:8">
      <c r="A307" s="108"/>
      <c r="B307" s="3" t="s">
        <v>34</v>
      </c>
      <c r="C307" s="19" t="s">
        <v>34</v>
      </c>
      <c r="D307" s="16"/>
      <c r="E307" s="19" t="s">
        <v>647</v>
      </c>
      <c r="G307" s="8">
        <f t="shared" ref="G307:G308" si="26" xml:space="preserve"> 1/ROWS(C307:C309)</f>
        <v>0.33333333333333331</v>
      </c>
      <c r="H307" s="73" t="s">
        <v>950</v>
      </c>
    </row>
    <row r="308" spans="1:8">
      <c r="A308" s="108"/>
      <c r="B308" s="3" t="s">
        <v>33</v>
      </c>
      <c r="C308" s="19" t="s">
        <v>35</v>
      </c>
      <c r="D308" s="16"/>
      <c r="E308" s="19" t="s">
        <v>648</v>
      </c>
      <c r="G308" s="8">
        <f t="shared" si="26"/>
        <v>0.33333333333333331</v>
      </c>
      <c r="H308" s="73" t="s">
        <v>950</v>
      </c>
    </row>
    <row r="309" spans="1:8">
      <c r="A309" s="108" t="s">
        <v>31</v>
      </c>
      <c r="B309" s="3" t="s">
        <v>312</v>
      </c>
      <c r="C309" s="19" t="s">
        <v>315</v>
      </c>
      <c r="D309" s="16"/>
      <c r="E309" s="19" t="s">
        <v>649</v>
      </c>
      <c r="G309" s="8">
        <f xml:space="preserve"> 1/ROWS(C309:C312)</f>
        <v>0.25</v>
      </c>
      <c r="H309" s="73" t="s">
        <v>950</v>
      </c>
    </row>
    <row r="310" spans="1:8">
      <c r="A310" s="108"/>
      <c r="B310" s="3" t="s">
        <v>313</v>
      </c>
      <c r="C310" s="19" t="s">
        <v>314</v>
      </c>
      <c r="D310" s="16" t="s">
        <v>731</v>
      </c>
      <c r="E310" s="19" t="s">
        <v>650</v>
      </c>
      <c r="G310" s="8">
        <f t="shared" ref="G310:G312" si="27" xml:space="preserve"> 1/ROWS(C310:C313)</f>
        <v>0.25</v>
      </c>
      <c r="H310" s="73" t="s">
        <v>950</v>
      </c>
    </row>
    <row r="311" spans="1:8" ht="29.25">
      <c r="A311" s="108"/>
      <c r="B311" s="3" t="s">
        <v>314</v>
      </c>
      <c r="C311" s="19" t="s">
        <v>313</v>
      </c>
      <c r="D311" s="16"/>
      <c r="E311" s="16" t="s">
        <v>651</v>
      </c>
      <c r="G311" s="8">
        <f t="shared" si="27"/>
        <v>0.25</v>
      </c>
      <c r="H311" s="73" t="s">
        <v>950</v>
      </c>
    </row>
    <row r="312" spans="1:8">
      <c r="A312" s="108"/>
      <c r="B312" s="3" t="s">
        <v>315</v>
      </c>
      <c r="C312" s="19" t="s">
        <v>312</v>
      </c>
      <c r="D312" s="16"/>
      <c r="E312" s="16" t="s">
        <v>652</v>
      </c>
      <c r="G312" s="8">
        <f t="shared" si="27"/>
        <v>0.25</v>
      </c>
      <c r="H312" s="73" t="s">
        <v>950</v>
      </c>
    </row>
    <row r="313" spans="1:8">
      <c r="A313" s="26" t="s">
        <v>32</v>
      </c>
      <c r="B313" s="3" t="s">
        <v>5018</v>
      </c>
      <c r="C313" s="19" t="s">
        <v>5018</v>
      </c>
      <c r="G313" s="8">
        <v>1</v>
      </c>
      <c r="H313" s="73" t="s">
        <v>950</v>
      </c>
    </row>
    <row r="314" spans="1:8">
      <c r="A314" s="26" t="s">
        <v>654</v>
      </c>
      <c r="B314" s="3" t="s">
        <v>656</v>
      </c>
      <c r="C314" s="19" t="s">
        <v>656</v>
      </c>
      <c r="E314" s="3" t="s">
        <v>654</v>
      </c>
      <c r="G314" s="8">
        <v>1</v>
      </c>
      <c r="H314" s="73" t="s">
        <v>950</v>
      </c>
    </row>
    <row r="315" spans="1:8">
      <c r="A315" s="26" t="s">
        <v>2150</v>
      </c>
      <c r="C315" s="19" t="s">
        <v>655</v>
      </c>
      <c r="E315" s="3" t="s">
        <v>653</v>
      </c>
      <c r="G315" s="8">
        <v>1</v>
      </c>
      <c r="H315" s="73" t="s">
        <v>950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15"/>
  <sheetViews>
    <sheetView zoomScale="85" zoomScaleNormal="85" workbookViewId="0">
      <selection activeCell="J290" sqref="J290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29.875" style="3" hidden="1" customWidth="1"/>
    <col min="5" max="5" width="18.875" style="44" bestFit="1" customWidth="1"/>
    <col min="6" max="6" width="11.625" style="59" bestFit="1" customWidth="1"/>
    <col min="7" max="7" width="24" style="3" bestFit="1" customWidth="1"/>
    <col min="8" max="8" width="16.875" style="3" bestFit="1" customWidth="1"/>
    <col min="9" max="9" width="20.625" style="3" bestFit="1" customWidth="1"/>
    <col min="10" max="16384" width="10.875" style="3"/>
  </cols>
  <sheetData>
    <row r="1" spans="1:11">
      <c r="A1" s="22" t="s">
        <v>0</v>
      </c>
      <c r="B1" s="22" t="s">
        <v>657</v>
      </c>
      <c r="C1" s="22" t="s">
        <v>1</v>
      </c>
      <c r="D1" s="22" t="s">
        <v>658</v>
      </c>
      <c r="E1" s="93" t="s">
        <v>4921</v>
      </c>
      <c r="F1" s="93" t="s">
        <v>4922</v>
      </c>
      <c r="G1" s="94" t="s">
        <v>894</v>
      </c>
      <c r="H1" s="93" t="s">
        <v>952</v>
      </c>
      <c r="I1" s="2"/>
    </row>
    <row r="2" spans="1:11" ht="30">
      <c r="A2" s="108" t="s">
        <v>3</v>
      </c>
      <c r="B2" s="3" t="s">
        <v>37</v>
      </c>
      <c r="C2" s="5" t="s">
        <v>36</v>
      </c>
      <c r="D2" s="7" t="s">
        <v>621</v>
      </c>
      <c r="E2">
        <v>0</v>
      </c>
      <c r="F2">
        <v>0</v>
      </c>
      <c r="G2" s="92">
        <v>0</v>
      </c>
      <c r="H2"/>
      <c r="I2" s="43"/>
      <c r="J2" s="43"/>
      <c r="K2" s="45"/>
    </row>
    <row r="3" spans="1:11" ht="15.75">
      <c r="A3" s="108"/>
      <c r="B3" s="3" t="s">
        <v>38</v>
      </c>
      <c r="C3" s="5" t="s">
        <v>46</v>
      </c>
      <c r="D3" s="7" t="s">
        <v>316</v>
      </c>
      <c r="E3">
        <v>4.6326349999999996</v>
      </c>
      <c r="F3">
        <v>1.2868430555555549E-3</v>
      </c>
      <c r="G3" s="92">
        <v>1.7711509500031562E-2</v>
      </c>
      <c r="H3"/>
      <c r="I3" s="43"/>
      <c r="J3" s="43"/>
      <c r="K3" s="45"/>
    </row>
    <row r="4" spans="1:11" ht="15.75">
      <c r="A4" s="108"/>
      <c r="B4" s="3" t="s">
        <v>39</v>
      </c>
      <c r="C4" s="5" t="s">
        <v>40</v>
      </c>
      <c r="D4" s="7" t="s">
        <v>317</v>
      </c>
      <c r="E4">
        <v>70.21884</v>
      </c>
      <c r="F4">
        <v>1.950523333333333E-2</v>
      </c>
      <c r="G4" s="92">
        <v>0.26846096265757963</v>
      </c>
      <c r="H4"/>
      <c r="I4" s="43"/>
      <c r="J4" s="43"/>
      <c r="K4" s="45"/>
    </row>
    <row r="5" spans="1:11" ht="15.75">
      <c r="A5" s="108"/>
      <c r="B5" s="3" t="s">
        <v>40</v>
      </c>
      <c r="C5" s="5" t="s">
        <v>44</v>
      </c>
      <c r="D5" s="7" t="s">
        <v>318</v>
      </c>
      <c r="E5">
        <v>112.90458</v>
      </c>
      <c r="F5">
        <v>3.1362383333333327E-2</v>
      </c>
      <c r="G5" s="92">
        <v>0.43165726228530271</v>
      </c>
      <c r="H5"/>
      <c r="I5" s="43"/>
      <c r="J5" s="43"/>
      <c r="K5" s="45"/>
    </row>
    <row r="6" spans="1:11" ht="15.75">
      <c r="A6" s="108"/>
      <c r="B6" s="3" t="s">
        <v>41</v>
      </c>
      <c r="C6" s="5" t="s">
        <v>45</v>
      </c>
      <c r="D6" s="7" t="s">
        <v>319</v>
      </c>
      <c r="E6">
        <v>4.8495000000000003E-2</v>
      </c>
      <c r="F6">
        <v>1.347083333333333E-5</v>
      </c>
      <c r="G6" s="92">
        <v>1.854062867469659E-4</v>
      </c>
      <c r="H6"/>
      <c r="J6" s="4"/>
    </row>
    <row r="7" spans="1:11" ht="15.75">
      <c r="A7" s="108"/>
      <c r="B7" s="3" t="s">
        <v>42</v>
      </c>
      <c r="C7" s="5" t="s">
        <v>37</v>
      </c>
      <c r="D7" s="7" t="s">
        <v>320</v>
      </c>
      <c r="E7">
        <v>0</v>
      </c>
      <c r="F7">
        <v>0</v>
      </c>
      <c r="G7" s="92">
        <v>0</v>
      </c>
      <c r="H7"/>
      <c r="J7" s="4"/>
    </row>
    <row r="8" spans="1:11" ht="15.75">
      <c r="A8" s="108"/>
      <c r="B8" s="3" t="s">
        <v>43</v>
      </c>
      <c r="C8" s="5" t="s">
        <v>43</v>
      </c>
      <c r="D8" s="7" t="s">
        <v>321</v>
      </c>
      <c r="E8">
        <v>14.977880000000001</v>
      </c>
      <c r="F8">
        <v>4.1605222222222222E-3</v>
      </c>
      <c r="G8" s="92">
        <v>5.7263493435233452E-2</v>
      </c>
      <c r="H8"/>
      <c r="J8" s="4"/>
    </row>
    <row r="9" spans="1:11" ht="15.75">
      <c r="A9" s="108"/>
      <c r="B9" s="3" t="s">
        <v>44</v>
      </c>
      <c r="C9" s="5" t="s">
        <v>42</v>
      </c>
      <c r="D9" s="7" t="s">
        <v>322</v>
      </c>
      <c r="E9">
        <v>0</v>
      </c>
      <c r="F9">
        <v>0</v>
      </c>
      <c r="G9" s="92">
        <v>0</v>
      </c>
      <c r="H9"/>
      <c r="J9" s="4"/>
    </row>
    <row r="10" spans="1:11" ht="15.75">
      <c r="A10" s="108"/>
      <c r="B10" s="3" t="s">
        <v>45</v>
      </c>
      <c r="C10" s="5" t="s">
        <v>41</v>
      </c>
      <c r="D10" s="7" t="s">
        <v>323</v>
      </c>
      <c r="E10">
        <v>10.58888</v>
      </c>
      <c r="F10">
        <v>2.9413555555555561E-3</v>
      </c>
      <c r="G10" s="92">
        <v>4.048345028578642E-2</v>
      </c>
      <c r="H10"/>
      <c r="J10" s="4"/>
    </row>
    <row r="11" spans="1:11" ht="15.75">
      <c r="A11" s="108"/>
      <c r="B11" s="3" t="s">
        <v>36</v>
      </c>
      <c r="C11" s="5" t="s">
        <v>39</v>
      </c>
      <c r="D11" s="7" t="s">
        <v>324</v>
      </c>
      <c r="E11">
        <v>48.189399999999999</v>
      </c>
      <c r="F11">
        <v>1.338594444444444E-2</v>
      </c>
      <c r="G11" s="92">
        <v>0.18423791554931929</v>
      </c>
      <c r="H11"/>
      <c r="J11" s="4"/>
    </row>
    <row r="12" spans="1:11" ht="15.75">
      <c r="A12" s="108"/>
      <c r="B12" s="3" t="s">
        <v>46</v>
      </c>
      <c r="C12" s="5" t="s">
        <v>38</v>
      </c>
      <c r="D12" s="7" t="s">
        <v>325</v>
      </c>
      <c r="E12">
        <v>0</v>
      </c>
      <c r="F12">
        <v>0</v>
      </c>
      <c r="G12" s="92">
        <v>0</v>
      </c>
      <c r="H12"/>
      <c r="J12" s="4"/>
    </row>
    <row r="13" spans="1:11" ht="15.75">
      <c r="A13" s="108" t="s">
        <v>4</v>
      </c>
      <c r="B13" s="3" t="s">
        <v>47</v>
      </c>
      <c r="C13" s="5" t="s">
        <v>47</v>
      </c>
      <c r="D13" s="7" t="s">
        <v>326</v>
      </c>
      <c r="E13">
        <v>2.7932869400000002</v>
      </c>
      <c r="F13">
        <v>7.75913038888889E-4</v>
      </c>
      <c r="G13" s="92">
        <v>1.7994901036217519E-2</v>
      </c>
      <c r="H13"/>
      <c r="J13" s="4"/>
    </row>
    <row r="14" spans="1:11" ht="15.75">
      <c r="A14" s="108"/>
      <c r="B14" s="3" t="s">
        <v>48</v>
      </c>
      <c r="C14" s="5" t="s">
        <v>49</v>
      </c>
      <c r="D14" s="7" t="s">
        <v>327</v>
      </c>
      <c r="E14">
        <v>72.756287384000004</v>
      </c>
      <c r="F14">
        <v>2.021007982888889E-2</v>
      </c>
      <c r="G14" s="92">
        <v>0.46871023971410569</v>
      </c>
      <c r="H14"/>
      <c r="J14" s="4"/>
    </row>
    <row r="15" spans="1:11" ht="15.75">
      <c r="A15" s="108"/>
      <c r="B15" s="3" t="s">
        <v>49</v>
      </c>
      <c r="C15" s="5" t="s">
        <v>50</v>
      </c>
      <c r="D15" s="7" t="s">
        <v>328</v>
      </c>
      <c r="E15">
        <v>0</v>
      </c>
      <c r="F15">
        <v>0</v>
      </c>
      <c r="G15" s="92">
        <v>0</v>
      </c>
      <c r="H15"/>
      <c r="J15" s="4"/>
    </row>
    <row r="16" spans="1:11" ht="15.75">
      <c r="A16" s="108"/>
      <c r="B16" s="3" t="s">
        <v>50</v>
      </c>
      <c r="C16" s="5" t="s">
        <v>51</v>
      </c>
      <c r="D16" s="7" t="s">
        <v>329</v>
      </c>
      <c r="E16">
        <v>0</v>
      </c>
      <c r="F16">
        <v>0</v>
      </c>
      <c r="G16" s="92">
        <v>0</v>
      </c>
      <c r="H16"/>
      <c r="J16" s="4"/>
    </row>
    <row r="17" spans="1:10" ht="15.75">
      <c r="A17" s="108"/>
      <c r="B17" s="3" t="s">
        <v>51</v>
      </c>
      <c r="C17" s="5" t="s">
        <v>52</v>
      </c>
      <c r="D17" s="7" t="s">
        <v>330</v>
      </c>
      <c r="E17">
        <v>10.463119237000001</v>
      </c>
      <c r="F17">
        <v>2.906422010277777E-3</v>
      </c>
      <c r="G17" s="92">
        <v>6.7405461466826133E-2</v>
      </c>
      <c r="H17"/>
      <c r="J17" s="4"/>
    </row>
    <row r="18" spans="1:10" ht="15.75">
      <c r="A18" s="108"/>
      <c r="B18" s="3" t="s">
        <v>52</v>
      </c>
      <c r="C18" s="5" t="s">
        <v>48</v>
      </c>
      <c r="D18" s="7" t="s">
        <v>331</v>
      </c>
      <c r="E18">
        <v>69.213886144999989</v>
      </c>
      <c r="F18">
        <v>1.9226079484722221E-2</v>
      </c>
      <c r="G18" s="92">
        <v>0.44588939778285058</v>
      </c>
      <c r="H18"/>
      <c r="J18" s="4"/>
    </row>
    <row r="19" spans="1:10" ht="15.75">
      <c r="A19" s="108" t="s">
        <v>5</v>
      </c>
      <c r="B19" s="3" t="s">
        <v>53</v>
      </c>
      <c r="C19" s="5" t="s">
        <v>54</v>
      </c>
      <c r="D19" s="7" t="s">
        <v>332</v>
      </c>
      <c r="E19">
        <v>0</v>
      </c>
      <c r="F19">
        <v>0</v>
      </c>
      <c r="G19" s="92">
        <v>0</v>
      </c>
      <c r="J19" s="4"/>
    </row>
    <row r="20" spans="1:10" ht="15.75">
      <c r="A20" s="108"/>
      <c r="B20" s="3" t="s">
        <v>54</v>
      </c>
      <c r="C20" s="5" t="s">
        <v>53</v>
      </c>
      <c r="D20" s="7" t="s">
        <v>333</v>
      </c>
      <c r="E20">
        <v>0.29311347900000001</v>
      </c>
      <c r="F20">
        <v>8.1420410833333339E-5</v>
      </c>
      <c r="G20" s="92">
        <v>6.9709468799223088E-4</v>
      </c>
      <c r="J20" s="4"/>
    </row>
    <row r="21" spans="1:10" ht="15.75">
      <c r="A21" s="108"/>
      <c r="B21" s="3" t="s">
        <v>55</v>
      </c>
      <c r="C21" s="5" t="s">
        <v>60</v>
      </c>
      <c r="D21" s="7" t="s">
        <v>334</v>
      </c>
      <c r="E21">
        <v>0</v>
      </c>
      <c r="F21">
        <v>0</v>
      </c>
      <c r="G21" s="92">
        <v>0</v>
      </c>
      <c r="J21" s="4"/>
    </row>
    <row r="22" spans="1:10" ht="15.75">
      <c r="A22" s="108"/>
      <c r="B22" s="3" t="s">
        <v>56</v>
      </c>
      <c r="C22" s="5" t="s">
        <v>58</v>
      </c>
      <c r="D22" s="7" t="s">
        <v>335</v>
      </c>
      <c r="E22">
        <v>265.78135350600002</v>
      </c>
      <c r="F22">
        <v>7.3828153751666653E-2</v>
      </c>
      <c r="G22" s="92">
        <v>0.63209228838097153</v>
      </c>
      <c r="J22" s="4"/>
    </row>
    <row r="23" spans="1:10" ht="15.75">
      <c r="A23" s="108"/>
      <c r="B23" s="3" t="s">
        <v>57</v>
      </c>
      <c r="C23" s="5" t="s">
        <v>57</v>
      </c>
      <c r="D23" s="7" t="s">
        <v>336</v>
      </c>
      <c r="E23">
        <v>3.3677430240000001</v>
      </c>
      <c r="F23">
        <v>9.3548417333333335E-4</v>
      </c>
      <c r="G23" s="92">
        <v>8.0093067727987095E-3</v>
      </c>
      <c r="J23" s="4"/>
    </row>
    <row r="24" spans="1:10" ht="15.75">
      <c r="A24" s="108"/>
      <c r="B24" s="3" t="s">
        <v>58</v>
      </c>
      <c r="C24" s="5" t="s">
        <v>59</v>
      </c>
      <c r="D24" s="7" t="s">
        <v>337</v>
      </c>
      <c r="E24">
        <v>1.569720872</v>
      </c>
      <c r="F24">
        <v>4.3603357555555548E-4</v>
      </c>
      <c r="G24" s="92">
        <v>3.7331755783968322E-3</v>
      </c>
      <c r="J24" s="4"/>
    </row>
    <row r="25" spans="1:10" ht="15.75">
      <c r="A25" s="108"/>
      <c r="B25" s="3" t="s">
        <v>59</v>
      </c>
      <c r="C25" s="5" t="s">
        <v>55</v>
      </c>
      <c r="D25" s="7" t="s">
        <v>338</v>
      </c>
      <c r="E25">
        <v>17.330775014</v>
      </c>
      <c r="F25">
        <v>4.8141041705555554E-3</v>
      </c>
      <c r="G25" s="92">
        <v>4.1216771205011278E-2</v>
      </c>
      <c r="J25" s="4"/>
    </row>
    <row r="26" spans="1:10" ht="15.75">
      <c r="A26" s="108"/>
      <c r="B26" s="3" t="s">
        <v>60</v>
      </c>
      <c r="C26" s="5" t="s">
        <v>56</v>
      </c>
      <c r="D26" s="7" t="s">
        <v>339</v>
      </c>
      <c r="E26">
        <v>132.136009621</v>
      </c>
      <c r="F26">
        <v>3.6704447116944441E-2</v>
      </c>
      <c r="G26" s="92">
        <v>0.31425136337482928</v>
      </c>
      <c r="J26" s="4"/>
    </row>
    <row r="27" spans="1:10" ht="15.75">
      <c r="A27" s="108" t="s">
        <v>6</v>
      </c>
      <c r="B27" s="3" t="s">
        <v>61</v>
      </c>
      <c r="C27" s="5" t="s">
        <v>64</v>
      </c>
      <c r="D27" s="7" t="s">
        <v>340</v>
      </c>
      <c r="E27">
        <v>0</v>
      </c>
      <c r="F27">
        <v>0</v>
      </c>
      <c r="G27" s="92">
        <v>0</v>
      </c>
      <c r="J27" s="4"/>
    </row>
    <row r="28" spans="1:10" ht="15.75">
      <c r="A28" s="108"/>
      <c r="B28" s="3" t="s">
        <v>62</v>
      </c>
      <c r="C28" s="5" t="s">
        <v>61</v>
      </c>
      <c r="D28" s="7" t="s">
        <v>341</v>
      </c>
      <c r="E28">
        <v>0</v>
      </c>
      <c r="F28">
        <v>0</v>
      </c>
      <c r="G28" s="92">
        <v>0</v>
      </c>
      <c r="J28" s="4"/>
    </row>
    <row r="29" spans="1:10" ht="15.75">
      <c r="A29" s="108"/>
      <c r="B29" s="3" t="s">
        <v>63</v>
      </c>
      <c r="C29" s="5" t="s">
        <v>63</v>
      </c>
      <c r="D29" s="7" t="s">
        <v>342</v>
      </c>
      <c r="E29">
        <v>0</v>
      </c>
      <c r="F29">
        <v>0</v>
      </c>
      <c r="G29" s="92">
        <v>0</v>
      </c>
      <c r="J29" s="4"/>
    </row>
    <row r="30" spans="1:10" ht="15.75">
      <c r="A30" s="108"/>
      <c r="B30" s="3" t="s">
        <v>64</v>
      </c>
      <c r="C30" s="5" t="s">
        <v>65</v>
      </c>
      <c r="D30" s="7" t="s">
        <v>343</v>
      </c>
      <c r="E30">
        <v>0.63043499999999997</v>
      </c>
      <c r="F30">
        <v>1.7512083333333329E-4</v>
      </c>
      <c r="G30" s="92">
        <v>1</v>
      </c>
      <c r="J30" s="4"/>
    </row>
    <row r="31" spans="1:10" ht="15.75">
      <c r="A31" s="108"/>
      <c r="B31" s="3" t="s">
        <v>65</v>
      </c>
      <c r="C31" s="5" t="s">
        <v>62</v>
      </c>
      <c r="D31" s="7" t="s">
        <v>344</v>
      </c>
      <c r="E31">
        <v>0</v>
      </c>
      <c r="F31">
        <v>0</v>
      </c>
      <c r="G31" s="92">
        <v>0</v>
      </c>
      <c r="J31" s="4"/>
    </row>
    <row r="32" spans="1:10" ht="15.75">
      <c r="A32" s="108" t="s">
        <v>7</v>
      </c>
      <c r="B32" s="3" t="s">
        <v>66</v>
      </c>
      <c r="C32" s="5" t="s">
        <v>101</v>
      </c>
      <c r="D32" s="7" t="s">
        <v>345</v>
      </c>
      <c r="E32">
        <v>67.539382692000004</v>
      </c>
      <c r="F32">
        <v>1.8760939636666672E-2</v>
      </c>
      <c r="G32" s="92">
        <v>1.9165630817218841E-2</v>
      </c>
      <c r="J32" s="4"/>
    </row>
    <row r="33" spans="1:10" ht="15.75">
      <c r="A33" s="108"/>
      <c r="B33" s="3" t="s">
        <v>67</v>
      </c>
      <c r="C33" s="5" t="s">
        <v>102</v>
      </c>
      <c r="D33" s="7" t="s">
        <v>346</v>
      </c>
      <c r="E33">
        <v>248.581678885</v>
      </c>
      <c r="F33">
        <v>6.9050466356944437E-2</v>
      </c>
      <c r="G33" s="92">
        <v>7.0539950108230304E-2</v>
      </c>
      <c r="J33" s="4"/>
    </row>
    <row r="34" spans="1:10" ht="15.75">
      <c r="A34" s="108"/>
      <c r="B34" s="3" t="s">
        <v>68</v>
      </c>
      <c r="C34" s="5" t="s">
        <v>103</v>
      </c>
      <c r="D34" s="7" t="s">
        <v>347</v>
      </c>
      <c r="E34">
        <v>69.677106237999979</v>
      </c>
      <c r="F34">
        <v>1.9354751732777769E-2</v>
      </c>
      <c r="G34" s="92">
        <v>1.9772252000873281E-2</v>
      </c>
      <c r="J34" s="4"/>
    </row>
    <row r="35" spans="1:10" ht="15.75">
      <c r="A35" s="108"/>
      <c r="B35" s="3" t="s">
        <v>69</v>
      </c>
      <c r="C35" s="5" t="s">
        <v>100</v>
      </c>
      <c r="D35" s="7" t="s">
        <v>348</v>
      </c>
      <c r="E35">
        <v>126.566859873</v>
      </c>
      <c r="F35">
        <v>3.5157461075833327E-2</v>
      </c>
      <c r="G35" s="92">
        <v>3.5915840704121717E-2</v>
      </c>
      <c r="J35" s="4"/>
    </row>
    <row r="36" spans="1:10" ht="15.75">
      <c r="A36" s="108"/>
      <c r="B36" s="3" t="s">
        <v>70</v>
      </c>
      <c r="C36" s="5" t="s">
        <v>97</v>
      </c>
      <c r="D36" s="7" t="s">
        <v>349</v>
      </c>
      <c r="E36">
        <v>161.71634127999999</v>
      </c>
      <c r="F36">
        <v>4.4921205911111109E-2</v>
      </c>
      <c r="G36" s="92">
        <v>4.5890198733648913E-2</v>
      </c>
      <c r="J36" s="4"/>
    </row>
    <row r="37" spans="1:10" ht="15.75">
      <c r="A37" s="108"/>
      <c r="B37" s="3" t="s">
        <v>71</v>
      </c>
      <c r="C37" s="5" t="s">
        <v>98</v>
      </c>
      <c r="D37" s="7" t="s">
        <v>350</v>
      </c>
      <c r="E37">
        <v>124.340219373</v>
      </c>
      <c r="F37">
        <v>3.4538949825833339E-2</v>
      </c>
      <c r="G37" s="92">
        <v>3.5283987582510022E-2</v>
      </c>
      <c r="J37" s="4"/>
    </row>
    <row r="38" spans="1:10" ht="15.75">
      <c r="A38" s="108"/>
      <c r="B38" s="3" t="s">
        <v>72</v>
      </c>
      <c r="C38" s="5" t="s">
        <v>95</v>
      </c>
      <c r="D38" s="7" t="s">
        <v>351</v>
      </c>
      <c r="E38">
        <v>0</v>
      </c>
      <c r="F38">
        <v>0</v>
      </c>
      <c r="G38" s="92">
        <v>0</v>
      </c>
      <c r="J38" s="4"/>
    </row>
    <row r="39" spans="1:10" ht="15.75">
      <c r="A39" s="108"/>
      <c r="B39" s="3" t="s">
        <v>73</v>
      </c>
      <c r="C39" s="5" t="s">
        <v>96</v>
      </c>
      <c r="D39" s="7" t="s">
        <v>352</v>
      </c>
      <c r="E39">
        <v>2.144730171</v>
      </c>
      <c r="F39">
        <v>5.9575838083333334E-4</v>
      </c>
      <c r="G39" s="92">
        <v>6.0860945157565835E-4</v>
      </c>
      <c r="J39" s="4"/>
    </row>
    <row r="40" spans="1:10" ht="15.75">
      <c r="A40" s="108"/>
      <c r="B40" s="3" t="s">
        <v>74</v>
      </c>
      <c r="C40" s="5" t="s">
        <v>99</v>
      </c>
      <c r="D40" s="7" t="s">
        <v>353</v>
      </c>
      <c r="E40">
        <v>0</v>
      </c>
      <c r="F40">
        <v>0</v>
      </c>
      <c r="G40" s="92">
        <v>0</v>
      </c>
      <c r="J40" s="4"/>
    </row>
    <row r="41" spans="1:10" ht="15.75">
      <c r="A41" s="108"/>
      <c r="B41" s="3" t="s">
        <v>75</v>
      </c>
      <c r="C41" s="5" t="s">
        <v>93</v>
      </c>
      <c r="D41" s="7" t="s">
        <v>354</v>
      </c>
      <c r="E41">
        <v>272.21200990400001</v>
      </c>
      <c r="F41">
        <v>7.5614447195555559E-2</v>
      </c>
      <c r="G41" s="92">
        <v>7.7245522210719689E-2</v>
      </c>
      <c r="J41" s="4"/>
    </row>
    <row r="42" spans="1:10" ht="15.75">
      <c r="A42" s="108"/>
      <c r="B42" s="3" t="s">
        <v>76</v>
      </c>
      <c r="C42" s="5" t="s">
        <v>94</v>
      </c>
      <c r="D42" s="7" t="s">
        <v>355</v>
      </c>
      <c r="E42">
        <v>146.20480278900001</v>
      </c>
      <c r="F42">
        <v>4.0612445219166668E-2</v>
      </c>
      <c r="G42" s="92">
        <v>4.1488494005589557E-2</v>
      </c>
      <c r="J42" s="4"/>
    </row>
    <row r="43" spans="1:10" ht="15.75">
      <c r="A43" s="108"/>
      <c r="B43" s="3" t="s">
        <v>77</v>
      </c>
      <c r="C43" s="5" t="s">
        <v>92</v>
      </c>
      <c r="D43" s="7" t="s">
        <v>356</v>
      </c>
      <c r="E43">
        <v>2.3391000000000002</v>
      </c>
      <c r="F43">
        <v>6.4975000000000005E-4</v>
      </c>
      <c r="G43" s="92">
        <v>6.6376572094234909E-4</v>
      </c>
      <c r="J43" s="4"/>
    </row>
    <row r="44" spans="1:10" ht="15.75">
      <c r="A44" s="108"/>
      <c r="B44" s="3" t="s">
        <v>78</v>
      </c>
      <c r="C44" s="5" t="s">
        <v>91</v>
      </c>
      <c r="D44" s="7" t="s">
        <v>357</v>
      </c>
      <c r="E44">
        <v>238.137396846</v>
      </c>
      <c r="F44">
        <v>6.6149276901666665E-2</v>
      </c>
      <c r="G44" s="92">
        <v>6.7576179257329519E-2</v>
      </c>
      <c r="J44" s="4"/>
    </row>
    <row r="45" spans="1:10" ht="15.75">
      <c r="A45" s="108"/>
      <c r="B45" s="3" t="s">
        <v>79</v>
      </c>
      <c r="C45" s="5" t="s">
        <v>90</v>
      </c>
      <c r="D45" s="7" t="s">
        <v>358</v>
      </c>
      <c r="E45">
        <v>0</v>
      </c>
      <c r="F45">
        <v>0</v>
      </c>
      <c r="G45" s="92">
        <v>0</v>
      </c>
      <c r="J45" s="4"/>
    </row>
    <row r="46" spans="1:10" ht="15.75">
      <c r="A46" s="108"/>
      <c r="B46" s="3" t="s">
        <v>80</v>
      </c>
      <c r="C46" s="5" t="s">
        <v>89</v>
      </c>
      <c r="D46" s="7" t="s">
        <v>359</v>
      </c>
      <c r="E46">
        <v>0</v>
      </c>
      <c r="F46">
        <v>0</v>
      </c>
      <c r="G46" s="92">
        <v>0</v>
      </c>
      <c r="J46" s="4"/>
    </row>
    <row r="47" spans="1:10" ht="15.75">
      <c r="A47" s="108"/>
      <c r="B47" s="3" t="s">
        <v>81</v>
      </c>
      <c r="C47" s="5" t="s">
        <v>88</v>
      </c>
      <c r="D47" s="7" t="s">
        <v>360</v>
      </c>
      <c r="E47">
        <v>25.220698918</v>
      </c>
      <c r="F47">
        <v>7.0057496994444454E-3</v>
      </c>
      <c r="G47" s="92">
        <v>7.1568703347339542E-3</v>
      </c>
      <c r="J47" s="4"/>
    </row>
    <row r="48" spans="1:10" ht="15.75">
      <c r="A48" s="108"/>
      <c r="B48" s="3" t="s">
        <v>82</v>
      </c>
      <c r="C48" s="5" t="s">
        <v>87</v>
      </c>
      <c r="D48" s="7" t="s">
        <v>361</v>
      </c>
      <c r="E48">
        <v>0</v>
      </c>
      <c r="F48">
        <v>0</v>
      </c>
      <c r="G48" s="92">
        <v>0</v>
      </c>
      <c r="J48" s="4"/>
    </row>
    <row r="49" spans="1:10" ht="15.75">
      <c r="A49" s="108"/>
      <c r="B49" s="3" t="s">
        <v>83</v>
      </c>
      <c r="C49" s="5" t="s">
        <v>86</v>
      </c>
      <c r="D49" s="7" t="s">
        <v>362</v>
      </c>
      <c r="E49">
        <v>124.549423596</v>
      </c>
      <c r="F49">
        <v>3.459706211E-2</v>
      </c>
      <c r="G49" s="92">
        <v>3.5343353403511163E-2</v>
      </c>
      <c r="J49" s="4"/>
    </row>
    <row r="50" spans="1:10" ht="15.75">
      <c r="A50" s="108"/>
      <c r="B50" s="3" t="s">
        <v>84</v>
      </c>
      <c r="C50" s="5" t="s">
        <v>85</v>
      </c>
      <c r="D50" s="7" t="s">
        <v>363</v>
      </c>
      <c r="E50">
        <v>0</v>
      </c>
      <c r="F50">
        <v>0</v>
      </c>
      <c r="G50" s="92">
        <v>0</v>
      </c>
      <c r="J50" s="4"/>
    </row>
    <row r="51" spans="1:10" ht="15.75">
      <c r="A51" s="108"/>
      <c r="B51" s="3" t="s">
        <v>85</v>
      </c>
      <c r="C51" s="5" t="s">
        <v>84</v>
      </c>
      <c r="D51" s="7" t="s">
        <v>364</v>
      </c>
      <c r="E51">
        <v>8.5866727800000007</v>
      </c>
      <c r="F51">
        <v>2.3851868833333341E-3</v>
      </c>
      <c r="G51" s="92">
        <v>2.4366376163108649E-3</v>
      </c>
      <c r="J51" s="4"/>
    </row>
    <row r="52" spans="1:10" ht="15.75">
      <c r="A52" s="108"/>
      <c r="B52" s="3" t="s">
        <v>86</v>
      </c>
      <c r="C52" s="5" t="s">
        <v>83</v>
      </c>
      <c r="D52" s="7" t="s">
        <v>365</v>
      </c>
      <c r="E52">
        <v>127.79257540899999</v>
      </c>
      <c r="F52">
        <v>3.5497937613611107E-2</v>
      </c>
      <c r="G52" s="92">
        <v>3.6263661642270267E-2</v>
      </c>
      <c r="J52" s="4"/>
    </row>
    <row r="53" spans="1:10" ht="15.75">
      <c r="A53" s="108"/>
      <c r="B53" s="3" t="s">
        <v>87</v>
      </c>
      <c r="C53" s="5" t="s">
        <v>82</v>
      </c>
      <c r="D53" s="7" t="s">
        <v>366</v>
      </c>
      <c r="E53">
        <v>24.58914</v>
      </c>
      <c r="F53">
        <v>6.8303166666666667E-3</v>
      </c>
      <c r="G53" s="92">
        <v>6.9776530458092231E-3</v>
      </c>
      <c r="J53" s="4"/>
    </row>
    <row r="54" spans="1:10" ht="15.75">
      <c r="A54" s="108"/>
      <c r="B54" s="3" t="s">
        <v>88</v>
      </c>
      <c r="C54" s="5" t="s">
        <v>81</v>
      </c>
      <c r="D54" s="7" t="s">
        <v>367</v>
      </c>
      <c r="E54">
        <v>329.01056433100001</v>
      </c>
      <c r="F54">
        <v>9.1391823425277782E-2</v>
      </c>
      <c r="G54" s="92">
        <v>9.3363231341462669E-2</v>
      </c>
      <c r="J54" s="4"/>
    </row>
    <row r="55" spans="1:10" ht="15.75">
      <c r="A55" s="108"/>
      <c r="B55" s="3" t="s">
        <v>89</v>
      </c>
      <c r="C55" s="5" t="s">
        <v>78</v>
      </c>
      <c r="D55" s="7" t="s">
        <v>368</v>
      </c>
      <c r="E55">
        <v>74.551236248999999</v>
      </c>
      <c r="F55">
        <v>2.0708676735833331E-2</v>
      </c>
      <c r="G55" s="92">
        <v>2.1155382444513222E-2</v>
      </c>
      <c r="J55" s="4"/>
    </row>
    <row r="56" spans="1:10" ht="15.75">
      <c r="A56" s="108"/>
      <c r="B56" s="3" t="s">
        <v>90</v>
      </c>
      <c r="C56" s="5" t="s">
        <v>77</v>
      </c>
      <c r="D56" s="7" t="s">
        <v>369</v>
      </c>
      <c r="E56">
        <v>229.28568073299999</v>
      </c>
      <c r="F56">
        <v>6.3690466870277782E-2</v>
      </c>
      <c r="G56" s="92">
        <v>6.5064330372150411E-2</v>
      </c>
      <c r="J56" s="4"/>
    </row>
    <row r="57" spans="1:10" ht="15.75">
      <c r="A57" s="108"/>
      <c r="B57" s="3" t="s">
        <v>91</v>
      </c>
      <c r="C57" s="5" t="s">
        <v>76</v>
      </c>
      <c r="D57" s="7" t="s">
        <v>370</v>
      </c>
      <c r="E57">
        <v>27.579368351999999</v>
      </c>
      <c r="F57">
        <v>7.6609356533333334E-3</v>
      </c>
      <c r="G57" s="92">
        <v>7.8261892682227711E-3</v>
      </c>
      <c r="J57" s="4"/>
    </row>
    <row r="58" spans="1:10" ht="15.75">
      <c r="A58" s="108"/>
      <c r="B58" s="3" t="s">
        <v>92</v>
      </c>
      <c r="C58" s="5" t="s">
        <v>79</v>
      </c>
      <c r="D58" s="7" t="s">
        <v>371</v>
      </c>
      <c r="E58">
        <v>23.623859855999999</v>
      </c>
      <c r="F58">
        <v>6.5621832933333334E-3</v>
      </c>
      <c r="G58" s="92">
        <v>6.7037357824628521E-3</v>
      </c>
      <c r="J58" s="4"/>
    </row>
    <row r="59" spans="1:10" ht="15.75">
      <c r="A59" s="108"/>
      <c r="B59" s="3" t="s">
        <v>93</v>
      </c>
      <c r="C59" s="5" t="s">
        <v>80</v>
      </c>
      <c r="D59" s="7" t="s">
        <v>372</v>
      </c>
      <c r="E59">
        <v>131.03265969200001</v>
      </c>
      <c r="F59">
        <v>3.639796102555555E-2</v>
      </c>
      <c r="G59" s="92">
        <v>3.7183099408940982E-2</v>
      </c>
      <c r="J59" s="4"/>
    </row>
    <row r="60" spans="1:10" ht="15.75">
      <c r="A60" s="108"/>
      <c r="B60" s="3" t="s">
        <v>94</v>
      </c>
      <c r="C60" s="5" t="s">
        <v>75</v>
      </c>
      <c r="D60" s="7" t="s">
        <v>373</v>
      </c>
      <c r="E60">
        <v>24.783299261</v>
      </c>
      <c r="F60">
        <v>6.8842497947222223E-3</v>
      </c>
      <c r="G60" s="92">
        <v>7.032749562356313E-3</v>
      </c>
      <c r="J60" s="4"/>
    </row>
    <row r="61" spans="1:10" ht="15.75">
      <c r="A61" s="108"/>
      <c r="B61" s="3" t="s">
        <v>95</v>
      </c>
      <c r="C61" s="5" t="s">
        <v>73</v>
      </c>
      <c r="D61" s="7" t="s">
        <v>374</v>
      </c>
      <c r="E61">
        <v>0</v>
      </c>
      <c r="F61">
        <v>0</v>
      </c>
      <c r="G61" s="92">
        <v>0</v>
      </c>
      <c r="J61" s="4"/>
    </row>
    <row r="62" spans="1:10" ht="15.75">
      <c r="A62" s="108"/>
      <c r="B62" s="3" t="s">
        <v>96</v>
      </c>
      <c r="C62" s="5" t="s">
        <v>74</v>
      </c>
      <c r="D62" s="7" t="s">
        <v>375</v>
      </c>
      <c r="E62">
        <v>92.914885185999992</v>
      </c>
      <c r="F62">
        <v>2.580969032944444E-2</v>
      </c>
      <c r="G62" s="92">
        <v>2.6366429717310451E-2</v>
      </c>
      <c r="J62" s="4"/>
    </row>
    <row r="63" spans="1:10" ht="15.75">
      <c r="A63" s="108"/>
      <c r="B63" s="3" t="s">
        <v>97</v>
      </c>
      <c r="C63" s="5" t="s">
        <v>72</v>
      </c>
      <c r="D63" s="7" t="s">
        <v>376</v>
      </c>
      <c r="E63">
        <v>0</v>
      </c>
      <c r="F63">
        <v>0</v>
      </c>
      <c r="G63" s="92">
        <v>0</v>
      </c>
      <c r="J63" s="4"/>
    </row>
    <row r="64" spans="1:10" ht="15.75">
      <c r="A64" s="108"/>
      <c r="B64" s="3" t="s">
        <v>98</v>
      </c>
      <c r="C64" s="5" t="s">
        <v>69</v>
      </c>
      <c r="D64" s="7" t="s">
        <v>377</v>
      </c>
      <c r="E64">
        <v>13.762925321999999</v>
      </c>
      <c r="F64">
        <v>3.8230348116666669E-3</v>
      </c>
      <c r="G64" s="92">
        <v>3.905501281960174E-3</v>
      </c>
      <c r="J64" s="4"/>
    </row>
    <row r="65" spans="1:10" ht="15.75">
      <c r="A65" s="108"/>
      <c r="B65" s="3" t="s">
        <v>99</v>
      </c>
      <c r="C65" s="5" t="s">
        <v>70</v>
      </c>
      <c r="D65" s="7" t="s">
        <v>378</v>
      </c>
      <c r="E65">
        <v>53.763654541000022</v>
      </c>
      <c r="F65">
        <v>1.493434848361111E-2</v>
      </c>
      <c r="G65" s="92">
        <v>1.525649648022841E-2</v>
      </c>
      <c r="J65" s="4"/>
    </row>
    <row r="66" spans="1:10" ht="15.75">
      <c r="A66" s="108"/>
      <c r="B66" s="3" t="s">
        <v>100</v>
      </c>
      <c r="C66" s="5" t="s">
        <v>68</v>
      </c>
      <c r="D66" s="7" t="s">
        <v>379</v>
      </c>
      <c r="E66">
        <v>65.413454521000006</v>
      </c>
      <c r="F66">
        <v>1.8170404033611112E-2</v>
      </c>
      <c r="G66" s="92">
        <v>1.8562356803668561E-2</v>
      </c>
      <c r="J66" s="4"/>
    </row>
    <row r="67" spans="1:10" ht="15.75">
      <c r="A67" s="108"/>
      <c r="B67" s="3" t="s">
        <v>101</v>
      </c>
      <c r="C67" s="5" t="s">
        <v>71</v>
      </c>
      <c r="D67" s="7" t="s">
        <v>380</v>
      </c>
      <c r="E67">
        <v>366.97343416400003</v>
      </c>
      <c r="F67">
        <v>0.10193706504555559</v>
      </c>
      <c r="G67" s="92">
        <v>0.1041359437794695</v>
      </c>
      <c r="J67" s="4"/>
    </row>
    <row r="68" spans="1:10" ht="15.75">
      <c r="A68" s="108"/>
      <c r="B68" s="3" t="s">
        <v>102</v>
      </c>
      <c r="C68" s="5" t="s">
        <v>67</v>
      </c>
      <c r="D68" s="7" t="s">
        <v>381</v>
      </c>
      <c r="E68">
        <v>80.829948322999996</v>
      </c>
      <c r="F68">
        <v>2.245276342305555E-2</v>
      </c>
      <c r="G68" s="92">
        <v>2.293709072820696E-2</v>
      </c>
      <c r="J68" s="4"/>
    </row>
    <row r="69" spans="1:10" ht="15.75">
      <c r="A69" s="108"/>
      <c r="B69" s="3" t="s">
        <v>103</v>
      </c>
      <c r="C69" s="5" t="s">
        <v>66</v>
      </c>
      <c r="D69" s="7" t="s">
        <v>382</v>
      </c>
      <c r="E69">
        <v>240.26122163100001</v>
      </c>
      <c r="F69">
        <v>6.6739228230833322E-2</v>
      </c>
      <c r="G69" s="92">
        <v>6.8178856393651496E-2</v>
      </c>
      <c r="J69" s="4"/>
    </row>
    <row r="70" spans="1:10">
      <c r="A70" s="24" t="s">
        <v>622</v>
      </c>
      <c r="B70" s="3" t="s">
        <v>383</v>
      </c>
      <c r="C70" s="5" t="s">
        <v>383</v>
      </c>
      <c r="D70" s="7" t="s">
        <v>384</v>
      </c>
      <c r="E70" s="98">
        <v>6.6173729999999997</v>
      </c>
      <c r="F70" s="59">
        <f>E70/3600</f>
        <v>1.8381591666666666E-3</v>
      </c>
      <c r="G70" s="59">
        <v>1</v>
      </c>
      <c r="J70" s="4"/>
    </row>
    <row r="71" spans="1:10">
      <c r="A71" s="108" t="s">
        <v>8</v>
      </c>
      <c r="B71" s="3" t="s">
        <v>104</v>
      </c>
      <c r="C71" s="5" t="s">
        <v>106</v>
      </c>
      <c r="D71" s="7" t="s">
        <v>385</v>
      </c>
      <c r="G71" s="59">
        <f>1/ROWS(C71:C73)</f>
        <v>0.33333333333333331</v>
      </c>
      <c r="H71" s="3" t="s">
        <v>950</v>
      </c>
      <c r="J71" s="4"/>
    </row>
    <row r="72" spans="1:10">
      <c r="A72" s="108"/>
      <c r="B72" s="3" t="s">
        <v>105</v>
      </c>
      <c r="C72" s="5" t="s">
        <v>105</v>
      </c>
      <c r="D72" s="7" t="s">
        <v>386</v>
      </c>
      <c r="G72" s="59">
        <f>1/ROWS(C72:C74)</f>
        <v>0.33333333333333331</v>
      </c>
      <c r="H72" s="3" t="s">
        <v>950</v>
      </c>
      <c r="J72" s="4"/>
    </row>
    <row r="73" spans="1:10">
      <c r="A73" s="108"/>
      <c r="B73" s="3" t="s">
        <v>106</v>
      </c>
      <c r="C73" s="5" t="s">
        <v>104</v>
      </c>
      <c r="D73" s="7" t="s">
        <v>387</v>
      </c>
      <c r="G73" s="59">
        <f>1/ROWS(C73:C75)</f>
        <v>0.33333333333333331</v>
      </c>
      <c r="H73" s="3" t="s">
        <v>950</v>
      </c>
      <c r="J73" s="4"/>
    </row>
    <row r="74" spans="1:10" ht="15.75">
      <c r="A74" s="108" t="s">
        <v>9</v>
      </c>
      <c r="B74" s="3" t="s">
        <v>107</v>
      </c>
      <c r="C74" s="5" t="s">
        <v>114</v>
      </c>
      <c r="D74" s="7" t="s">
        <v>388</v>
      </c>
      <c r="E74">
        <v>13.560666747000001</v>
      </c>
      <c r="F74">
        <v>3.766851874166666E-3</v>
      </c>
      <c r="G74" s="92">
        <v>0.27862255666974911</v>
      </c>
      <c r="J74" s="4"/>
    </row>
    <row r="75" spans="1:10">
      <c r="A75" s="108"/>
      <c r="B75" s="3" t="s">
        <v>108</v>
      </c>
      <c r="C75" s="5" t="s">
        <v>389</v>
      </c>
      <c r="D75" s="7" t="s">
        <v>390</v>
      </c>
      <c r="J75" s="4"/>
    </row>
    <row r="76" spans="1:10">
      <c r="A76" s="108"/>
      <c r="B76" s="3" t="s">
        <v>109</v>
      </c>
      <c r="C76" s="5" t="s">
        <v>391</v>
      </c>
      <c r="D76" s="7" t="s">
        <v>392</v>
      </c>
    </row>
    <row r="77" spans="1:10">
      <c r="A77" s="108"/>
      <c r="B77" s="3" t="s">
        <v>110</v>
      </c>
      <c r="C77" s="5" t="s">
        <v>393</v>
      </c>
      <c r="D77" s="7" t="s">
        <v>394</v>
      </c>
    </row>
    <row r="78" spans="1:10" ht="15.75">
      <c r="A78" s="108"/>
      <c r="B78" s="3" t="s">
        <v>111</v>
      </c>
      <c r="C78" s="5" t="s">
        <v>115</v>
      </c>
      <c r="D78" s="7" t="s">
        <v>395</v>
      </c>
      <c r="E78">
        <v>8.9835494120000003</v>
      </c>
      <c r="F78">
        <v>2.495430392222222E-3</v>
      </c>
      <c r="G78" s="92">
        <v>0.184579383288377</v>
      </c>
    </row>
    <row r="79" spans="1:10" ht="15.75">
      <c r="A79" s="108"/>
      <c r="B79" s="3" t="s">
        <v>112</v>
      </c>
      <c r="C79" s="5" t="s">
        <v>110</v>
      </c>
      <c r="D79" s="7" t="s">
        <v>396</v>
      </c>
      <c r="E79">
        <v>11.55961797</v>
      </c>
      <c r="F79">
        <v>3.2110049916666671E-3</v>
      </c>
      <c r="G79" s="92">
        <v>0.2375082562691469</v>
      </c>
    </row>
    <row r="80" spans="1:10">
      <c r="A80" s="108"/>
      <c r="B80" s="3" t="s">
        <v>113</v>
      </c>
      <c r="C80" s="5" t="s">
        <v>112</v>
      </c>
      <c r="D80" s="7" t="s">
        <v>397</v>
      </c>
    </row>
    <row r="81" spans="1:7">
      <c r="A81" s="108"/>
      <c r="B81" s="3" t="s">
        <v>114</v>
      </c>
      <c r="C81" s="5" t="s">
        <v>111</v>
      </c>
      <c r="D81" s="7" t="s">
        <v>398</v>
      </c>
    </row>
    <row r="82" spans="1:7" ht="15.75">
      <c r="A82" s="108"/>
      <c r="B82" s="3" t="s">
        <v>115</v>
      </c>
      <c r="C82" s="5" t="s">
        <v>107</v>
      </c>
      <c r="D82" s="7" t="s">
        <v>399</v>
      </c>
      <c r="E82">
        <v>2.3785115430000001</v>
      </c>
      <c r="F82">
        <v>6.6069765083333332E-4</v>
      </c>
      <c r="G82" s="92">
        <v>4.8869792285528971E-2</v>
      </c>
    </row>
    <row r="83" spans="1:7">
      <c r="A83" s="108"/>
      <c r="C83" s="5" t="s">
        <v>400</v>
      </c>
      <c r="D83" s="7" t="s">
        <v>401</v>
      </c>
    </row>
    <row r="84" spans="1:7" ht="15.75">
      <c r="A84" s="108"/>
      <c r="C84" s="5" t="s">
        <v>113</v>
      </c>
      <c r="D84" s="7" t="s">
        <v>402</v>
      </c>
      <c r="E84">
        <v>1.32361</v>
      </c>
      <c r="F84">
        <v>3.6766944444444451E-4</v>
      </c>
      <c r="G84" s="92">
        <v>2.719538862757119E-2</v>
      </c>
    </row>
    <row r="85" spans="1:7" ht="15.75">
      <c r="A85" s="108"/>
      <c r="C85" s="5" t="s">
        <v>108</v>
      </c>
      <c r="D85" s="7" t="s">
        <v>403</v>
      </c>
      <c r="E85">
        <v>9.9287880509999997</v>
      </c>
      <c r="F85">
        <v>2.7579966808333328E-3</v>
      </c>
      <c r="G85" s="92">
        <v>0.204000611696595</v>
      </c>
    </row>
    <row r="86" spans="1:7" ht="15.75">
      <c r="A86" s="108"/>
      <c r="C86" s="5" t="s">
        <v>109</v>
      </c>
      <c r="D86" s="7" t="s">
        <v>404</v>
      </c>
      <c r="E86">
        <v>0.93564000000000003</v>
      </c>
      <c r="F86">
        <v>2.5989999999999997E-4</v>
      </c>
      <c r="G86" s="92">
        <v>1.9224011163031941E-2</v>
      </c>
    </row>
    <row r="87" spans="1:7" ht="15.75">
      <c r="A87" s="108" t="s">
        <v>10</v>
      </c>
      <c r="B87" s="3" t="s">
        <v>116</v>
      </c>
      <c r="C87" s="5" t="s">
        <v>120</v>
      </c>
      <c r="D87" s="7" t="s">
        <v>405</v>
      </c>
      <c r="E87">
        <v>217.3457445</v>
      </c>
      <c r="F87">
        <v>6.0373817916666662E-2</v>
      </c>
      <c r="G87" s="92">
        <v>0.14875079550195849</v>
      </c>
    </row>
    <row r="88" spans="1:7" ht="15.75">
      <c r="A88" s="108"/>
      <c r="B88" s="3" t="s">
        <v>117</v>
      </c>
      <c r="C88" s="5" t="s">
        <v>117</v>
      </c>
      <c r="D88" s="7" t="s">
        <v>406</v>
      </c>
      <c r="E88">
        <v>243.66871144000001</v>
      </c>
      <c r="F88">
        <v>6.768575317777778E-2</v>
      </c>
      <c r="G88" s="92">
        <v>0.16676615752942511</v>
      </c>
    </row>
    <row r="89" spans="1:7" ht="15.75">
      <c r="A89" s="108"/>
      <c r="B89" s="3" t="s">
        <v>118</v>
      </c>
      <c r="C89" s="5" t="s">
        <v>128</v>
      </c>
      <c r="D89" s="7" t="s">
        <v>407</v>
      </c>
      <c r="E89">
        <v>0</v>
      </c>
      <c r="F89">
        <v>0</v>
      </c>
      <c r="G89" s="92">
        <v>0</v>
      </c>
    </row>
    <row r="90" spans="1:7" ht="15.75">
      <c r="A90" s="108"/>
      <c r="B90" s="3" t="s">
        <v>119</v>
      </c>
      <c r="C90" s="5" t="s">
        <v>118</v>
      </c>
      <c r="D90" s="7" t="s">
        <v>408</v>
      </c>
      <c r="E90">
        <v>286.26564231100002</v>
      </c>
      <c r="F90">
        <v>7.9518233975277783E-2</v>
      </c>
      <c r="G90" s="92">
        <v>0.19591937314714891</v>
      </c>
    </row>
    <row r="91" spans="1:7" ht="15.75">
      <c r="A91" s="108"/>
      <c r="B91" s="3" t="s">
        <v>120</v>
      </c>
      <c r="C91" s="5" t="s">
        <v>123</v>
      </c>
      <c r="D91" s="7" t="s">
        <v>409</v>
      </c>
      <c r="E91">
        <v>78.881006487000008</v>
      </c>
      <c r="F91">
        <v>2.1911390690833331E-2</v>
      </c>
      <c r="G91" s="92">
        <v>5.398593145648823E-2</v>
      </c>
    </row>
    <row r="92" spans="1:7" ht="15.75">
      <c r="A92" s="108"/>
      <c r="B92" s="3" t="s">
        <v>121</v>
      </c>
      <c r="C92" s="5" t="s">
        <v>119</v>
      </c>
      <c r="D92" s="7" t="s">
        <v>410</v>
      </c>
      <c r="E92">
        <v>0</v>
      </c>
      <c r="F92">
        <v>0</v>
      </c>
      <c r="G92" s="92">
        <v>0</v>
      </c>
    </row>
    <row r="93" spans="1:7" ht="15.75">
      <c r="A93" s="108"/>
      <c r="B93" s="3" t="s">
        <v>122</v>
      </c>
      <c r="C93" s="5" t="s">
        <v>129</v>
      </c>
      <c r="D93" s="7" t="s">
        <v>411</v>
      </c>
      <c r="E93">
        <v>357.41027647099997</v>
      </c>
      <c r="F93">
        <v>9.9280632353055551E-2</v>
      </c>
      <c r="G93" s="92">
        <v>0.24461055388013911</v>
      </c>
    </row>
    <row r="94" spans="1:7" ht="15.75">
      <c r="A94" s="108"/>
      <c r="B94" s="3" t="s">
        <v>123</v>
      </c>
      <c r="C94" s="5" t="s">
        <v>124</v>
      </c>
      <c r="D94" s="7" t="s">
        <v>412</v>
      </c>
      <c r="E94">
        <v>48.923460513000002</v>
      </c>
      <c r="F94">
        <v>1.35898501425E-2</v>
      </c>
      <c r="G94" s="92">
        <v>3.348307410738105E-2</v>
      </c>
    </row>
    <row r="95" spans="1:7" ht="15.75">
      <c r="A95" s="108"/>
      <c r="B95" s="3" t="s">
        <v>124</v>
      </c>
      <c r="C95" s="5" t="s">
        <v>126</v>
      </c>
      <c r="D95" s="7" t="s">
        <v>413</v>
      </c>
      <c r="E95">
        <v>35.042797892000003</v>
      </c>
      <c r="F95">
        <v>9.7341105255555546E-3</v>
      </c>
      <c r="G95" s="92">
        <v>2.3983188974051231E-2</v>
      </c>
    </row>
    <row r="96" spans="1:7" ht="15.75">
      <c r="A96" s="108"/>
      <c r="B96" s="3" t="s">
        <v>125</v>
      </c>
      <c r="C96" s="5" t="s">
        <v>127</v>
      </c>
      <c r="D96" s="7" t="s">
        <v>414</v>
      </c>
      <c r="E96">
        <v>0.92652699999999999</v>
      </c>
      <c r="F96">
        <v>2.573686111111111E-4</v>
      </c>
      <c r="G96" s="92">
        <v>6.3411238449181213E-4</v>
      </c>
    </row>
    <row r="97" spans="1:7" ht="15.75">
      <c r="A97" s="108"/>
      <c r="B97" s="3" t="s">
        <v>126</v>
      </c>
      <c r="C97" s="5" t="s">
        <v>121</v>
      </c>
      <c r="D97" s="7" t="s">
        <v>415</v>
      </c>
      <c r="E97">
        <v>0</v>
      </c>
      <c r="F97">
        <v>0</v>
      </c>
      <c r="G97" s="92">
        <v>0</v>
      </c>
    </row>
    <row r="98" spans="1:7" ht="15.75">
      <c r="A98" s="108"/>
      <c r="B98" s="3" t="s">
        <v>127</v>
      </c>
      <c r="C98" s="5" t="s">
        <v>125</v>
      </c>
      <c r="D98" s="7" t="s">
        <v>416</v>
      </c>
      <c r="E98">
        <v>124.120107992</v>
      </c>
      <c r="F98">
        <v>3.4477807775555563E-2</v>
      </c>
      <c r="G98" s="92">
        <v>8.4947440972781521E-2</v>
      </c>
    </row>
    <row r="99" spans="1:7" ht="15.75">
      <c r="A99" s="108"/>
      <c r="B99" s="3" t="s">
        <v>128</v>
      </c>
      <c r="C99" s="5" t="s">
        <v>122</v>
      </c>
      <c r="D99" s="7" t="s">
        <v>417</v>
      </c>
      <c r="E99">
        <v>16.516786567</v>
      </c>
      <c r="F99">
        <v>4.5879962686111112E-3</v>
      </c>
      <c r="G99" s="92">
        <v>1.130404069621576E-2</v>
      </c>
    </row>
    <row r="100" spans="1:7">
      <c r="A100" s="108"/>
      <c r="B100" s="3" t="s">
        <v>129</v>
      </c>
      <c r="C100" s="5" t="s">
        <v>418</v>
      </c>
      <c r="D100" s="7" t="s">
        <v>419</v>
      </c>
    </row>
    <row r="101" spans="1:7" ht="15.75">
      <c r="A101" s="108"/>
      <c r="B101" s="3" t="s">
        <v>130</v>
      </c>
      <c r="C101" s="5" t="s">
        <v>130</v>
      </c>
      <c r="D101" s="7" t="s">
        <v>420</v>
      </c>
      <c r="E101">
        <v>52.038986962999999</v>
      </c>
      <c r="F101">
        <v>1.445527415638889E-2</v>
      </c>
      <c r="G101" s="92">
        <v>3.5615331349918837E-2</v>
      </c>
    </row>
    <row r="102" spans="1:7" ht="15.75">
      <c r="A102" s="108"/>
      <c r="C102" s="5" t="s">
        <v>116</v>
      </c>
      <c r="D102" s="7" t="s">
        <v>421</v>
      </c>
      <c r="E102">
        <v>0</v>
      </c>
      <c r="F102">
        <v>0</v>
      </c>
      <c r="G102" s="92">
        <v>0</v>
      </c>
    </row>
    <row r="103" spans="1:7">
      <c r="A103" s="108"/>
      <c r="C103" s="5" t="s">
        <v>422</v>
      </c>
      <c r="D103" s="7" t="s">
        <v>423</v>
      </c>
    </row>
    <row r="104" spans="1:7">
      <c r="A104" s="108"/>
      <c r="C104" s="5" t="s">
        <v>424</v>
      </c>
      <c r="D104" s="7" t="s">
        <v>425</v>
      </c>
    </row>
    <row r="105" spans="1:7">
      <c r="A105" s="108"/>
      <c r="C105" s="5" t="s">
        <v>426</v>
      </c>
      <c r="D105" s="7" t="s">
        <v>427</v>
      </c>
    </row>
    <row r="106" spans="1:7" ht="15.75">
      <c r="A106" s="108" t="s">
        <v>11</v>
      </c>
      <c r="B106" s="3" t="s">
        <v>131</v>
      </c>
      <c r="C106" s="5" t="s">
        <v>132</v>
      </c>
      <c r="D106" s="7" t="s">
        <v>428</v>
      </c>
      <c r="E106">
        <v>0.84207600000000005</v>
      </c>
      <c r="F106">
        <v>2.3390999999999999E-4</v>
      </c>
      <c r="G106" s="92">
        <v>4.4085133596127261E-4</v>
      </c>
    </row>
    <row r="107" spans="1:7" ht="15.75">
      <c r="A107" s="108"/>
      <c r="B107" s="3" t="s">
        <v>132</v>
      </c>
      <c r="C107" s="5" t="s">
        <v>143</v>
      </c>
      <c r="D107" s="7" t="s">
        <v>429</v>
      </c>
      <c r="E107">
        <v>57.372770813000002</v>
      </c>
      <c r="F107">
        <v>1.5936880781388892E-2</v>
      </c>
      <c r="G107" s="92">
        <v>3.0036318171650721E-2</v>
      </c>
    </row>
    <row r="108" spans="1:7" ht="15.75">
      <c r="A108" s="108"/>
      <c r="B108" s="3" t="s">
        <v>133</v>
      </c>
      <c r="C108" s="5" t="s">
        <v>141</v>
      </c>
      <c r="D108" s="7" t="s">
        <v>430</v>
      </c>
      <c r="E108">
        <v>5.7593249999999996</v>
      </c>
      <c r="F108">
        <v>1.5998125000000001E-3</v>
      </c>
      <c r="G108" s="92">
        <v>3.015174545391575E-3</v>
      </c>
    </row>
    <row r="109" spans="1:7" ht="15.75">
      <c r="A109" s="108"/>
      <c r="B109" s="3" t="s">
        <v>134</v>
      </c>
      <c r="C109" s="5" t="s">
        <v>138</v>
      </c>
      <c r="D109" s="7" t="s">
        <v>431</v>
      </c>
      <c r="E109">
        <v>13.851082473</v>
      </c>
      <c r="F109">
        <v>3.8475229091666668E-3</v>
      </c>
      <c r="G109" s="92">
        <v>7.2514454903498228E-3</v>
      </c>
    </row>
    <row r="110" spans="1:7" ht="15.75">
      <c r="A110" s="108"/>
      <c r="B110" s="3" t="s">
        <v>135</v>
      </c>
      <c r="C110" s="10" t="s">
        <v>145</v>
      </c>
      <c r="D110" s="11" t="s">
        <v>432</v>
      </c>
      <c r="E110">
        <v>9.3480994600000002</v>
      </c>
      <c r="F110">
        <v>2.596694294444445E-3</v>
      </c>
      <c r="G110" s="92">
        <v>4.8940026026627658E-3</v>
      </c>
    </row>
    <row r="111" spans="1:7" ht="15.75">
      <c r="A111" s="108"/>
      <c r="B111" s="3" t="s">
        <v>136</v>
      </c>
      <c r="C111" s="10" t="s">
        <v>137</v>
      </c>
      <c r="D111" s="11" t="s">
        <v>433</v>
      </c>
      <c r="E111">
        <v>135.74338281000001</v>
      </c>
      <c r="F111">
        <v>3.7706495224999997E-2</v>
      </c>
      <c r="G111" s="92">
        <v>7.1065618376121575E-2</v>
      </c>
    </row>
    <row r="112" spans="1:7" ht="15.75">
      <c r="A112" s="108"/>
      <c r="B112" s="3" t="s">
        <v>137</v>
      </c>
      <c r="C112" s="5" t="s">
        <v>134</v>
      </c>
      <c r="D112" s="7" t="s">
        <v>434</v>
      </c>
      <c r="E112">
        <v>49.711063719000002</v>
      </c>
      <c r="F112">
        <v>1.3808628810833329E-2</v>
      </c>
      <c r="G112" s="92">
        <v>2.602519113782735E-2</v>
      </c>
    </row>
    <row r="113" spans="1:7" ht="15.75">
      <c r="A113" s="108"/>
      <c r="B113" s="3" t="s">
        <v>138</v>
      </c>
      <c r="C113" s="5" t="s">
        <v>151</v>
      </c>
      <c r="D113" s="7" t="s">
        <v>435</v>
      </c>
      <c r="E113">
        <v>42.850471587999991</v>
      </c>
      <c r="F113">
        <v>1.1902908774444439E-2</v>
      </c>
      <c r="G113" s="92">
        <v>2.2433471142913879E-2</v>
      </c>
    </row>
    <row r="114" spans="1:7" ht="15.75">
      <c r="A114" s="108"/>
      <c r="B114" s="3" t="s">
        <v>139</v>
      </c>
      <c r="C114" s="5" t="s">
        <v>133</v>
      </c>
      <c r="D114" s="7" t="s">
        <v>436</v>
      </c>
      <c r="E114">
        <v>52.567703184999999</v>
      </c>
      <c r="F114">
        <v>1.4602139773611109E-2</v>
      </c>
      <c r="G114" s="92">
        <v>2.7520725181008478E-2</v>
      </c>
    </row>
    <row r="115" spans="1:7" ht="15.75">
      <c r="A115" s="108"/>
      <c r="B115" s="3" t="s">
        <v>140</v>
      </c>
      <c r="C115" s="5" t="s">
        <v>148</v>
      </c>
      <c r="D115" s="7" t="s">
        <v>437</v>
      </c>
      <c r="E115">
        <v>42.177463070000002</v>
      </c>
      <c r="F115">
        <v>1.1715961963888889E-2</v>
      </c>
      <c r="G115" s="92">
        <v>2.2081131562788559E-2</v>
      </c>
    </row>
    <row r="116" spans="1:7" ht="15.75">
      <c r="A116" s="108"/>
      <c r="B116" s="3" t="s">
        <v>141</v>
      </c>
      <c r="C116" s="5" t="s">
        <v>135</v>
      </c>
      <c r="D116" s="7" t="s">
        <v>438</v>
      </c>
      <c r="E116">
        <v>181.46441833200001</v>
      </c>
      <c r="F116">
        <v>5.0406782870000007E-2</v>
      </c>
      <c r="G116" s="92">
        <v>9.5001913427169835E-2</v>
      </c>
    </row>
    <row r="117" spans="1:7" ht="15.75">
      <c r="A117" s="108"/>
      <c r="B117" s="3" t="s">
        <v>142</v>
      </c>
      <c r="C117" s="5" t="s">
        <v>136</v>
      </c>
      <c r="D117" s="7" t="s">
        <v>439</v>
      </c>
      <c r="E117">
        <v>75.970430112000003</v>
      </c>
      <c r="F117">
        <v>2.1102897253333329E-2</v>
      </c>
      <c r="G117" s="92">
        <v>3.9772735012549583E-2</v>
      </c>
    </row>
    <row r="118" spans="1:7" ht="15.75">
      <c r="A118" s="108"/>
      <c r="B118" s="3" t="s">
        <v>143</v>
      </c>
      <c r="C118" s="5" t="s">
        <v>140</v>
      </c>
      <c r="D118" s="7" t="s">
        <v>440</v>
      </c>
      <c r="E118">
        <v>0.280692</v>
      </c>
      <c r="F118">
        <v>7.7970000000000001E-5</v>
      </c>
      <c r="G118" s="92">
        <v>1.4695044532042419E-4</v>
      </c>
    </row>
    <row r="119" spans="1:7" ht="15.75">
      <c r="A119" s="108"/>
      <c r="B119" s="3" t="s">
        <v>144</v>
      </c>
      <c r="C119" s="5" t="s">
        <v>139</v>
      </c>
      <c r="D119" s="7" t="s">
        <v>441</v>
      </c>
      <c r="E119">
        <v>489.56709755999998</v>
      </c>
      <c r="F119">
        <v>0.1359908604333333</v>
      </c>
      <c r="G119" s="92">
        <v>0.25630264845691919</v>
      </c>
    </row>
    <row r="120" spans="1:7" ht="15.75">
      <c r="A120" s="108"/>
      <c r="B120" s="3" t="s">
        <v>145</v>
      </c>
      <c r="C120" s="5" t="s">
        <v>142</v>
      </c>
      <c r="D120" s="7" t="s">
        <v>442</v>
      </c>
      <c r="E120">
        <v>223.41089260499999</v>
      </c>
      <c r="F120">
        <v>6.205858127916667E-2</v>
      </c>
      <c r="G120" s="92">
        <v>0.1169621156204602</v>
      </c>
    </row>
    <row r="121" spans="1:7" ht="15.75">
      <c r="A121" s="108"/>
      <c r="B121" s="3" t="s">
        <v>146</v>
      </c>
      <c r="C121" s="5" t="s">
        <v>144</v>
      </c>
      <c r="D121" s="7" t="s">
        <v>443</v>
      </c>
      <c r="E121">
        <v>3.980114376</v>
      </c>
      <c r="F121">
        <v>1.1055873266666669E-3</v>
      </c>
      <c r="G121" s="92">
        <v>2.0837059124571501E-3</v>
      </c>
    </row>
    <row r="122" spans="1:7" ht="15.75">
      <c r="A122" s="108"/>
      <c r="B122" s="3" t="s">
        <v>147</v>
      </c>
      <c r="C122" s="5" t="s">
        <v>146</v>
      </c>
      <c r="D122" s="7" t="s">
        <v>444</v>
      </c>
      <c r="E122">
        <v>0</v>
      </c>
      <c r="F122">
        <v>0</v>
      </c>
      <c r="G122" s="92">
        <v>0</v>
      </c>
    </row>
    <row r="123" spans="1:7" ht="15.75">
      <c r="A123" s="108"/>
      <c r="B123" s="3" t="s">
        <v>148</v>
      </c>
      <c r="C123" s="5" t="s">
        <v>147</v>
      </c>
      <c r="D123" s="7" t="s">
        <v>445</v>
      </c>
      <c r="E123">
        <v>296.91274734400002</v>
      </c>
      <c r="F123">
        <v>8.2475763151111117E-2</v>
      </c>
      <c r="G123" s="92">
        <v>0.15544247945617051</v>
      </c>
    </row>
    <row r="124" spans="1:7" ht="15.75">
      <c r="A124" s="108"/>
      <c r="B124" s="3" t="s">
        <v>149</v>
      </c>
      <c r="C124" s="5" t="s">
        <v>150</v>
      </c>
      <c r="D124" s="7" t="s">
        <v>446</v>
      </c>
      <c r="E124">
        <v>2.9398918200000002</v>
      </c>
      <c r="F124">
        <v>8.1663661666666655E-4</v>
      </c>
      <c r="G124" s="92">
        <v>1.539119077646931E-3</v>
      </c>
    </row>
    <row r="125" spans="1:7" ht="15.75">
      <c r="A125" s="108"/>
      <c r="B125" s="3" t="s">
        <v>150</v>
      </c>
      <c r="C125" s="5" t="s">
        <v>152</v>
      </c>
      <c r="D125" s="7" t="s">
        <v>447</v>
      </c>
      <c r="E125">
        <v>95.266835180000015</v>
      </c>
      <c r="F125">
        <v>2.646300977222223E-2</v>
      </c>
      <c r="G125" s="92">
        <v>4.9874965634818441E-2</v>
      </c>
    </row>
    <row r="126" spans="1:7" ht="15.75">
      <c r="A126" s="108"/>
      <c r="B126" s="3" t="s">
        <v>151</v>
      </c>
      <c r="C126" s="5" t="s">
        <v>149</v>
      </c>
      <c r="D126" s="7" t="s">
        <v>448</v>
      </c>
      <c r="E126">
        <v>130.09674222999999</v>
      </c>
      <c r="F126">
        <v>3.6137983952777772E-2</v>
      </c>
      <c r="G126" s="92">
        <v>6.8109437409811943E-2</v>
      </c>
    </row>
    <row r="127" spans="1:7" ht="15.75">
      <c r="A127" s="108"/>
      <c r="B127" s="3" t="s">
        <v>152</v>
      </c>
      <c r="C127" s="5" t="s">
        <v>131</v>
      </c>
      <c r="D127" s="7" t="s">
        <v>449</v>
      </c>
      <c r="E127">
        <v>0</v>
      </c>
      <c r="F127">
        <v>0</v>
      </c>
      <c r="G127" s="92">
        <v>0</v>
      </c>
    </row>
    <row r="128" spans="1:7">
      <c r="A128" s="108"/>
      <c r="C128" s="5" t="s">
        <v>450</v>
      </c>
      <c r="D128" s="7" t="s">
        <v>451</v>
      </c>
    </row>
    <row r="129" spans="1:8">
      <c r="A129" s="108"/>
      <c r="C129" s="5" t="s">
        <v>452</v>
      </c>
      <c r="D129" s="7" t="s">
        <v>453</v>
      </c>
    </row>
    <row r="130" spans="1:8">
      <c r="A130" s="108"/>
      <c r="C130" s="5" t="s">
        <v>454</v>
      </c>
      <c r="D130" s="7" t="s">
        <v>455</v>
      </c>
    </row>
    <row r="131" spans="1:8">
      <c r="A131" s="108"/>
      <c r="C131" s="5" t="s">
        <v>456</v>
      </c>
      <c r="D131" s="7" t="s">
        <v>457</v>
      </c>
    </row>
    <row r="132" spans="1:8">
      <c r="A132" s="108"/>
      <c r="C132" s="5" t="s">
        <v>458</v>
      </c>
      <c r="D132" s="7" t="s">
        <v>459</v>
      </c>
    </row>
    <row r="133" spans="1:8" ht="15.75">
      <c r="A133" s="108" t="s">
        <v>12</v>
      </c>
      <c r="B133" s="3" t="s">
        <v>153</v>
      </c>
      <c r="C133" s="11" t="s">
        <v>460</v>
      </c>
      <c r="D133" s="11" t="s">
        <v>461</v>
      </c>
      <c r="E133">
        <v>53.961724308999997</v>
      </c>
      <c r="F133" s="59">
        <f>E133/3600</f>
        <v>1.498936786361111E-2</v>
      </c>
      <c r="G133" s="84">
        <f>E133/(E135+E134)</f>
        <v>0.75225572694202558</v>
      </c>
      <c r="H133" s="96" t="s">
        <v>153</v>
      </c>
    </row>
    <row r="134" spans="1:8">
      <c r="A134" s="108"/>
      <c r="B134" s="3" t="s">
        <v>154</v>
      </c>
      <c r="C134" s="5" t="s">
        <v>154</v>
      </c>
      <c r="D134" s="7" t="s">
        <v>462</v>
      </c>
      <c r="E134" s="95">
        <v>1.8403709699999999</v>
      </c>
      <c r="F134" s="95">
        <v>5.1121415833333328E-4</v>
      </c>
      <c r="G134" s="84">
        <v>2.5655770263246599E-2</v>
      </c>
    </row>
    <row r="135" spans="1:8">
      <c r="A135" s="108"/>
      <c r="C135" s="5" t="s">
        <v>153</v>
      </c>
      <c r="D135" s="7"/>
      <c r="E135" s="95">
        <v>69.892847371000002</v>
      </c>
      <c r="F135" s="59">
        <f>E135/3600</f>
        <v>1.9414679825277777E-2</v>
      </c>
      <c r="G135" s="84">
        <v>0.9743442297367535</v>
      </c>
    </row>
    <row r="136" spans="1:8" ht="15.75">
      <c r="A136" s="108"/>
      <c r="C136" s="5" t="s">
        <v>463</v>
      </c>
      <c r="D136" s="7" t="s">
        <v>464</v>
      </c>
      <c r="E136">
        <v>15.931123061999999</v>
      </c>
      <c r="F136" s="59">
        <f>E136/3600</f>
        <v>4.4253119616666668E-3</v>
      </c>
      <c r="G136" s="84">
        <f>E136/(E135+E134)</f>
        <v>0.22208850279472783</v>
      </c>
      <c r="H136" s="96" t="s">
        <v>153</v>
      </c>
    </row>
    <row r="137" spans="1:8">
      <c r="A137" s="108"/>
      <c r="C137" s="5" t="s">
        <v>465</v>
      </c>
      <c r="D137" s="7" t="s">
        <v>466</v>
      </c>
      <c r="G137" s="84"/>
      <c r="H137" s="96" t="s">
        <v>153</v>
      </c>
    </row>
    <row r="138" spans="1:8" ht="15.75">
      <c r="A138" s="108" t="s">
        <v>13</v>
      </c>
      <c r="B138" s="3" t="s">
        <v>155</v>
      </c>
      <c r="C138" s="5" t="s">
        <v>163</v>
      </c>
      <c r="D138" s="7" t="s">
        <v>467</v>
      </c>
      <c r="E138">
        <v>137.30567922200001</v>
      </c>
      <c r="F138">
        <v>3.8140466450555563E-2</v>
      </c>
      <c r="G138" s="92">
        <v>0.12530978486298991</v>
      </c>
    </row>
    <row r="139" spans="1:8" ht="15.75">
      <c r="A139" s="108"/>
      <c r="B139" s="3" t="s">
        <v>156</v>
      </c>
      <c r="C139" s="5" t="s">
        <v>156</v>
      </c>
      <c r="D139" s="7" t="s">
        <v>468</v>
      </c>
      <c r="E139">
        <v>0</v>
      </c>
      <c r="F139">
        <v>0</v>
      </c>
      <c r="G139" s="92">
        <v>0</v>
      </c>
    </row>
    <row r="140" spans="1:8" ht="15.75">
      <c r="A140" s="108"/>
      <c r="B140" s="3" t="s">
        <v>157</v>
      </c>
      <c r="C140" s="5" t="s">
        <v>167</v>
      </c>
      <c r="D140" s="7" t="s">
        <v>469</v>
      </c>
      <c r="E140">
        <v>7.8108009540000003</v>
      </c>
      <c r="F140">
        <v>2.1696669316666672E-3</v>
      </c>
      <c r="G140" s="92">
        <v>7.1283998790091646E-3</v>
      </c>
    </row>
    <row r="141" spans="1:8" ht="15.75">
      <c r="A141" s="108"/>
      <c r="B141" s="3" t="s">
        <v>158</v>
      </c>
      <c r="C141" s="5" t="s">
        <v>166</v>
      </c>
      <c r="D141" s="7" t="s">
        <v>470</v>
      </c>
      <c r="E141">
        <v>45.872763452000008</v>
      </c>
      <c r="F141">
        <v>1.2742434292222221E-2</v>
      </c>
      <c r="G141" s="92">
        <v>4.1865028102347518E-2</v>
      </c>
    </row>
    <row r="142" spans="1:8" ht="15.75">
      <c r="A142" s="108"/>
      <c r="B142" s="3" t="s">
        <v>159</v>
      </c>
      <c r="C142" s="5" t="s">
        <v>175</v>
      </c>
      <c r="D142" s="7" t="s">
        <v>471</v>
      </c>
      <c r="E142">
        <v>12.010210921000001</v>
      </c>
      <c r="F142">
        <v>3.336169700277778E-3</v>
      </c>
      <c r="G142" s="92">
        <v>1.096092277608063E-2</v>
      </c>
    </row>
    <row r="143" spans="1:8" ht="15.75">
      <c r="A143" s="108"/>
      <c r="B143" s="3" t="s">
        <v>160</v>
      </c>
      <c r="C143" s="5" t="s">
        <v>164</v>
      </c>
      <c r="D143" s="7" t="s">
        <v>472</v>
      </c>
      <c r="E143">
        <v>0</v>
      </c>
      <c r="F143">
        <v>0</v>
      </c>
      <c r="G143" s="92">
        <v>0</v>
      </c>
    </row>
    <row r="144" spans="1:8" ht="15.75">
      <c r="A144" s="108"/>
      <c r="B144" s="3" t="s">
        <v>161</v>
      </c>
      <c r="C144" s="5" t="s">
        <v>171</v>
      </c>
      <c r="D144" s="7" t="s">
        <v>473</v>
      </c>
      <c r="E144">
        <v>29.169660343</v>
      </c>
      <c r="F144">
        <v>8.1026834286111113E-3</v>
      </c>
      <c r="G144" s="92">
        <v>2.6621213942636029E-2</v>
      </c>
    </row>
    <row r="145" spans="1:8" ht="15.75">
      <c r="A145" s="108"/>
      <c r="B145" s="3" t="s">
        <v>162</v>
      </c>
      <c r="C145" s="5" t="s">
        <v>174</v>
      </c>
      <c r="D145" s="7" t="s">
        <v>474</v>
      </c>
      <c r="E145">
        <v>4.8064036989999996</v>
      </c>
      <c r="F145">
        <v>1.3351121386111109E-3</v>
      </c>
      <c r="G145" s="92">
        <v>4.3864858096114784E-3</v>
      </c>
    </row>
    <row r="146" spans="1:8" ht="15.75">
      <c r="A146" s="108"/>
      <c r="B146" s="3" t="s">
        <v>163</v>
      </c>
      <c r="C146" s="5" t="s">
        <v>173</v>
      </c>
      <c r="D146" s="7" t="s">
        <v>475</v>
      </c>
      <c r="E146">
        <v>0</v>
      </c>
      <c r="F146">
        <v>0</v>
      </c>
      <c r="G146" s="92">
        <v>0</v>
      </c>
    </row>
    <row r="147" spans="1:8" ht="15.75">
      <c r="A147" s="108"/>
      <c r="B147" s="3" t="s">
        <v>164</v>
      </c>
      <c r="C147" s="5" t="s">
        <v>172</v>
      </c>
      <c r="D147" s="7" t="s">
        <v>476</v>
      </c>
      <c r="E147">
        <v>0</v>
      </c>
      <c r="F147">
        <v>0</v>
      </c>
      <c r="G147" s="92">
        <v>0</v>
      </c>
    </row>
    <row r="148" spans="1:8" ht="15.75">
      <c r="A148" s="108"/>
      <c r="B148" s="3" t="s">
        <v>165</v>
      </c>
      <c r="C148" s="5" t="s">
        <v>161</v>
      </c>
      <c r="D148" s="7" t="s">
        <v>477</v>
      </c>
      <c r="E148">
        <v>5.6669817480000004</v>
      </c>
      <c r="F148">
        <v>1.5741615966666669E-3</v>
      </c>
      <c r="G148" s="92">
        <v>5.1718783060401546E-3</v>
      </c>
    </row>
    <row r="149" spans="1:8" ht="15.75">
      <c r="A149" s="108"/>
      <c r="B149" s="3" t="s">
        <v>166</v>
      </c>
      <c r="C149" s="5" t="s">
        <v>162</v>
      </c>
      <c r="D149" s="7" t="s">
        <v>478</v>
      </c>
      <c r="E149">
        <v>3.56315691</v>
      </c>
      <c r="F149">
        <v>9.897658083333333E-4</v>
      </c>
      <c r="G149" s="92">
        <v>3.2518569396045409E-3</v>
      </c>
    </row>
    <row r="150" spans="1:8" ht="30">
      <c r="A150" s="108"/>
      <c r="B150" s="3" t="s">
        <v>167</v>
      </c>
      <c r="C150" s="5" t="s">
        <v>158</v>
      </c>
      <c r="D150" s="7" t="s">
        <v>479</v>
      </c>
      <c r="E150">
        <v>0</v>
      </c>
      <c r="F150">
        <v>0</v>
      </c>
      <c r="G150" s="92">
        <v>0</v>
      </c>
    </row>
    <row r="151" spans="1:8" ht="15.75">
      <c r="A151" s="108"/>
      <c r="B151" s="3" t="s">
        <v>168</v>
      </c>
      <c r="C151" s="5" t="s">
        <v>159</v>
      </c>
      <c r="D151" s="7" t="s">
        <v>480</v>
      </c>
      <c r="E151">
        <v>108.902099693</v>
      </c>
      <c r="F151">
        <v>3.025058324805556E-2</v>
      </c>
      <c r="G151" s="92">
        <v>9.9387722059140982E-2</v>
      </c>
    </row>
    <row r="152" spans="1:8" ht="15.75">
      <c r="A152" s="108"/>
      <c r="B152" s="3" t="s">
        <v>169</v>
      </c>
      <c r="C152" s="5" t="s">
        <v>155</v>
      </c>
      <c r="D152" s="7" t="s">
        <v>481</v>
      </c>
      <c r="E152">
        <v>175.038833856</v>
      </c>
      <c r="F152">
        <v>4.8621898293333327E-2</v>
      </c>
      <c r="G152" s="92">
        <v>0.1597463319612607</v>
      </c>
    </row>
    <row r="153" spans="1:8" ht="15.75">
      <c r="A153" s="108"/>
      <c r="B153" s="3" t="s">
        <v>170</v>
      </c>
      <c r="C153" s="5" t="s">
        <v>169</v>
      </c>
      <c r="D153" s="7" t="s">
        <v>482</v>
      </c>
      <c r="E153">
        <v>101.35410699800001</v>
      </c>
      <c r="F153">
        <v>2.8153918610555551E-2</v>
      </c>
      <c r="G153" s="92">
        <v>9.2499169843987428E-2</v>
      </c>
    </row>
    <row r="154" spans="1:8" ht="15.75">
      <c r="A154" s="108"/>
      <c r="B154" s="3" t="s">
        <v>171</v>
      </c>
      <c r="C154" s="5" t="s">
        <v>170</v>
      </c>
      <c r="D154" s="7" t="s">
        <v>483</v>
      </c>
      <c r="E154">
        <v>20.569100571</v>
      </c>
      <c r="F154">
        <v>5.7136390475E-3</v>
      </c>
      <c r="G154" s="92">
        <v>1.8772053581336691E-2</v>
      </c>
    </row>
    <row r="155" spans="1:8" ht="15.75">
      <c r="A155" s="108"/>
      <c r="B155" s="3" t="s">
        <v>172</v>
      </c>
      <c r="C155" s="5" t="s">
        <v>160</v>
      </c>
      <c r="D155" s="7" t="s">
        <v>484</v>
      </c>
      <c r="E155">
        <v>289.32229050399991</v>
      </c>
      <c r="F155">
        <v>8.0367302917777758E-2</v>
      </c>
      <c r="G155" s="92">
        <v>0.26404526152560398</v>
      </c>
    </row>
    <row r="156" spans="1:8" ht="15.75">
      <c r="A156" s="108"/>
      <c r="B156" s="3" t="s">
        <v>173</v>
      </c>
      <c r="C156" s="5" t="s">
        <v>157</v>
      </c>
      <c r="D156" s="7" t="s">
        <v>485</v>
      </c>
      <c r="E156">
        <v>0</v>
      </c>
      <c r="F156">
        <v>0</v>
      </c>
      <c r="G156" s="92">
        <v>0</v>
      </c>
    </row>
    <row r="157" spans="1:8" ht="15.75">
      <c r="A157" s="108"/>
      <c r="B157" s="3" t="s">
        <v>174</v>
      </c>
      <c r="C157" s="5" t="s">
        <v>165</v>
      </c>
      <c r="D157" s="7" t="s">
        <v>486</v>
      </c>
      <c r="E157">
        <v>45.965358595999987</v>
      </c>
      <c r="F157">
        <v>1.276815516555555E-2</v>
      </c>
      <c r="G157" s="92">
        <v>4.1949533547713962E-2</v>
      </c>
    </row>
    <row r="158" spans="1:8" ht="15.75">
      <c r="A158" s="108"/>
      <c r="B158" s="3" t="s">
        <v>175</v>
      </c>
      <c r="C158" s="5" t="s">
        <v>168</v>
      </c>
      <c r="D158" s="7" t="s">
        <v>487</v>
      </c>
      <c r="E158">
        <v>108.37246199000001</v>
      </c>
      <c r="F158">
        <v>3.010346166388889E-2</v>
      </c>
      <c r="G158" s="92">
        <v>9.8904356862636947E-2</v>
      </c>
    </row>
    <row r="159" spans="1:8">
      <c r="A159" s="26" t="s">
        <v>624</v>
      </c>
      <c r="C159" s="5" t="s">
        <v>488</v>
      </c>
      <c r="D159" s="7" t="s">
        <v>489</v>
      </c>
      <c r="G159" s="59">
        <v>1</v>
      </c>
      <c r="H159" s="3" t="s">
        <v>950</v>
      </c>
    </row>
    <row r="160" spans="1:8">
      <c r="A160" s="26" t="s">
        <v>14</v>
      </c>
      <c r="B160" s="3" t="s">
        <v>176</v>
      </c>
      <c r="C160" s="5" t="s">
        <v>176</v>
      </c>
      <c r="D160" s="7" t="s">
        <v>490</v>
      </c>
      <c r="G160" s="59">
        <v>1</v>
      </c>
      <c r="H160" s="3" t="s">
        <v>950</v>
      </c>
    </row>
    <row r="161" spans="1:8" ht="15.75">
      <c r="A161" s="108" t="s">
        <v>623</v>
      </c>
      <c r="B161" s="3" t="s">
        <v>491</v>
      </c>
      <c r="C161" s="5" t="s">
        <v>491</v>
      </c>
      <c r="D161" s="7" t="s">
        <v>492</v>
      </c>
      <c r="E161">
        <v>3.3090250000000001</v>
      </c>
      <c r="F161" s="99">
        <f>E161/3600</f>
        <v>9.1917361111111117E-4</v>
      </c>
      <c r="G161" s="59">
        <f>E161/SUM(E$161:E$162)</f>
        <v>0.25644051413942948</v>
      </c>
    </row>
    <row r="162" spans="1:8">
      <c r="A162" s="108"/>
      <c r="B162" s="3" t="s">
        <v>493</v>
      </c>
      <c r="C162" s="5" t="s">
        <v>493</v>
      </c>
      <c r="D162" s="7" t="s">
        <v>494</v>
      </c>
      <c r="E162" s="99">
        <v>9.5946498000000009</v>
      </c>
      <c r="F162" s="99">
        <f t="shared" ref="F162" si="0">E162/3600</f>
        <v>2.6651805000000002E-3</v>
      </c>
      <c r="G162" s="59">
        <f>E162/SUM(E$161:E$162)</f>
        <v>0.74355948586057052</v>
      </c>
    </row>
    <row r="163" spans="1:8">
      <c r="A163" s="26" t="s">
        <v>15</v>
      </c>
      <c r="B163" s="3" t="s">
        <v>177</v>
      </c>
      <c r="C163" s="5" t="s">
        <v>177</v>
      </c>
      <c r="D163" s="7" t="s">
        <v>15</v>
      </c>
      <c r="G163" s="59">
        <v>1</v>
      </c>
      <c r="H163" s="3" t="s">
        <v>950</v>
      </c>
    </row>
    <row r="164" spans="1:8" ht="15.75">
      <c r="A164" s="108" t="s">
        <v>16</v>
      </c>
      <c r="B164" s="3" t="s">
        <v>178</v>
      </c>
      <c r="C164" s="5" t="s">
        <v>182</v>
      </c>
      <c r="D164" s="7" t="s">
        <v>495</v>
      </c>
      <c r="E164">
        <v>0</v>
      </c>
      <c r="F164">
        <v>0</v>
      </c>
      <c r="G164" s="92">
        <v>0</v>
      </c>
    </row>
    <row r="165" spans="1:8" ht="15.75">
      <c r="A165" s="108"/>
      <c r="B165" s="3" t="s">
        <v>179</v>
      </c>
      <c r="C165" s="5" t="s">
        <v>181</v>
      </c>
      <c r="D165" s="7" t="s">
        <v>496</v>
      </c>
      <c r="E165">
        <v>0</v>
      </c>
      <c r="F165">
        <v>0</v>
      </c>
      <c r="G165" s="92">
        <v>0</v>
      </c>
    </row>
    <row r="166" spans="1:8" ht="15.75">
      <c r="A166" s="108"/>
      <c r="B166" s="3" t="s">
        <v>180</v>
      </c>
      <c r="C166" s="5" t="s">
        <v>180</v>
      </c>
      <c r="D166" s="7" t="s">
        <v>497</v>
      </c>
      <c r="E166">
        <v>64.559160000000006</v>
      </c>
      <c r="F166">
        <v>1.79331E-2</v>
      </c>
      <c r="G166" s="92">
        <v>0.94016814957209704</v>
      </c>
    </row>
    <row r="167" spans="1:8" ht="15.75">
      <c r="A167" s="108"/>
      <c r="B167" s="3" t="s">
        <v>181</v>
      </c>
      <c r="C167" s="5" t="s">
        <v>179</v>
      </c>
      <c r="D167" s="7" t="s">
        <v>498</v>
      </c>
      <c r="E167">
        <v>0</v>
      </c>
      <c r="F167">
        <v>0</v>
      </c>
      <c r="G167" s="92">
        <v>0</v>
      </c>
    </row>
    <row r="168" spans="1:8" ht="15.75">
      <c r="A168" s="108"/>
      <c r="B168" s="3" t="s">
        <v>182</v>
      </c>
      <c r="C168" s="5" t="s">
        <v>184</v>
      </c>
      <c r="D168" s="7" t="s">
        <v>499</v>
      </c>
      <c r="E168">
        <v>0</v>
      </c>
      <c r="F168">
        <v>0</v>
      </c>
      <c r="G168" s="92">
        <v>0</v>
      </c>
    </row>
    <row r="169" spans="1:8" ht="15.75">
      <c r="A169" s="108"/>
      <c r="B169" s="3" t="s">
        <v>183</v>
      </c>
      <c r="C169" s="5" t="s">
        <v>183</v>
      </c>
      <c r="D169" s="7" t="s">
        <v>500</v>
      </c>
      <c r="E169">
        <v>0.137684</v>
      </c>
      <c r="F169">
        <v>3.8245555555555563E-5</v>
      </c>
      <c r="G169" s="92">
        <v>2.0050773818259811E-3</v>
      </c>
    </row>
    <row r="170" spans="1:8" ht="15.75">
      <c r="A170" s="108"/>
      <c r="B170" s="3" t="s">
        <v>184</v>
      </c>
      <c r="C170" s="5" t="s">
        <v>178</v>
      </c>
      <c r="D170" s="7" t="s">
        <v>501</v>
      </c>
      <c r="E170">
        <v>3.9708299999999999</v>
      </c>
      <c r="F170">
        <v>1.1030083333333331E-3</v>
      </c>
      <c r="G170" s="92">
        <v>5.782677304607696E-2</v>
      </c>
    </row>
    <row r="171" spans="1:8" ht="15.75">
      <c r="A171" s="108"/>
      <c r="B171" s="3" t="s">
        <v>185</v>
      </c>
      <c r="C171" s="5" t="s">
        <v>185</v>
      </c>
      <c r="D171" s="7" t="s">
        <v>502</v>
      </c>
      <c r="E171">
        <v>0</v>
      </c>
      <c r="F171">
        <v>0</v>
      </c>
      <c r="G171" s="92">
        <v>0</v>
      </c>
    </row>
    <row r="172" spans="1:8">
      <c r="A172" s="26" t="s">
        <v>504</v>
      </c>
      <c r="C172" s="5" t="s">
        <v>503</v>
      </c>
      <c r="D172" s="7" t="s">
        <v>504</v>
      </c>
      <c r="G172" s="59">
        <v>1</v>
      </c>
      <c r="H172" s="3" t="s">
        <v>950</v>
      </c>
    </row>
    <row r="173" spans="1:8" ht="15.75">
      <c r="A173" s="108" t="s">
        <v>17</v>
      </c>
      <c r="B173" s="3" t="s">
        <v>186</v>
      </c>
      <c r="C173" s="5" t="s">
        <v>193</v>
      </c>
      <c r="D173" s="7" t="s">
        <v>505</v>
      </c>
      <c r="E173">
        <v>6.3043500000000003</v>
      </c>
      <c r="F173">
        <v>1.7512083333333329E-3</v>
      </c>
      <c r="G173" s="92">
        <v>2.5549542726873129E-2</v>
      </c>
    </row>
    <row r="174" spans="1:8" ht="15.75">
      <c r="A174" s="108"/>
      <c r="B174" s="3" t="s">
        <v>187</v>
      </c>
      <c r="C174" s="5" t="s">
        <v>195</v>
      </c>
      <c r="D174" s="7" t="s">
        <v>506</v>
      </c>
      <c r="E174">
        <v>0</v>
      </c>
      <c r="F174">
        <v>0</v>
      </c>
      <c r="G174" s="92">
        <v>0</v>
      </c>
    </row>
    <row r="175" spans="1:8" ht="15.75">
      <c r="A175" s="108"/>
      <c r="B175" s="3" t="s">
        <v>188</v>
      </c>
      <c r="C175" s="5" t="s">
        <v>197</v>
      </c>
      <c r="D175" s="7" t="s">
        <v>507</v>
      </c>
      <c r="E175">
        <v>0.96989999999999998</v>
      </c>
      <c r="F175">
        <v>2.6941666666666672E-4</v>
      </c>
      <c r="G175" s="92">
        <v>3.9306988810574048E-3</v>
      </c>
    </row>
    <row r="176" spans="1:8" ht="15.75">
      <c r="A176" s="108"/>
      <c r="B176" s="3" t="s">
        <v>189</v>
      </c>
      <c r="C176" s="5" t="s">
        <v>188</v>
      </c>
      <c r="D176" s="7" t="s">
        <v>508</v>
      </c>
      <c r="E176">
        <v>0</v>
      </c>
      <c r="F176">
        <v>0</v>
      </c>
      <c r="G176" s="92">
        <v>0</v>
      </c>
    </row>
    <row r="177" spans="1:7" ht="15.75">
      <c r="A177" s="108"/>
      <c r="B177" s="3" t="s">
        <v>190</v>
      </c>
      <c r="C177" s="5" t="s">
        <v>194</v>
      </c>
      <c r="D177" s="7" t="s">
        <v>509</v>
      </c>
      <c r="E177">
        <v>94.499029999999991</v>
      </c>
      <c r="F177">
        <v>2.6249730555555548E-2</v>
      </c>
      <c r="G177" s="92">
        <v>0.3829747721229097</v>
      </c>
    </row>
    <row r="178" spans="1:7" ht="15.75">
      <c r="A178" s="108"/>
      <c r="B178" s="3" t="s">
        <v>191</v>
      </c>
      <c r="C178" s="5" t="s">
        <v>196</v>
      </c>
      <c r="D178" s="7" t="s">
        <v>510</v>
      </c>
      <c r="E178">
        <v>0</v>
      </c>
      <c r="F178">
        <v>0</v>
      </c>
      <c r="G178" s="92">
        <v>0</v>
      </c>
    </row>
    <row r="179" spans="1:7" ht="15.75">
      <c r="A179" s="108"/>
      <c r="B179" s="3" t="s">
        <v>192</v>
      </c>
      <c r="C179" s="5" t="s">
        <v>190</v>
      </c>
      <c r="D179" s="7" t="s">
        <v>511</v>
      </c>
      <c r="E179">
        <v>0</v>
      </c>
      <c r="F179">
        <v>0</v>
      </c>
      <c r="G179" s="92">
        <v>0</v>
      </c>
    </row>
    <row r="180" spans="1:7" ht="15.75">
      <c r="A180" s="108"/>
      <c r="B180" s="3" t="s">
        <v>193</v>
      </c>
      <c r="C180" s="5" t="s">
        <v>189</v>
      </c>
      <c r="D180" s="7" t="s">
        <v>512</v>
      </c>
      <c r="E180">
        <v>30.978899999999999</v>
      </c>
      <c r="F180">
        <v>8.6052500000000001E-3</v>
      </c>
      <c r="G180" s="92">
        <v>0.1255477137502724</v>
      </c>
    </row>
    <row r="181" spans="1:7" ht="15.75">
      <c r="A181" s="108"/>
      <c r="B181" s="3" t="s">
        <v>194</v>
      </c>
      <c r="C181" s="5" t="s">
        <v>186</v>
      </c>
      <c r="D181" s="7" t="s">
        <v>513</v>
      </c>
      <c r="E181">
        <v>0</v>
      </c>
      <c r="F181">
        <v>0</v>
      </c>
      <c r="G181" s="92">
        <v>0</v>
      </c>
    </row>
    <row r="182" spans="1:7" ht="15.75">
      <c r="A182" s="108"/>
      <c r="B182" s="3" t="s">
        <v>195</v>
      </c>
      <c r="C182" s="5" t="s">
        <v>187</v>
      </c>
      <c r="D182" s="7" t="s">
        <v>514</v>
      </c>
      <c r="E182">
        <v>0</v>
      </c>
      <c r="F182">
        <v>0</v>
      </c>
      <c r="G182" s="92">
        <v>0</v>
      </c>
    </row>
    <row r="183" spans="1:7" ht="15.75">
      <c r="A183" s="108"/>
      <c r="B183" s="3" t="s">
        <v>196</v>
      </c>
      <c r="C183" s="5" t="s">
        <v>191</v>
      </c>
      <c r="D183" s="7" t="s">
        <v>515</v>
      </c>
      <c r="E183">
        <v>8.6034649999999999</v>
      </c>
      <c r="F183">
        <v>2.3898513888888891E-3</v>
      </c>
      <c r="G183" s="92">
        <v>3.486713088845917E-2</v>
      </c>
    </row>
    <row r="184" spans="1:7" ht="15.75">
      <c r="A184" s="108"/>
      <c r="B184" s="3" t="s">
        <v>197</v>
      </c>
      <c r="C184" s="5" t="s">
        <v>192</v>
      </c>
      <c r="D184" s="7" t="s">
        <v>516</v>
      </c>
      <c r="E184">
        <v>105.394368</v>
      </c>
      <c r="F184">
        <v>2.9276213333333329E-2</v>
      </c>
      <c r="G184" s="92">
        <v>0.42713014163042828</v>
      </c>
    </row>
    <row r="185" spans="1:7" ht="15.75">
      <c r="A185" s="108" t="s">
        <v>18</v>
      </c>
      <c r="B185" s="3" t="s">
        <v>198</v>
      </c>
      <c r="C185" s="5" t="s">
        <v>206</v>
      </c>
      <c r="D185" s="7" t="s">
        <v>517</v>
      </c>
      <c r="E185">
        <v>0</v>
      </c>
      <c r="F185">
        <v>0</v>
      </c>
      <c r="G185" s="92">
        <v>0</v>
      </c>
    </row>
    <row r="186" spans="1:7" ht="15.75">
      <c r="A186" s="108"/>
      <c r="B186" s="3" t="s">
        <v>199</v>
      </c>
      <c r="C186" s="5" t="s">
        <v>204</v>
      </c>
      <c r="D186" s="7" t="s">
        <v>518</v>
      </c>
      <c r="E186">
        <v>133.766948394</v>
      </c>
      <c r="F186">
        <v>3.7157485664999997E-2</v>
      </c>
      <c r="G186" s="92">
        <v>9.2497921623671736E-2</v>
      </c>
    </row>
    <row r="187" spans="1:7" ht="15.75">
      <c r="A187" s="108"/>
      <c r="B187" s="3" t="s">
        <v>200</v>
      </c>
      <c r="C187" s="5" t="s">
        <v>203</v>
      </c>
      <c r="D187" s="7" t="s">
        <v>519</v>
      </c>
      <c r="E187">
        <v>0</v>
      </c>
      <c r="F187">
        <v>0</v>
      </c>
      <c r="G187" s="92">
        <v>0</v>
      </c>
    </row>
    <row r="188" spans="1:7" ht="15.75">
      <c r="A188" s="108"/>
      <c r="B188" s="3" t="s">
        <v>201</v>
      </c>
      <c r="C188" s="5" t="s">
        <v>205</v>
      </c>
      <c r="D188" s="7" t="s">
        <v>520</v>
      </c>
      <c r="E188">
        <v>203.35305435199999</v>
      </c>
      <c r="F188">
        <v>5.6486959542222222E-2</v>
      </c>
      <c r="G188" s="92">
        <v>0.1406157134420303</v>
      </c>
    </row>
    <row r="189" spans="1:7" ht="15.75">
      <c r="A189" s="108"/>
      <c r="B189" s="3" t="s">
        <v>202</v>
      </c>
      <c r="C189" s="5" t="s">
        <v>200</v>
      </c>
      <c r="D189" s="7" t="s">
        <v>521</v>
      </c>
      <c r="E189">
        <v>541.66815629299992</v>
      </c>
      <c r="F189">
        <v>0.15046337674805549</v>
      </c>
      <c r="G189" s="92">
        <v>0.37455574241892492</v>
      </c>
    </row>
    <row r="190" spans="1:7" ht="15.75">
      <c r="A190" s="108"/>
      <c r="B190" s="3" t="s">
        <v>203</v>
      </c>
      <c r="C190" s="5" t="s">
        <v>202</v>
      </c>
      <c r="D190" s="7" t="s">
        <v>522</v>
      </c>
      <c r="E190">
        <v>478.34732213099988</v>
      </c>
      <c r="F190">
        <v>0.13287425614750001</v>
      </c>
      <c r="G190" s="92">
        <v>0.33077029597059349</v>
      </c>
    </row>
    <row r="191" spans="1:7" ht="15.75">
      <c r="A191" s="108"/>
      <c r="B191" s="3" t="s">
        <v>204</v>
      </c>
      <c r="C191" s="5" t="s">
        <v>201</v>
      </c>
      <c r="D191" s="7" t="s">
        <v>523</v>
      </c>
      <c r="E191">
        <v>71.046263640000006</v>
      </c>
      <c r="F191">
        <v>1.9735073233333331E-2</v>
      </c>
      <c r="G191" s="92">
        <v>4.9127469862519528E-2</v>
      </c>
    </row>
    <row r="192" spans="1:7" ht="15.75">
      <c r="A192" s="108"/>
      <c r="B192" s="3" t="s">
        <v>205</v>
      </c>
      <c r="C192" s="5" t="s">
        <v>199</v>
      </c>
      <c r="D192" s="7" t="s">
        <v>524</v>
      </c>
      <c r="E192">
        <v>5.6138399999999997</v>
      </c>
      <c r="F192">
        <v>1.5594000000000001E-3</v>
      </c>
      <c r="G192" s="92">
        <v>3.8818896488418712E-3</v>
      </c>
    </row>
    <row r="193" spans="1:7" ht="15.75">
      <c r="A193" s="108"/>
      <c r="B193" s="3" t="s">
        <v>206</v>
      </c>
      <c r="C193" s="5" t="s">
        <v>198</v>
      </c>
      <c r="D193" s="7" t="s">
        <v>525</v>
      </c>
      <c r="E193">
        <v>12.366080727</v>
      </c>
      <c r="F193">
        <v>3.435022424166666E-3</v>
      </c>
      <c r="G193" s="92">
        <v>8.5509670334181706E-3</v>
      </c>
    </row>
    <row r="194" spans="1:7" ht="15.75">
      <c r="A194" s="108" t="s">
        <v>19</v>
      </c>
      <c r="B194" s="3" t="s">
        <v>207</v>
      </c>
      <c r="C194" s="5" t="s">
        <v>219</v>
      </c>
      <c r="D194" s="7" t="s">
        <v>526</v>
      </c>
      <c r="E194">
        <v>9.8588151970000002</v>
      </c>
      <c r="F194">
        <v>2.7385597769444439E-3</v>
      </c>
      <c r="G194" s="92">
        <v>1.0201727352470141E-2</v>
      </c>
    </row>
    <row r="195" spans="1:7" ht="15.75">
      <c r="A195" s="108"/>
      <c r="B195" s="3" t="s">
        <v>208</v>
      </c>
      <c r="C195" s="5" t="s">
        <v>210</v>
      </c>
      <c r="D195" s="7" t="s">
        <v>527</v>
      </c>
      <c r="E195">
        <v>21.726278886999999</v>
      </c>
      <c r="F195">
        <v>6.0350774686111107E-3</v>
      </c>
      <c r="G195" s="92">
        <v>2.2481968589526679E-2</v>
      </c>
    </row>
    <row r="196" spans="1:7" ht="15.75">
      <c r="A196" s="108"/>
      <c r="B196" s="3" t="s">
        <v>209</v>
      </c>
      <c r="C196" s="5" t="s">
        <v>221</v>
      </c>
      <c r="D196" s="7" t="s">
        <v>528</v>
      </c>
      <c r="E196">
        <v>14.379097748</v>
      </c>
      <c r="F196">
        <v>3.994193818888889E-3</v>
      </c>
      <c r="G196" s="92">
        <v>1.487923567572816E-2</v>
      </c>
    </row>
    <row r="197" spans="1:7" ht="15.75">
      <c r="A197" s="108"/>
      <c r="B197" s="3" t="s">
        <v>210</v>
      </c>
      <c r="C197" s="5" t="s">
        <v>207</v>
      </c>
      <c r="D197" s="7" t="s">
        <v>529</v>
      </c>
      <c r="E197">
        <v>0</v>
      </c>
      <c r="F197">
        <v>0</v>
      </c>
      <c r="G197" s="92">
        <v>0</v>
      </c>
    </row>
    <row r="198" spans="1:7" ht="15.75">
      <c r="A198" s="108"/>
      <c r="B198" s="3" t="s">
        <v>211</v>
      </c>
      <c r="C198" s="5" t="s">
        <v>216</v>
      </c>
      <c r="D198" s="7" t="s">
        <v>530</v>
      </c>
      <c r="E198">
        <v>62.068485920999997</v>
      </c>
      <c r="F198">
        <v>1.7241246089166669E-2</v>
      </c>
      <c r="G198" s="92">
        <v>6.4227369911483409E-2</v>
      </c>
    </row>
    <row r="199" spans="1:7" ht="15.75">
      <c r="A199" s="108"/>
      <c r="B199" s="3" t="s">
        <v>212</v>
      </c>
      <c r="C199" s="5" t="s">
        <v>218</v>
      </c>
      <c r="D199" s="7" t="s">
        <v>531</v>
      </c>
      <c r="E199">
        <v>11.085769497999999</v>
      </c>
      <c r="F199">
        <v>3.07938041611111E-3</v>
      </c>
      <c r="G199" s="92">
        <v>1.1471357932070761E-2</v>
      </c>
    </row>
    <row r="200" spans="1:7" ht="15.75">
      <c r="A200" s="108"/>
      <c r="B200" s="3" t="s">
        <v>213</v>
      </c>
      <c r="C200" s="5" t="s">
        <v>213</v>
      </c>
      <c r="D200" s="7" t="s">
        <v>532</v>
      </c>
      <c r="E200">
        <v>20.495868854000001</v>
      </c>
      <c r="F200">
        <v>5.6932969038888904E-3</v>
      </c>
      <c r="G200" s="92">
        <v>2.12087620796583E-2</v>
      </c>
    </row>
    <row r="201" spans="1:7" ht="15.75">
      <c r="A201" s="108"/>
      <c r="B201" s="3" t="s">
        <v>214</v>
      </c>
      <c r="C201" s="5" t="s">
        <v>220</v>
      </c>
      <c r="D201" s="7" t="s">
        <v>533</v>
      </c>
      <c r="E201">
        <v>414.43303873999997</v>
      </c>
      <c r="F201">
        <v>0.11512028853888891</v>
      </c>
      <c r="G201" s="92">
        <v>0.42884796830025951</v>
      </c>
    </row>
    <row r="202" spans="1:7" ht="15.75">
      <c r="A202" s="108"/>
      <c r="B202" s="3" t="s">
        <v>215</v>
      </c>
      <c r="C202" s="5" t="s">
        <v>208</v>
      </c>
      <c r="D202" s="7" t="s">
        <v>534</v>
      </c>
      <c r="E202">
        <v>0</v>
      </c>
      <c r="F202">
        <v>0</v>
      </c>
      <c r="G202" s="92">
        <v>0</v>
      </c>
    </row>
    <row r="203" spans="1:7" ht="15.75">
      <c r="A203" s="108"/>
      <c r="B203" s="3" t="s">
        <v>216</v>
      </c>
      <c r="C203" s="5" t="s">
        <v>211</v>
      </c>
      <c r="D203" s="7" t="s">
        <v>535</v>
      </c>
      <c r="E203">
        <v>293.13390704</v>
      </c>
      <c r="F203">
        <v>8.1426085288888894E-2</v>
      </c>
      <c r="G203" s="92">
        <v>0.30332977519412219</v>
      </c>
    </row>
    <row r="204" spans="1:7" ht="15.75">
      <c r="A204" s="108"/>
      <c r="B204" s="3" t="s">
        <v>217</v>
      </c>
      <c r="C204" s="5" t="s">
        <v>223</v>
      </c>
      <c r="D204" s="7" t="s">
        <v>536</v>
      </c>
      <c r="E204">
        <v>0.24635460000000001</v>
      </c>
      <c r="F204">
        <v>6.8431833333333338E-5</v>
      </c>
      <c r="G204" s="92">
        <v>2.5492337679598748E-4</v>
      </c>
    </row>
    <row r="205" spans="1:7" ht="15.75">
      <c r="A205" s="108"/>
      <c r="B205" s="3" t="s">
        <v>218</v>
      </c>
      <c r="C205" s="5" t="s">
        <v>222</v>
      </c>
      <c r="D205" s="7" t="s">
        <v>537</v>
      </c>
      <c r="E205">
        <v>0</v>
      </c>
      <c r="F205">
        <v>0</v>
      </c>
      <c r="G205" s="92">
        <v>0</v>
      </c>
    </row>
    <row r="206" spans="1:7" ht="15.75">
      <c r="A206" s="108"/>
      <c r="B206" s="3" t="s">
        <v>219</v>
      </c>
      <c r="C206" s="5" t="s">
        <v>217</v>
      </c>
      <c r="D206" s="7" t="s">
        <v>538</v>
      </c>
      <c r="E206">
        <v>0.85612321199999997</v>
      </c>
      <c r="F206">
        <v>2.3781200333333329E-4</v>
      </c>
      <c r="G206" s="92">
        <v>8.859011366398968E-4</v>
      </c>
    </row>
    <row r="207" spans="1:7" ht="15.75">
      <c r="A207" s="108"/>
      <c r="B207" s="3" t="s">
        <v>220</v>
      </c>
      <c r="C207" s="5" t="s">
        <v>209</v>
      </c>
      <c r="D207" s="7" t="s">
        <v>539</v>
      </c>
      <c r="E207">
        <v>0</v>
      </c>
      <c r="F207">
        <v>0</v>
      </c>
      <c r="G207" s="92">
        <v>0</v>
      </c>
    </row>
    <row r="208" spans="1:7" ht="15.75">
      <c r="A208" s="108"/>
      <c r="B208" s="3" t="s">
        <v>221</v>
      </c>
      <c r="C208" s="5" t="s">
        <v>212</v>
      </c>
      <c r="D208" s="7" t="s">
        <v>540</v>
      </c>
      <c r="E208">
        <v>0</v>
      </c>
      <c r="F208">
        <v>0</v>
      </c>
      <c r="G208" s="92">
        <v>0</v>
      </c>
    </row>
    <row r="209" spans="1:7" ht="15.75">
      <c r="A209" s="108"/>
      <c r="B209" s="3" t="s">
        <v>222</v>
      </c>
      <c r="C209" s="5" t="s">
        <v>214</v>
      </c>
      <c r="D209" s="7" t="s">
        <v>541</v>
      </c>
      <c r="E209">
        <v>0</v>
      </c>
      <c r="F209">
        <v>0</v>
      </c>
      <c r="G209" s="92">
        <v>0</v>
      </c>
    </row>
    <row r="210" spans="1:7" ht="15.75">
      <c r="A210" s="108"/>
      <c r="B210" s="3" t="s">
        <v>223</v>
      </c>
      <c r="C210" s="5" t="s">
        <v>215</v>
      </c>
      <c r="D210" s="7" t="s">
        <v>542</v>
      </c>
      <c r="E210">
        <v>118.10311385999999</v>
      </c>
      <c r="F210">
        <v>3.2806420516666657E-2</v>
      </c>
      <c r="G210" s="92">
        <v>0.1222110104512447</v>
      </c>
    </row>
    <row r="211" spans="1:7" ht="15.75">
      <c r="A211" s="108" t="s">
        <v>20</v>
      </c>
      <c r="B211" s="3" t="s">
        <v>224</v>
      </c>
      <c r="C211" s="5" t="s">
        <v>226</v>
      </c>
      <c r="D211" s="7" t="s">
        <v>543</v>
      </c>
      <c r="E211">
        <v>153.83139575199999</v>
      </c>
      <c r="F211">
        <v>4.2730943264444439E-2</v>
      </c>
      <c r="G211" s="92">
        <v>9.8861906355812684E-2</v>
      </c>
    </row>
    <row r="212" spans="1:7" ht="15.75">
      <c r="A212" s="108"/>
      <c r="B212" s="3" t="s">
        <v>225</v>
      </c>
      <c r="C212" s="5" t="s">
        <v>225</v>
      </c>
      <c r="D212" s="7" t="s">
        <v>544</v>
      </c>
      <c r="E212">
        <v>0</v>
      </c>
      <c r="F212">
        <v>0</v>
      </c>
      <c r="G212" s="92">
        <v>0</v>
      </c>
    </row>
    <row r="213" spans="1:7" ht="15.75">
      <c r="A213" s="108"/>
      <c r="B213" s="3" t="s">
        <v>226</v>
      </c>
      <c r="C213" s="5" t="s">
        <v>228</v>
      </c>
      <c r="D213" s="7" t="s">
        <v>545</v>
      </c>
      <c r="E213">
        <v>1031.761729889</v>
      </c>
      <c r="F213">
        <v>0.2866004805247222</v>
      </c>
      <c r="G213" s="92">
        <v>0.66307616220449894</v>
      </c>
    </row>
    <row r="214" spans="1:7" ht="15.75">
      <c r="A214" s="108"/>
      <c r="B214" s="3" t="s">
        <v>227</v>
      </c>
      <c r="C214" s="5" t="s">
        <v>224</v>
      </c>
      <c r="D214" s="7" t="s">
        <v>546</v>
      </c>
      <c r="E214">
        <v>370.42983024199998</v>
      </c>
      <c r="F214">
        <v>0.10289717506722219</v>
      </c>
      <c r="G214" s="92">
        <v>0.2380619314396884</v>
      </c>
    </row>
    <row r="215" spans="1:7" ht="15.75">
      <c r="A215" s="108"/>
      <c r="B215" s="3" t="s">
        <v>228</v>
      </c>
      <c r="C215" s="5" t="s">
        <v>227</v>
      </c>
      <c r="D215" s="7" t="s">
        <v>547</v>
      </c>
      <c r="E215">
        <v>0</v>
      </c>
      <c r="F215">
        <v>0</v>
      </c>
      <c r="G215" s="92">
        <v>0</v>
      </c>
    </row>
    <row r="216" spans="1:7">
      <c r="A216" s="108"/>
      <c r="C216" s="5" t="s">
        <v>548</v>
      </c>
      <c r="D216" s="7" t="s">
        <v>549</v>
      </c>
    </row>
    <row r="217" spans="1:7">
      <c r="A217" s="108"/>
      <c r="C217" s="5" t="s">
        <v>550</v>
      </c>
      <c r="D217" s="7" t="s">
        <v>551</v>
      </c>
    </row>
    <row r="218" spans="1:7" ht="15.75">
      <c r="A218" s="108" t="s">
        <v>21</v>
      </c>
      <c r="B218" s="3" t="s">
        <v>229</v>
      </c>
      <c r="C218" s="5" t="s">
        <v>231</v>
      </c>
      <c r="D218" s="7" t="s">
        <v>552</v>
      </c>
      <c r="E218">
        <v>4.6782000000000004</v>
      </c>
      <c r="F218">
        <v>1.2995000000000001E-3</v>
      </c>
      <c r="G218" s="92">
        <v>9.2079077548014199E-2</v>
      </c>
    </row>
    <row r="219" spans="1:7" ht="15.75">
      <c r="A219" s="108"/>
      <c r="B219" s="3" t="s">
        <v>230</v>
      </c>
      <c r="C219" s="5" t="s">
        <v>236</v>
      </c>
      <c r="D219" s="7" t="s">
        <v>553</v>
      </c>
      <c r="E219">
        <v>15.029697000000001</v>
      </c>
      <c r="F219">
        <v>4.1749158333333333E-3</v>
      </c>
      <c r="G219" s="92">
        <v>0.29582331571676213</v>
      </c>
    </row>
    <row r="220" spans="1:7" ht="15.75">
      <c r="A220" s="108"/>
      <c r="B220" s="3" t="s">
        <v>231</v>
      </c>
      <c r="C220" s="5" t="s">
        <v>232</v>
      </c>
      <c r="D220" s="7" t="s">
        <v>554</v>
      </c>
      <c r="E220">
        <v>17.343624999999999</v>
      </c>
      <c r="F220">
        <v>4.8176736111111111E-3</v>
      </c>
      <c r="G220" s="92">
        <v>0.34136740441594582</v>
      </c>
    </row>
    <row r="221" spans="1:7" ht="15.75">
      <c r="A221" s="108"/>
      <c r="B221" s="3" t="s">
        <v>232</v>
      </c>
      <c r="C221" s="5" t="s">
        <v>230</v>
      </c>
      <c r="D221" s="7" t="s">
        <v>555</v>
      </c>
      <c r="E221">
        <v>7.9309240000000001</v>
      </c>
      <c r="F221">
        <v>2.2030344444444439E-3</v>
      </c>
      <c r="G221" s="92">
        <v>0.15610110000072819</v>
      </c>
    </row>
    <row r="222" spans="1:7" ht="15.75">
      <c r="A222" s="108"/>
      <c r="B222" s="3" t="s">
        <v>233</v>
      </c>
      <c r="C222" s="5" t="s">
        <v>234</v>
      </c>
      <c r="D222" s="7" t="s">
        <v>556</v>
      </c>
      <c r="E222">
        <v>5.8238840000000014</v>
      </c>
      <c r="F222">
        <v>1.6177455555555561E-3</v>
      </c>
      <c r="G222" s="92">
        <v>0.1146291023185497</v>
      </c>
    </row>
    <row r="223" spans="1:7" ht="15.75">
      <c r="A223" s="108"/>
      <c r="B223" s="3" t="s">
        <v>234</v>
      </c>
      <c r="C223" s="5" t="s">
        <v>233</v>
      </c>
      <c r="D223" s="7" t="s">
        <v>557</v>
      </c>
      <c r="E223">
        <v>0</v>
      </c>
      <c r="F223">
        <v>0</v>
      </c>
      <c r="G223" s="92">
        <v>0</v>
      </c>
    </row>
    <row r="224" spans="1:7" ht="15.75">
      <c r="A224" s="108"/>
      <c r="B224" s="3" t="s">
        <v>235</v>
      </c>
      <c r="C224" s="5" t="s">
        <v>229</v>
      </c>
      <c r="D224" s="7" t="s">
        <v>558</v>
      </c>
      <c r="E224">
        <v>0</v>
      </c>
      <c r="F224">
        <v>0</v>
      </c>
      <c r="G224" s="92">
        <v>0</v>
      </c>
    </row>
    <row r="225" spans="1:7" ht="15.75">
      <c r="A225" s="108"/>
      <c r="B225" s="3" t="s">
        <v>236</v>
      </c>
      <c r="C225" s="5" t="s">
        <v>235</v>
      </c>
      <c r="D225" s="7" t="s">
        <v>559</v>
      </c>
      <c r="E225">
        <v>0</v>
      </c>
      <c r="F225">
        <v>0</v>
      </c>
      <c r="G225" s="92">
        <v>0</v>
      </c>
    </row>
    <row r="226" spans="1:7" ht="15.75">
      <c r="A226" s="108" t="s">
        <v>22</v>
      </c>
      <c r="B226" s="3" t="s">
        <v>237</v>
      </c>
      <c r="C226" s="5" t="s">
        <v>237</v>
      </c>
      <c r="D226" s="7" t="s">
        <v>560</v>
      </c>
      <c r="E226">
        <v>44.650060999999987</v>
      </c>
      <c r="F226">
        <v>1.240279472222222E-2</v>
      </c>
      <c r="G226" s="92">
        <v>0.54175113797006724</v>
      </c>
    </row>
    <row r="227" spans="1:7" ht="15.75">
      <c r="A227" s="108"/>
      <c r="B227" s="3" t="s">
        <v>238</v>
      </c>
      <c r="C227" s="5" t="s">
        <v>238</v>
      </c>
      <c r="D227" s="7" t="s">
        <v>561</v>
      </c>
      <c r="E227">
        <v>37.767968000000003</v>
      </c>
      <c r="F227">
        <v>1.049110222222222E-2</v>
      </c>
      <c r="G227" s="92">
        <v>0.45824886202993292</v>
      </c>
    </row>
    <row r="228" spans="1:7" ht="15.75">
      <c r="A228" s="108" t="s">
        <v>23</v>
      </c>
      <c r="B228" s="3" t="s">
        <v>239</v>
      </c>
      <c r="C228" s="5" t="s">
        <v>241</v>
      </c>
      <c r="D228" s="7" t="s">
        <v>562</v>
      </c>
      <c r="E228">
        <v>0</v>
      </c>
      <c r="F228">
        <v>0</v>
      </c>
      <c r="G228" s="92">
        <v>0</v>
      </c>
    </row>
    <row r="229" spans="1:7" ht="15.75">
      <c r="A229" s="108"/>
      <c r="B229" s="3" t="s">
        <v>240</v>
      </c>
      <c r="C229" s="5" t="s">
        <v>239</v>
      </c>
      <c r="D229" s="7" t="s">
        <v>563</v>
      </c>
      <c r="E229">
        <v>0</v>
      </c>
      <c r="F229">
        <v>0</v>
      </c>
      <c r="G229" s="92">
        <v>0</v>
      </c>
    </row>
    <row r="230" spans="1:7" ht="15.75">
      <c r="A230" s="108"/>
      <c r="B230" s="3" t="s">
        <v>241</v>
      </c>
      <c r="C230" s="5" t="s">
        <v>242</v>
      </c>
      <c r="D230" s="7" t="s">
        <v>564</v>
      </c>
      <c r="E230">
        <v>372.99822004299989</v>
      </c>
      <c r="F230">
        <v>0.1036106166786111</v>
      </c>
      <c r="G230" s="92">
        <v>0.82736530627020866</v>
      </c>
    </row>
    <row r="231" spans="1:7" ht="15.75">
      <c r="A231" s="108"/>
      <c r="B231" s="3" t="s">
        <v>242</v>
      </c>
      <c r="C231" s="5" t="s">
        <v>240</v>
      </c>
      <c r="D231" s="7" t="s">
        <v>565</v>
      </c>
      <c r="E231">
        <v>77.828297840000005</v>
      </c>
      <c r="F231">
        <v>2.1618971622222219E-2</v>
      </c>
      <c r="G231" s="92">
        <v>0.1726346937297914</v>
      </c>
    </row>
    <row r="232" spans="1:7" ht="15.75">
      <c r="A232" s="108" t="s">
        <v>24</v>
      </c>
      <c r="B232" s="3" t="s">
        <v>243</v>
      </c>
      <c r="C232" s="5" t="s">
        <v>243</v>
      </c>
      <c r="D232" s="7" t="s">
        <v>566</v>
      </c>
      <c r="E232">
        <v>1456.2343863030001</v>
      </c>
      <c r="F232">
        <v>0.40450955175083342</v>
      </c>
      <c r="G232" s="92">
        <v>0.28655302056221588</v>
      </c>
    </row>
    <row r="233" spans="1:7" ht="15.75">
      <c r="A233" s="108"/>
      <c r="B233" s="3" t="s">
        <v>244</v>
      </c>
      <c r="C233" s="5" t="s">
        <v>245</v>
      </c>
      <c r="D233" s="7" t="s">
        <v>567</v>
      </c>
      <c r="E233">
        <v>118.279421325</v>
      </c>
      <c r="F233">
        <v>3.2855394812500001E-2</v>
      </c>
      <c r="G233" s="92">
        <v>2.3274636123018669E-2</v>
      </c>
    </row>
    <row r="234" spans="1:7" ht="15.75">
      <c r="A234" s="108"/>
      <c r="B234" s="3" t="s">
        <v>245</v>
      </c>
      <c r="C234" s="5" t="s">
        <v>244</v>
      </c>
      <c r="D234" s="7" t="s">
        <v>568</v>
      </c>
      <c r="E234">
        <v>2000.951237218</v>
      </c>
      <c r="F234">
        <v>0.55581978811611099</v>
      </c>
      <c r="G234" s="92">
        <v>0.39374061374706298</v>
      </c>
    </row>
    <row r="235" spans="1:7" ht="15.75">
      <c r="A235" s="108"/>
      <c r="B235" s="3" t="s">
        <v>246</v>
      </c>
      <c r="C235" s="5" t="s">
        <v>246</v>
      </c>
      <c r="D235" s="7" t="s">
        <v>569</v>
      </c>
      <c r="E235">
        <v>1506.4370179760001</v>
      </c>
      <c r="F235">
        <v>0.41845472721555549</v>
      </c>
      <c r="G235" s="92">
        <v>0.29643172956770242</v>
      </c>
    </row>
    <row r="236" spans="1:7">
      <c r="A236" s="108"/>
      <c r="C236" s="5" t="s">
        <v>570</v>
      </c>
      <c r="D236" s="7" t="s">
        <v>571</v>
      </c>
    </row>
    <row r="237" spans="1:7" ht="15.75">
      <c r="A237" s="108" t="s">
        <v>25</v>
      </c>
      <c r="B237" s="3" t="s">
        <v>247</v>
      </c>
      <c r="C237" s="5" t="s">
        <v>247</v>
      </c>
      <c r="D237" s="7" t="s">
        <v>572</v>
      </c>
      <c r="E237">
        <v>95.674917009999987</v>
      </c>
      <c r="F237">
        <v>2.6576365836111109E-2</v>
      </c>
      <c r="G237" s="92">
        <v>1.5411661658184909E-2</v>
      </c>
    </row>
    <row r="238" spans="1:7" ht="15.75">
      <c r="A238" s="108"/>
      <c r="B238" s="3" t="s">
        <v>248</v>
      </c>
      <c r="C238" s="5" t="s">
        <v>248</v>
      </c>
      <c r="D238" s="7" t="s">
        <v>573</v>
      </c>
      <c r="E238">
        <v>1260.1725494550001</v>
      </c>
      <c r="F238">
        <v>0.35004793040416671</v>
      </c>
      <c r="G238" s="92">
        <v>0.20299315191569831</v>
      </c>
    </row>
    <row r="239" spans="1:7" ht="15.75">
      <c r="A239" s="108"/>
      <c r="B239" s="3" t="s">
        <v>249</v>
      </c>
      <c r="C239" s="5" t="s">
        <v>252</v>
      </c>
      <c r="D239" s="7" t="s">
        <v>574</v>
      </c>
      <c r="E239">
        <v>774.77157726700011</v>
      </c>
      <c r="F239">
        <v>0.21521432701861121</v>
      </c>
      <c r="G239" s="92">
        <v>0.1248030077723427</v>
      </c>
    </row>
    <row r="240" spans="1:7" ht="15.75">
      <c r="A240" s="108"/>
      <c r="B240" s="3" t="s">
        <v>250</v>
      </c>
      <c r="C240" s="5" t="s">
        <v>254</v>
      </c>
      <c r="D240" s="7" t="s">
        <v>575</v>
      </c>
      <c r="E240">
        <v>446.13967096800002</v>
      </c>
      <c r="F240">
        <v>0.12392768638</v>
      </c>
      <c r="G240" s="92">
        <v>7.1865791747006177E-2</v>
      </c>
    </row>
    <row r="241" spans="1:7" ht="15.75">
      <c r="A241" s="108"/>
      <c r="B241" s="3" t="s">
        <v>251</v>
      </c>
      <c r="C241" s="5" t="s">
        <v>251</v>
      </c>
      <c r="D241" s="7" t="s">
        <v>576</v>
      </c>
      <c r="E241">
        <v>383.97735099699997</v>
      </c>
      <c r="F241">
        <v>0.1066603752769444</v>
      </c>
      <c r="G241" s="92">
        <v>6.1852460424432362E-2</v>
      </c>
    </row>
    <row r="242" spans="1:7" ht="15.75">
      <c r="A242" s="108"/>
      <c r="B242" s="3" t="s">
        <v>252</v>
      </c>
      <c r="C242" s="5" t="s">
        <v>253</v>
      </c>
      <c r="D242" s="7" t="s">
        <v>577</v>
      </c>
      <c r="E242">
        <v>1632.9846137320001</v>
      </c>
      <c r="F242">
        <v>0.45360683714777772</v>
      </c>
      <c r="G242" s="92">
        <v>0.26304706757392737</v>
      </c>
    </row>
    <row r="243" spans="1:7" ht="15.75">
      <c r="A243" s="108"/>
      <c r="B243" s="3" t="s">
        <v>253</v>
      </c>
      <c r="C243" s="5" t="s">
        <v>250</v>
      </c>
      <c r="D243" s="7" t="s">
        <v>578</v>
      </c>
      <c r="E243">
        <v>914.07068124</v>
      </c>
      <c r="F243">
        <v>0.25390852256666668</v>
      </c>
      <c r="G243" s="92">
        <v>0.14724181124155089</v>
      </c>
    </row>
    <row r="244" spans="1:7" ht="15.75">
      <c r="A244" s="108"/>
      <c r="B244" s="3" t="s">
        <v>254</v>
      </c>
      <c r="C244" s="5" t="s">
        <v>249</v>
      </c>
      <c r="D244" s="7" t="s">
        <v>579</v>
      </c>
      <c r="E244">
        <v>700.16461007400005</v>
      </c>
      <c r="F244">
        <v>0.194490169465</v>
      </c>
      <c r="G244" s="92">
        <v>0.11278504766685719</v>
      </c>
    </row>
    <row r="245" spans="1:7" ht="15.75">
      <c r="A245" s="108" t="s">
        <v>26</v>
      </c>
      <c r="B245" s="3" t="s">
        <v>255</v>
      </c>
      <c r="C245" s="5" t="s">
        <v>294</v>
      </c>
      <c r="D245" s="7" t="s">
        <v>580</v>
      </c>
      <c r="E245">
        <v>0</v>
      </c>
      <c r="F245">
        <v>0</v>
      </c>
      <c r="G245" s="92">
        <v>0</v>
      </c>
    </row>
    <row r="246" spans="1:7" ht="15.75">
      <c r="A246" s="108"/>
      <c r="B246" s="3" t="s">
        <v>256</v>
      </c>
      <c r="C246" s="5" t="s">
        <v>268</v>
      </c>
      <c r="D246" s="7" t="s">
        <v>581</v>
      </c>
      <c r="E246">
        <v>0.97676781999999995</v>
      </c>
      <c r="F246">
        <v>2.7132439444444443E-4</v>
      </c>
      <c r="G246" s="92">
        <v>1.943847130204065E-3</v>
      </c>
    </row>
    <row r="247" spans="1:7" ht="15.75">
      <c r="A247" s="108"/>
      <c r="B247" s="3" t="s">
        <v>257</v>
      </c>
      <c r="C247" s="5" t="s">
        <v>280</v>
      </c>
      <c r="D247" s="7" t="s">
        <v>582</v>
      </c>
      <c r="E247">
        <v>51.177986967999999</v>
      </c>
      <c r="F247">
        <v>1.4216107491111111E-2</v>
      </c>
      <c r="G247" s="92">
        <v>0.10184834211406329</v>
      </c>
    </row>
    <row r="248" spans="1:7" ht="15.75">
      <c r="A248" s="108"/>
      <c r="B248" s="3" t="s">
        <v>258</v>
      </c>
      <c r="C248" s="5" t="s">
        <v>270</v>
      </c>
      <c r="D248" s="7" t="s">
        <v>583</v>
      </c>
      <c r="E248">
        <v>56.362873202999992</v>
      </c>
      <c r="F248">
        <v>1.5656353667500001E-2</v>
      </c>
      <c r="G248" s="92">
        <v>0.1121666859640269</v>
      </c>
    </row>
    <row r="249" spans="1:7" ht="15.75">
      <c r="A249" s="108"/>
      <c r="B249" s="3" t="s">
        <v>259</v>
      </c>
      <c r="C249" s="5" t="s">
        <v>285</v>
      </c>
      <c r="D249" s="7" t="s">
        <v>584</v>
      </c>
      <c r="E249">
        <v>34.869612901000004</v>
      </c>
      <c r="F249">
        <v>9.6860035836111094E-3</v>
      </c>
      <c r="G249" s="92">
        <v>6.9393355904103685E-2</v>
      </c>
    </row>
    <row r="250" spans="1:7" ht="15.75">
      <c r="A250" s="108"/>
      <c r="B250" s="3" t="s">
        <v>260</v>
      </c>
      <c r="C250" s="5" t="s">
        <v>264</v>
      </c>
      <c r="D250" s="7" t="s">
        <v>585</v>
      </c>
      <c r="E250">
        <v>0</v>
      </c>
      <c r="F250">
        <v>0</v>
      </c>
      <c r="G250" s="92">
        <v>0</v>
      </c>
    </row>
    <row r="251" spans="1:7" ht="15.75">
      <c r="A251" s="108"/>
      <c r="B251" s="3" t="s">
        <v>261</v>
      </c>
      <c r="C251" s="5" t="s">
        <v>269</v>
      </c>
      <c r="D251" s="7" t="s">
        <v>586</v>
      </c>
      <c r="E251">
        <v>0</v>
      </c>
      <c r="F251">
        <v>0</v>
      </c>
      <c r="G251" s="92">
        <v>0</v>
      </c>
    </row>
    <row r="252" spans="1:7" ht="30">
      <c r="A252" s="108"/>
      <c r="B252" s="3" t="s">
        <v>262</v>
      </c>
      <c r="C252" s="5" t="s">
        <v>277</v>
      </c>
      <c r="D252" s="7" t="s">
        <v>587</v>
      </c>
      <c r="E252">
        <v>0</v>
      </c>
      <c r="F252">
        <v>0</v>
      </c>
      <c r="G252" s="92">
        <v>0</v>
      </c>
    </row>
    <row r="253" spans="1:7" ht="15.75">
      <c r="A253" s="108"/>
      <c r="B253" s="3" t="s">
        <v>263</v>
      </c>
      <c r="C253" s="5" t="s">
        <v>295</v>
      </c>
      <c r="D253" s="7" t="s">
        <v>588</v>
      </c>
      <c r="E253">
        <v>0</v>
      </c>
      <c r="F253">
        <v>0</v>
      </c>
      <c r="G253" s="92">
        <v>0</v>
      </c>
    </row>
    <row r="254" spans="1:7" ht="15.75">
      <c r="A254" s="108"/>
      <c r="B254" s="3" t="s">
        <v>264</v>
      </c>
      <c r="C254" s="5" t="s">
        <v>266</v>
      </c>
      <c r="D254" s="7" t="s">
        <v>589</v>
      </c>
      <c r="E254">
        <v>0</v>
      </c>
      <c r="F254">
        <v>0</v>
      </c>
      <c r="G254" s="92">
        <v>0</v>
      </c>
    </row>
    <row r="255" spans="1:7" ht="15.75">
      <c r="A255" s="108"/>
      <c r="B255" s="3" t="s">
        <v>265</v>
      </c>
      <c r="C255" s="5" t="s">
        <v>263</v>
      </c>
      <c r="D255" s="7" t="s">
        <v>590</v>
      </c>
      <c r="E255">
        <v>1.3988479739999999</v>
      </c>
      <c r="F255">
        <v>3.885688816666667E-4</v>
      </c>
      <c r="G255" s="92">
        <v>2.783820846853525E-3</v>
      </c>
    </row>
    <row r="256" spans="1:7" ht="15.75">
      <c r="A256" s="108"/>
      <c r="B256" s="3" t="s">
        <v>266</v>
      </c>
      <c r="C256" s="5" t="s">
        <v>279</v>
      </c>
      <c r="D256" s="7" t="s">
        <v>591</v>
      </c>
      <c r="E256">
        <v>4.4240436189999999</v>
      </c>
      <c r="F256">
        <v>1.2289010052777779E-3</v>
      </c>
      <c r="G256" s="92">
        <v>8.8042053767606269E-3</v>
      </c>
    </row>
    <row r="257" spans="1:7" ht="30">
      <c r="A257" s="108"/>
      <c r="B257" s="3" t="s">
        <v>267</v>
      </c>
      <c r="C257" s="5" t="s">
        <v>272</v>
      </c>
      <c r="D257" s="7" t="s">
        <v>592</v>
      </c>
      <c r="E257">
        <v>9.9270750000000003</v>
      </c>
      <c r="F257">
        <v>2.757520833333334E-3</v>
      </c>
      <c r="G257" s="92">
        <v>1.9755683853375231E-2</v>
      </c>
    </row>
    <row r="258" spans="1:7" ht="15.75">
      <c r="A258" s="108"/>
      <c r="B258" s="3" t="s">
        <v>268</v>
      </c>
      <c r="C258" s="5" t="s">
        <v>271</v>
      </c>
      <c r="D258" s="7" t="s">
        <v>593</v>
      </c>
      <c r="E258">
        <v>0</v>
      </c>
      <c r="F258">
        <v>0</v>
      </c>
      <c r="G258" s="92">
        <v>0</v>
      </c>
    </row>
    <row r="259" spans="1:7" ht="30">
      <c r="A259" s="108"/>
      <c r="B259" s="3" t="s">
        <v>269</v>
      </c>
      <c r="C259" s="5" t="s">
        <v>275</v>
      </c>
      <c r="D259" s="7" t="s">
        <v>594</v>
      </c>
      <c r="E259">
        <v>0</v>
      </c>
      <c r="F259">
        <v>0</v>
      </c>
      <c r="G259" s="92">
        <v>0</v>
      </c>
    </row>
    <row r="260" spans="1:7" ht="15.75">
      <c r="A260" s="108"/>
      <c r="B260" s="3" t="s">
        <v>270</v>
      </c>
      <c r="C260" s="5" t="s">
        <v>267</v>
      </c>
      <c r="D260" s="7" t="s">
        <v>595</v>
      </c>
      <c r="E260">
        <v>0</v>
      </c>
      <c r="F260">
        <v>0</v>
      </c>
      <c r="G260" s="92">
        <v>0</v>
      </c>
    </row>
    <row r="261" spans="1:7" ht="15.75">
      <c r="A261" s="108"/>
      <c r="B261" s="3" t="s">
        <v>271</v>
      </c>
      <c r="C261" s="5" t="s">
        <v>274</v>
      </c>
      <c r="D261" s="7" t="s">
        <v>596</v>
      </c>
      <c r="E261">
        <v>20.666440473000002</v>
      </c>
      <c r="F261">
        <v>5.7406779091666669E-3</v>
      </c>
      <c r="G261" s="92">
        <v>4.1127891585304471E-2</v>
      </c>
    </row>
    <row r="262" spans="1:7" ht="15.75">
      <c r="A262" s="108"/>
      <c r="B262" s="3" t="s">
        <v>272</v>
      </c>
      <c r="C262" s="5" t="s">
        <v>282</v>
      </c>
      <c r="D262" s="7" t="s">
        <v>597</v>
      </c>
      <c r="E262">
        <v>66.471704900999995</v>
      </c>
      <c r="F262">
        <v>1.8464362472499999E-2</v>
      </c>
      <c r="G262" s="92">
        <v>0.13228408037805781</v>
      </c>
    </row>
    <row r="263" spans="1:7" ht="15.75">
      <c r="A263" s="108"/>
      <c r="B263" s="3" t="s">
        <v>273</v>
      </c>
      <c r="C263" s="5" t="s">
        <v>287</v>
      </c>
      <c r="D263" s="7" t="s">
        <v>598</v>
      </c>
      <c r="E263">
        <v>0</v>
      </c>
      <c r="F263">
        <v>0</v>
      </c>
      <c r="G263" s="92">
        <v>0</v>
      </c>
    </row>
    <row r="264" spans="1:7" ht="15.75">
      <c r="A264" s="108"/>
      <c r="B264" s="3" t="s">
        <v>274</v>
      </c>
      <c r="C264" s="5" t="s">
        <v>265</v>
      </c>
      <c r="D264" s="7" t="s">
        <v>599</v>
      </c>
      <c r="E264">
        <v>0</v>
      </c>
      <c r="F264">
        <v>0</v>
      </c>
      <c r="G264" s="92">
        <v>0</v>
      </c>
    </row>
    <row r="265" spans="1:7" ht="15.75">
      <c r="A265" s="108"/>
      <c r="B265" s="3" t="s">
        <v>275</v>
      </c>
      <c r="C265" s="5" t="s">
        <v>293</v>
      </c>
      <c r="D265" s="7" t="s">
        <v>600</v>
      </c>
      <c r="E265">
        <v>0</v>
      </c>
      <c r="F265">
        <v>0</v>
      </c>
      <c r="G265" s="92">
        <v>0</v>
      </c>
    </row>
    <row r="266" spans="1:7" ht="15.75">
      <c r="A266" s="108"/>
      <c r="B266" s="3" t="s">
        <v>276</v>
      </c>
      <c r="C266" s="5" t="s">
        <v>292</v>
      </c>
      <c r="D266" s="7" t="s">
        <v>601</v>
      </c>
      <c r="E266">
        <v>0</v>
      </c>
      <c r="F266">
        <v>0</v>
      </c>
      <c r="G266" s="92">
        <v>0</v>
      </c>
    </row>
    <row r="267" spans="1:7" ht="15.75">
      <c r="A267" s="108"/>
      <c r="B267" s="3" t="s">
        <v>277</v>
      </c>
      <c r="C267" s="5" t="s">
        <v>291</v>
      </c>
      <c r="D267" s="7" t="s">
        <v>602</v>
      </c>
      <c r="E267">
        <v>0</v>
      </c>
      <c r="F267">
        <v>0</v>
      </c>
      <c r="G267" s="92">
        <v>0</v>
      </c>
    </row>
    <row r="268" spans="1:7" ht="15.75">
      <c r="A268" s="108"/>
      <c r="B268" s="3" t="s">
        <v>278</v>
      </c>
      <c r="C268" s="5" t="s">
        <v>290</v>
      </c>
      <c r="D268" s="7" t="s">
        <v>603</v>
      </c>
      <c r="E268">
        <v>0</v>
      </c>
      <c r="F268">
        <v>0</v>
      </c>
      <c r="G268" s="92">
        <v>0</v>
      </c>
    </row>
    <row r="269" spans="1:7" ht="30">
      <c r="A269" s="108"/>
      <c r="B269" s="3" t="s">
        <v>279</v>
      </c>
      <c r="C269" s="5" t="s">
        <v>289</v>
      </c>
      <c r="D269" s="7" t="s">
        <v>604</v>
      </c>
      <c r="E269">
        <v>0</v>
      </c>
      <c r="F269">
        <v>0</v>
      </c>
      <c r="G269" s="92">
        <v>0</v>
      </c>
    </row>
    <row r="270" spans="1:7" ht="30">
      <c r="A270" s="108"/>
      <c r="B270" s="3" t="s">
        <v>280</v>
      </c>
      <c r="C270" s="5" t="s">
        <v>286</v>
      </c>
      <c r="D270" s="7" t="s">
        <v>605</v>
      </c>
      <c r="E270">
        <v>0</v>
      </c>
      <c r="F270">
        <v>0</v>
      </c>
      <c r="G270" s="92">
        <v>0</v>
      </c>
    </row>
    <row r="271" spans="1:7" ht="15.75">
      <c r="A271" s="108"/>
      <c r="B271" s="3" t="s">
        <v>281</v>
      </c>
      <c r="C271" s="5" t="s">
        <v>283</v>
      </c>
      <c r="D271" s="7" t="s">
        <v>606</v>
      </c>
      <c r="E271">
        <v>0</v>
      </c>
      <c r="F271">
        <v>0</v>
      </c>
      <c r="G271" s="92">
        <v>0</v>
      </c>
    </row>
    <row r="272" spans="1:7" ht="15.75">
      <c r="A272" s="108"/>
      <c r="B272" s="3" t="s">
        <v>282</v>
      </c>
      <c r="C272" s="5" t="s">
        <v>276</v>
      </c>
      <c r="D272" s="7" t="s">
        <v>607</v>
      </c>
      <c r="E272">
        <v>0.81400680000000003</v>
      </c>
      <c r="F272">
        <v>2.2611300000000001E-4</v>
      </c>
      <c r="G272" s="92">
        <v>1.6199395083947321E-3</v>
      </c>
    </row>
    <row r="273" spans="1:8" ht="15.75">
      <c r="A273" s="108"/>
      <c r="B273" s="3" t="s">
        <v>283</v>
      </c>
      <c r="C273" s="5" t="s">
        <v>273</v>
      </c>
      <c r="D273" s="7" t="s">
        <v>608</v>
      </c>
      <c r="E273">
        <v>109.99233630400001</v>
      </c>
      <c r="F273">
        <v>3.0553426751111119E-2</v>
      </c>
      <c r="G273" s="92">
        <v>0.21889366427834489</v>
      </c>
    </row>
    <row r="274" spans="1:8" ht="19.5" customHeight="1">
      <c r="A274" s="108"/>
      <c r="B274" s="3" t="s">
        <v>284</v>
      </c>
      <c r="C274" s="5" t="s">
        <v>288</v>
      </c>
      <c r="D274" s="7" t="s">
        <v>609</v>
      </c>
      <c r="E274">
        <v>4.2916379999999998</v>
      </c>
      <c r="F274">
        <v>1.1921216666666669E-3</v>
      </c>
      <c r="G274" s="92">
        <v>8.5407074632891915E-3</v>
      </c>
    </row>
    <row r="275" spans="1:8" ht="15.75">
      <c r="A275" s="108"/>
      <c r="B275" s="3" t="s">
        <v>285</v>
      </c>
      <c r="C275" s="5" t="s">
        <v>284</v>
      </c>
      <c r="D275" s="7" t="s">
        <v>610</v>
      </c>
      <c r="E275">
        <v>9.5462290840000001</v>
      </c>
      <c r="F275">
        <v>2.651730301111111E-3</v>
      </c>
      <c r="G275" s="92">
        <v>1.8997769612438691E-2</v>
      </c>
    </row>
    <row r="276" spans="1:8" ht="15.75">
      <c r="A276" s="108"/>
      <c r="B276" s="3" t="s">
        <v>286</v>
      </c>
      <c r="C276" s="5" t="s">
        <v>281</v>
      </c>
      <c r="D276" s="7" t="s">
        <v>611</v>
      </c>
      <c r="E276">
        <v>0</v>
      </c>
      <c r="F276">
        <v>0</v>
      </c>
      <c r="G276" s="92">
        <v>0</v>
      </c>
    </row>
    <row r="277" spans="1:8" ht="15.75">
      <c r="A277" s="108"/>
      <c r="B277" s="3" t="s">
        <v>287</v>
      </c>
      <c r="C277" s="5" t="s">
        <v>278</v>
      </c>
      <c r="D277" s="7" t="s">
        <v>612</v>
      </c>
      <c r="E277">
        <v>8.3524172829999994</v>
      </c>
      <c r="F277">
        <v>2.3201159119444442E-3</v>
      </c>
      <c r="G277" s="92">
        <v>1.6621987368325038E-2</v>
      </c>
    </row>
    <row r="278" spans="1:8" ht="15.75">
      <c r="A278" s="108"/>
      <c r="B278" s="3" t="s">
        <v>288</v>
      </c>
      <c r="C278" s="5" t="s">
        <v>255</v>
      </c>
      <c r="D278" s="7" t="s">
        <v>613</v>
      </c>
      <c r="E278">
        <v>15.221515</v>
      </c>
      <c r="F278">
        <v>4.2281986111111112E-3</v>
      </c>
      <c r="G278" s="92">
        <v>3.029204857517535E-2</v>
      </c>
    </row>
    <row r="279" spans="1:8" ht="15.75">
      <c r="A279" s="108"/>
      <c r="B279" s="3" t="s">
        <v>289</v>
      </c>
      <c r="C279" s="5" t="s">
        <v>256</v>
      </c>
      <c r="D279" s="7" t="s">
        <v>614</v>
      </c>
      <c r="E279">
        <v>53.776273244000002</v>
      </c>
      <c r="F279">
        <v>1.493785367888889E-2</v>
      </c>
      <c r="G279" s="92">
        <v>0.10701914239805629</v>
      </c>
    </row>
    <row r="280" spans="1:8" ht="15.75">
      <c r="A280" s="108"/>
      <c r="B280" s="3" t="s">
        <v>290</v>
      </c>
      <c r="C280" s="5" t="s">
        <v>261</v>
      </c>
      <c r="D280" s="7" t="s">
        <v>615</v>
      </c>
      <c r="E280">
        <v>8.2610399999999995</v>
      </c>
      <c r="F280">
        <v>2.2947333333333329E-3</v>
      </c>
      <c r="G280" s="92">
        <v>1.6440139168897871E-2</v>
      </c>
    </row>
    <row r="281" spans="1:8" ht="15.75">
      <c r="A281" s="108"/>
      <c r="B281" s="3" t="s">
        <v>291</v>
      </c>
      <c r="C281" s="5" t="s">
        <v>259</v>
      </c>
      <c r="D281" s="7" t="s">
        <v>616</v>
      </c>
      <c r="E281">
        <v>0</v>
      </c>
      <c r="F281">
        <v>0</v>
      </c>
      <c r="G281" s="92">
        <v>0</v>
      </c>
    </row>
    <row r="282" spans="1:8" ht="15.75">
      <c r="A282" s="108"/>
      <c r="B282" s="3" t="s">
        <v>292</v>
      </c>
      <c r="C282" s="5" t="s">
        <v>260</v>
      </c>
      <c r="D282" s="7" t="s">
        <v>617</v>
      </c>
      <c r="E282">
        <v>2.0635501440000001</v>
      </c>
      <c r="F282">
        <v>5.732083733333334E-4</v>
      </c>
      <c r="G282" s="92">
        <v>4.1066320401982387E-3</v>
      </c>
    </row>
    <row r="283" spans="1:8" ht="15.75">
      <c r="A283" s="108"/>
      <c r="B283" s="3" t="s">
        <v>293</v>
      </c>
      <c r="C283" s="5" t="s">
        <v>258</v>
      </c>
      <c r="D283" s="7" t="s">
        <v>618</v>
      </c>
      <c r="E283">
        <v>0</v>
      </c>
      <c r="F283">
        <v>0</v>
      </c>
      <c r="G283" s="92">
        <v>0</v>
      </c>
    </row>
    <row r="284" spans="1:8" ht="15.75">
      <c r="A284" s="108"/>
      <c r="B284" s="3" t="s">
        <v>294</v>
      </c>
      <c r="C284" s="5" t="s">
        <v>257</v>
      </c>
      <c r="D284" s="7" t="s">
        <v>619</v>
      </c>
      <c r="E284">
        <v>43.897737919999997</v>
      </c>
      <c r="F284">
        <v>1.2193816088888891E-2</v>
      </c>
      <c r="G284" s="92">
        <v>8.7360056434130029E-2</v>
      </c>
    </row>
    <row r="285" spans="1:8" ht="15.75">
      <c r="A285" s="108"/>
      <c r="B285" s="3" t="s">
        <v>295</v>
      </c>
      <c r="C285" s="5" t="s">
        <v>262</v>
      </c>
      <c r="D285" s="7" t="s">
        <v>620</v>
      </c>
      <c r="E285">
        <v>0</v>
      </c>
      <c r="F285">
        <v>0</v>
      </c>
      <c r="G285" s="92">
        <v>0</v>
      </c>
    </row>
    <row r="286" spans="1:8">
      <c r="A286" s="108" t="s">
        <v>27</v>
      </c>
      <c r="B286" s="3" t="s">
        <v>296</v>
      </c>
      <c r="C286" s="12" t="s">
        <v>298</v>
      </c>
      <c r="D286" s="11" t="s">
        <v>629</v>
      </c>
      <c r="G286" s="90">
        <f t="shared" ref="G286:G303" si="1">1/ROWS(C286:C292)</f>
        <v>0.14285714285714285</v>
      </c>
      <c r="H286" s="3" t="s">
        <v>950</v>
      </c>
    </row>
    <row r="287" spans="1:8">
      <c r="A287" s="108"/>
      <c r="B287" s="3" t="s">
        <v>297</v>
      </c>
      <c r="C287" s="11" t="s">
        <v>297</v>
      </c>
      <c r="D287" s="11" t="s">
        <v>630</v>
      </c>
      <c r="G287" s="90">
        <f t="shared" si="1"/>
        <v>0.14285714285714285</v>
      </c>
      <c r="H287" s="3" t="s">
        <v>950</v>
      </c>
    </row>
    <row r="288" spans="1:8">
      <c r="A288" s="108"/>
      <c r="B288" s="3" t="s">
        <v>298</v>
      </c>
      <c r="C288" s="11" t="s">
        <v>299</v>
      </c>
      <c r="D288" s="11" t="s">
        <v>631</v>
      </c>
      <c r="G288" s="90">
        <f t="shared" si="1"/>
        <v>0.14285714285714285</v>
      </c>
      <c r="H288" s="3" t="s">
        <v>950</v>
      </c>
    </row>
    <row r="289" spans="1:8">
      <c r="A289" s="108"/>
      <c r="B289" s="3" t="s">
        <v>299</v>
      </c>
      <c r="C289" s="5" t="s">
        <v>625</v>
      </c>
      <c r="D289" s="11" t="s">
        <v>632</v>
      </c>
      <c r="G289" s="90">
        <f t="shared" si="1"/>
        <v>0.14285714285714285</v>
      </c>
      <c r="H289" s="3" t="s">
        <v>950</v>
      </c>
    </row>
    <row r="290" spans="1:8">
      <c r="A290" s="108"/>
      <c r="B290" s="3" t="s">
        <v>300</v>
      </c>
      <c r="C290" s="12" t="s">
        <v>626</v>
      </c>
      <c r="D290" s="11" t="s">
        <v>633</v>
      </c>
      <c r="G290" s="90">
        <f t="shared" si="1"/>
        <v>0.14285714285714285</v>
      </c>
      <c r="H290" s="3" t="s">
        <v>950</v>
      </c>
    </row>
    <row r="291" spans="1:8">
      <c r="A291" s="108"/>
      <c r="B291" s="3" t="s">
        <v>301</v>
      </c>
      <c r="C291" s="12" t="s">
        <v>627</v>
      </c>
      <c r="D291" s="11" t="s">
        <v>634</v>
      </c>
      <c r="G291" s="90">
        <f t="shared" si="1"/>
        <v>0.14285714285714285</v>
      </c>
      <c r="H291" s="3" t="s">
        <v>950</v>
      </c>
    </row>
    <row r="292" spans="1:8">
      <c r="A292" s="108"/>
      <c r="B292" s="3" t="s">
        <v>302</v>
      </c>
      <c r="C292" s="12" t="s">
        <v>628</v>
      </c>
      <c r="D292" s="11" t="s">
        <v>635</v>
      </c>
      <c r="G292" s="90">
        <f t="shared" si="1"/>
        <v>0.14285714285714285</v>
      </c>
      <c r="H292" s="3" t="s">
        <v>950</v>
      </c>
    </row>
    <row r="293" spans="1:8">
      <c r="A293" s="108"/>
      <c r="C293" s="12" t="s">
        <v>302</v>
      </c>
      <c r="D293" s="11"/>
      <c r="G293" s="8">
        <f>G289*1.3/2.3</f>
        <v>8.0745341614906846E-2</v>
      </c>
    </row>
    <row r="294" spans="1:8">
      <c r="A294" s="108"/>
      <c r="C294" s="12" t="s">
        <v>301</v>
      </c>
      <c r="D294" s="11"/>
      <c r="G294" s="8">
        <f>G289*1/2.3</f>
        <v>6.2111801242236024E-2</v>
      </c>
    </row>
    <row r="295" spans="1:8">
      <c r="A295" s="108"/>
      <c r="C295" s="12" t="s">
        <v>300</v>
      </c>
      <c r="D295" s="11"/>
      <c r="G295" s="8">
        <f>G290</f>
        <v>0.14285714285714285</v>
      </c>
    </row>
    <row r="296" spans="1:8">
      <c r="A296" s="108"/>
      <c r="C296" s="12" t="s">
        <v>296</v>
      </c>
      <c r="D296" s="11"/>
      <c r="G296" s="8">
        <f>G291</f>
        <v>0.14285714285714285</v>
      </c>
    </row>
    <row r="297" spans="1:8">
      <c r="A297" s="108" t="s">
        <v>636</v>
      </c>
      <c r="B297" s="3" t="s">
        <v>303</v>
      </c>
      <c r="C297" s="12" t="s">
        <v>305</v>
      </c>
      <c r="D297" s="12" t="s">
        <v>637</v>
      </c>
      <c r="G297" s="90">
        <f t="shared" si="1"/>
        <v>0.14285714285714285</v>
      </c>
      <c r="H297" s="3" t="s">
        <v>950</v>
      </c>
    </row>
    <row r="298" spans="1:8">
      <c r="A298" s="108"/>
      <c r="B298" s="3" t="s">
        <v>304</v>
      </c>
      <c r="C298" s="12" t="s">
        <v>307</v>
      </c>
      <c r="D298" s="12" t="s">
        <v>638</v>
      </c>
      <c r="G298" s="90">
        <f t="shared" si="1"/>
        <v>0.14285714285714285</v>
      </c>
      <c r="H298" s="3" t="s">
        <v>950</v>
      </c>
    </row>
    <row r="299" spans="1:8">
      <c r="A299" s="108"/>
      <c r="B299" s="3" t="s">
        <v>305</v>
      </c>
      <c r="C299" s="12" t="s">
        <v>309</v>
      </c>
      <c r="D299" s="12" t="s">
        <v>639</v>
      </c>
      <c r="G299" s="90">
        <f t="shared" si="1"/>
        <v>0.14285714285714285</v>
      </c>
      <c r="H299" s="3" t="s">
        <v>950</v>
      </c>
    </row>
    <row r="300" spans="1:8">
      <c r="A300" s="108"/>
      <c r="B300" s="3" t="s">
        <v>306</v>
      </c>
      <c r="C300" s="12" t="s">
        <v>303</v>
      </c>
      <c r="D300" s="12" t="s">
        <v>640</v>
      </c>
      <c r="G300" s="90">
        <f t="shared" si="1"/>
        <v>0.14285714285714285</v>
      </c>
      <c r="H300" s="3" t="s">
        <v>950</v>
      </c>
    </row>
    <row r="301" spans="1:8">
      <c r="A301" s="108"/>
      <c r="B301" s="3" t="s">
        <v>307</v>
      </c>
      <c r="C301" s="12" t="s">
        <v>308</v>
      </c>
      <c r="D301" s="12" t="s">
        <v>641</v>
      </c>
      <c r="G301" s="90">
        <f t="shared" si="1"/>
        <v>0.14285714285714285</v>
      </c>
      <c r="H301" s="3" t="s">
        <v>950</v>
      </c>
    </row>
    <row r="302" spans="1:8">
      <c r="A302" s="108"/>
      <c r="B302" s="3" t="s">
        <v>308</v>
      </c>
      <c r="C302" s="12" t="s">
        <v>304</v>
      </c>
      <c r="D302" s="12" t="s">
        <v>642</v>
      </c>
      <c r="G302" s="90">
        <f t="shared" si="1"/>
        <v>0.14285714285714285</v>
      </c>
      <c r="H302" s="3" t="s">
        <v>950</v>
      </c>
    </row>
    <row r="303" spans="1:8">
      <c r="A303" s="108"/>
      <c r="B303" s="3" t="s">
        <v>309</v>
      </c>
      <c r="C303" s="12" t="s">
        <v>306</v>
      </c>
      <c r="D303" s="12" t="s">
        <v>643</v>
      </c>
      <c r="G303" s="90">
        <f t="shared" si="1"/>
        <v>0.14285714285714285</v>
      </c>
      <c r="H303" s="3" t="s">
        <v>950</v>
      </c>
    </row>
    <row r="304" spans="1:8">
      <c r="A304" s="26" t="s">
        <v>28</v>
      </c>
      <c r="B304" s="3" t="s">
        <v>310</v>
      </c>
      <c r="C304" s="28" t="s">
        <v>310</v>
      </c>
      <c r="D304" s="28" t="s">
        <v>644</v>
      </c>
      <c r="G304" s="90">
        <v>1</v>
      </c>
      <c r="H304" s="3" t="s">
        <v>950</v>
      </c>
    </row>
    <row r="305" spans="1:8">
      <c r="A305" s="24" t="s">
        <v>29</v>
      </c>
      <c r="B305" s="3" t="s">
        <v>311</v>
      </c>
      <c r="C305" s="11" t="s">
        <v>311</v>
      </c>
      <c r="D305" s="7" t="s">
        <v>645</v>
      </c>
      <c r="G305" s="90">
        <v>1</v>
      </c>
      <c r="H305" s="3" t="s">
        <v>950</v>
      </c>
    </row>
    <row r="306" spans="1:8">
      <c r="A306" s="108" t="s">
        <v>30</v>
      </c>
      <c r="B306" s="3" t="s">
        <v>35</v>
      </c>
      <c r="C306" s="11" t="s">
        <v>33</v>
      </c>
      <c r="D306" s="11" t="s">
        <v>646</v>
      </c>
      <c r="G306" s="90">
        <f>1/ROWS(C306:C308)</f>
        <v>0.33333333333333331</v>
      </c>
      <c r="H306" s="3" t="s">
        <v>950</v>
      </c>
    </row>
    <row r="307" spans="1:8">
      <c r="A307" s="108"/>
      <c r="B307" s="3" t="s">
        <v>34</v>
      </c>
      <c r="C307" s="11" t="s">
        <v>34</v>
      </c>
      <c r="D307" s="11" t="s">
        <v>647</v>
      </c>
      <c r="G307" s="90">
        <f>1/ROWS(C307:C309)</f>
        <v>0.33333333333333331</v>
      </c>
      <c r="H307" s="3" t="s">
        <v>950</v>
      </c>
    </row>
    <row r="308" spans="1:8">
      <c r="A308" s="108"/>
      <c r="B308" s="3" t="s">
        <v>33</v>
      </c>
      <c r="C308" s="11" t="s">
        <v>35</v>
      </c>
      <c r="D308" s="11" t="s">
        <v>648</v>
      </c>
      <c r="G308" s="90">
        <f>1/ROWS(C308:C310)</f>
        <v>0.33333333333333331</v>
      </c>
      <c r="H308" s="3" t="s">
        <v>950</v>
      </c>
    </row>
    <row r="309" spans="1:8">
      <c r="A309" s="108" t="s">
        <v>31</v>
      </c>
      <c r="B309" s="3" t="s">
        <v>312</v>
      </c>
      <c r="C309" s="11" t="s">
        <v>315</v>
      </c>
      <c r="D309" s="11" t="s">
        <v>649</v>
      </c>
      <c r="G309" s="90">
        <f>1/ROWS(C309:C312)</f>
        <v>0.25</v>
      </c>
      <c r="H309" s="3" t="s">
        <v>950</v>
      </c>
    </row>
    <row r="310" spans="1:8">
      <c r="A310" s="108"/>
      <c r="B310" s="3" t="s">
        <v>313</v>
      </c>
      <c r="C310" s="11" t="s">
        <v>314</v>
      </c>
      <c r="D310" s="11" t="s">
        <v>650</v>
      </c>
      <c r="G310" s="90">
        <f>1/ROWS(C310:C313)</f>
        <v>0.25</v>
      </c>
      <c r="H310" s="3" t="s">
        <v>950</v>
      </c>
    </row>
    <row r="311" spans="1:8">
      <c r="A311" s="108"/>
      <c r="B311" s="3" t="s">
        <v>314</v>
      </c>
      <c r="C311" s="11" t="s">
        <v>313</v>
      </c>
      <c r="D311" s="7" t="s">
        <v>651</v>
      </c>
      <c r="G311" s="90">
        <f>1/ROWS(C311:C314)</f>
        <v>0.25</v>
      </c>
      <c r="H311" s="3" t="s">
        <v>950</v>
      </c>
    </row>
    <row r="312" spans="1:8">
      <c r="A312" s="108"/>
      <c r="B312" s="3" t="s">
        <v>315</v>
      </c>
      <c r="C312" s="11" t="s">
        <v>312</v>
      </c>
      <c r="D312" s="7" t="s">
        <v>652</v>
      </c>
      <c r="G312" s="90">
        <f>1/ROWS(C312:C315)</f>
        <v>0.25</v>
      </c>
      <c r="H312" s="3" t="s">
        <v>950</v>
      </c>
    </row>
    <row r="313" spans="1:8">
      <c r="A313" s="26" t="s">
        <v>32</v>
      </c>
      <c r="B313" s="3" t="s">
        <v>5018</v>
      </c>
      <c r="C313" s="11" t="s">
        <v>5018</v>
      </c>
      <c r="G313" s="90">
        <v>1</v>
      </c>
      <c r="H313" s="3" t="s">
        <v>950</v>
      </c>
    </row>
    <row r="314" spans="1:8">
      <c r="A314" s="26" t="s">
        <v>654</v>
      </c>
      <c r="B314" s="3" t="s">
        <v>656</v>
      </c>
      <c r="C314" s="11" t="s">
        <v>656</v>
      </c>
      <c r="D314" s="3" t="s">
        <v>654</v>
      </c>
      <c r="G314" s="90">
        <v>1</v>
      </c>
      <c r="H314" s="3" t="s">
        <v>950</v>
      </c>
    </row>
    <row r="315" spans="1:8">
      <c r="A315" s="97" t="s">
        <v>2150</v>
      </c>
      <c r="C315" s="11" t="s">
        <v>655</v>
      </c>
      <c r="D315" s="3" t="s">
        <v>653</v>
      </c>
      <c r="G315" s="90">
        <v>1</v>
      </c>
      <c r="H315" s="3" t="s">
        <v>950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5"/>
  <sheetViews>
    <sheetView zoomScale="70" zoomScaleNormal="70" workbookViewId="0">
      <selection activeCell="G9" sqref="G9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4.125" style="3" hidden="1" customWidth="1"/>
    <col min="5" max="5" width="29.875" style="3" hidden="1" customWidth="1"/>
    <col min="6" max="6" width="21" style="3" bestFit="1" customWidth="1"/>
    <col min="7" max="7" width="21" style="3" customWidth="1"/>
    <col min="8" max="8" width="22.5" style="8" customWidth="1"/>
    <col min="9" max="9" width="24" style="8" bestFit="1" customWidth="1"/>
    <col min="10" max="10" width="16.875" style="3" bestFit="1" customWidth="1"/>
    <col min="11" max="11" width="20.625" style="3" bestFit="1" customWidth="1"/>
    <col min="12" max="16384" width="10.875" style="3"/>
  </cols>
  <sheetData>
    <row r="1" spans="1:12">
      <c r="A1" s="22" t="s">
        <v>0</v>
      </c>
      <c r="B1" s="22" t="s">
        <v>657</v>
      </c>
      <c r="C1" s="22" t="s">
        <v>1</v>
      </c>
      <c r="D1" s="22" t="s">
        <v>2</v>
      </c>
      <c r="E1" s="22" t="s">
        <v>658</v>
      </c>
      <c r="F1" s="22" t="s">
        <v>902</v>
      </c>
      <c r="G1" s="22" t="s">
        <v>904</v>
      </c>
      <c r="H1" s="23" t="s">
        <v>905</v>
      </c>
      <c r="I1" s="61" t="s">
        <v>906</v>
      </c>
      <c r="J1" s="1" t="s">
        <v>953</v>
      </c>
      <c r="K1" s="1"/>
    </row>
    <row r="2" spans="1:12" ht="29.25">
      <c r="A2" s="108" t="s">
        <v>3</v>
      </c>
      <c r="B2" s="3" t="s">
        <v>37</v>
      </c>
      <c r="C2" s="29" t="s">
        <v>36</v>
      </c>
      <c r="D2" s="15"/>
      <c r="E2" s="16" t="s">
        <v>621</v>
      </c>
      <c r="H2" s="8">
        <f>F2/SUM(F$2:F$12)</f>
        <v>0</v>
      </c>
      <c r="I2" s="8">
        <f>G2/SUM(G$2:G$12)</f>
        <v>0</v>
      </c>
      <c r="J2" s="8">
        <f>I2</f>
        <v>0</v>
      </c>
      <c r="L2" s="14"/>
    </row>
    <row r="3" spans="1:12">
      <c r="A3" s="108"/>
      <c r="B3" s="3" t="s">
        <v>38</v>
      </c>
      <c r="C3" s="29" t="s">
        <v>46</v>
      </c>
      <c r="D3" s="15"/>
      <c r="E3" s="16" t="s">
        <v>316</v>
      </c>
      <c r="H3" s="8">
        <f t="shared" ref="H3:I12" si="0">F3/SUM(F$2:F$12)</f>
        <v>0</v>
      </c>
      <c r="I3" s="8">
        <f t="shared" si="0"/>
        <v>0</v>
      </c>
      <c r="J3" s="8">
        <f t="shared" ref="J3:J66" si="1">I3</f>
        <v>0</v>
      </c>
      <c r="L3" s="14"/>
    </row>
    <row r="4" spans="1:12">
      <c r="A4" s="108"/>
      <c r="B4" s="3" t="s">
        <v>39</v>
      </c>
      <c r="C4" s="29" t="s">
        <v>40</v>
      </c>
      <c r="D4" s="15"/>
      <c r="E4" s="16" t="s">
        <v>317</v>
      </c>
      <c r="H4" s="8">
        <f t="shared" si="0"/>
        <v>0</v>
      </c>
      <c r="I4" s="8">
        <f t="shared" si="0"/>
        <v>0</v>
      </c>
      <c r="J4" s="8">
        <f t="shared" si="1"/>
        <v>0</v>
      </c>
      <c r="L4" s="14"/>
    </row>
    <row r="5" spans="1:12">
      <c r="A5" s="108"/>
      <c r="B5" s="3" t="s">
        <v>40</v>
      </c>
      <c r="C5" s="29" t="s">
        <v>44</v>
      </c>
      <c r="D5" s="15"/>
      <c r="E5" s="16" t="s">
        <v>318</v>
      </c>
      <c r="H5" s="8">
        <f t="shared" si="0"/>
        <v>0</v>
      </c>
      <c r="I5" s="8">
        <f t="shared" si="0"/>
        <v>0</v>
      </c>
      <c r="J5" s="8">
        <f t="shared" si="1"/>
        <v>0</v>
      </c>
      <c r="L5" s="14"/>
    </row>
    <row r="6" spans="1:12">
      <c r="A6" s="108"/>
      <c r="B6" s="3" t="s">
        <v>41</v>
      </c>
      <c r="C6" s="29" t="s">
        <v>45</v>
      </c>
      <c r="D6" s="15"/>
      <c r="E6" s="16" t="s">
        <v>319</v>
      </c>
      <c r="H6" s="8">
        <f t="shared" si="0"/>
        <v>0</v>
      </c>
      <c r="I6" s="8">
        <f t="shared" si="0"/>
        <v>0</v>
      </c>
      <c r="J6" s="8">
        <f t="shared" si="1"/>
        <v>0</v>
      </c>
      <c r="L6" s="14"/>
    </row>
    <row r="7" spans="1:12">
      <c r="A7" s="108"/>
      <c r="B7" s="3" t="s">
        <v>42</v>
      </c>
      <c r="C7" s="29" t="s">
        <v>37</v>
      </c>
      <c r="D7" s="15"/>
      <c r="E7" s="16" t="s">
        <v>320</v>
      </c>
      <c r="H7" s="8">
        <f t="shared" si="0"/>
        <v>0</v>
      </c>
      <c r="I7" s="8">
        <f t="shared" si="0"/>
        <v>0</v>
      </c>
      <c r="J7" s="8">
        <f t="shared" si="1"/>
        <v>0</v>
      </c>
      <c r="L7" s="14"/>
    </row>
    <row r="8" spans="1:12">
      <c r="A8" s="108"/>
      <c r="B8" s="3" t="s">
        <v>43</v>
      </c>
      <c r="C8" s="29" t="s">
        <v>43</v>
      </c>
      <c r="D8" s="15"/>
      <c r="E8" s="16" t="s">
        <v>321</v>
      </c>
      <c r="H8" s="8">
        <f t="shared" si="0"/>
        <v>0</v>
      </c>
      <c r="I8" s="8">
        <f t="shared" si="0"/>
        <v>0</v>
      </c>
      <c r="J8" s="8">
        <f t="shared" si="1"/>
        <v>0</v>
      </c>
      <c r="L8" s="14"/>
    </row>
    <row r="9" spans="1:12" ht="15.75">
      <c r="A9" s="108"/>
      <c r="B9" s="3" t="s">
        <v>44</v>
      </c>
      <c r="C9" s="29" t="s">
        <v>42</v>
      </c>
      <c r="D9" s="15"/>
      <c r="E9" s="16" t="s">
        <v>322</v>
      </c>
      <c r="F9" s="60">
        <f>764.222460718619+1584.273359</f>
        <v>2348.4958197186188</v>
      </c>
      <c r="G9" s="60">
        <f>2936.732187+11425.82465</f>
        <v>14362.556837</v>
      </c>
      <c r="H9" s="8">
        <f t="shared" si="0"/>
        <v>0.65003506590265381</v>
      </c>
      <c r="I9" s="8">
        <f t="shared" si="0"/>
        <v>0.74722169587631349</v>
      </c>
      <c r="J9" s="8">
        <f t="shared" si="1"/>
        <v>0.74722169587631349</v>
      </c>
      <c r="L9" s="14"/>
    </row>
    <row r="10" spans="1:12" ht="15.75">
      <c r="A10" s="108"/>
      <c r="B10" s="3" t="s">
        <v>45</v>
      </c>
      <c r="C10" s="29" t="s">
        <v>41</v>
      </c>
      <c r="D10" s="15"/>
      <c r="E10" s="16" t="s">
        <v>323</v>
      </c>
      <c r="F10" s="60">
        <v>1264.37976639679</v>
      </c>
      <c r="G10" s="60">
        <v>4858.722358</v>
      </c>
      <c r="H10" s="8">
        <f t="shared" si="0"/>
        <v>0.34996493409734619</v>
      </c>
      <c r="I10" s="8">
        <f t="shared" si="0"/>
        <v>0.25277830412368663</v>
      </c>
      <c r="J10" s="8">
        <f t="shared" si="1"/>
        <v>0.25277830412368663</v>
      </c>
      <c r="L10" s="14"/>
    </row>
    <row r="11" spans="1:12">
      <c r="A11" s="108"/>
      <c r="B11" s="3" t="s">
        <v>36</v>
      </c>
      <c r="C11" s="29" t="s">
        <v>39</v>
      </c>
      <c r="D11" s="15"/>
      <c r="E11" s="16" t="s">
        <v>324</v>
      </c>
      <c r="H11" s="8">
        <f t="shared" si="0"/>
        <v>0</v>
      </c>
      <c r="I11" s="8">
        <f t="shared" si="0"/>
        <v>0</v>
      </c>
      <c r="J11" s="8">
        <f t="shared" si="1"/>
        <v>0</v>
      </c>
      <c r="L11" s="14"/>
    </row>
    <row r="12" spans="1:12">
      <c r="A12" s="108"/>
      <c r="B12" s="3" t="s">
        <v>46</v>
      </c>
      <c r="C12" s="29" t="s">
        <v>38</v>
      </c>
      <c r="D12" s="15"/>
      <c r="E12" s="16" t="s">
        <v>325</v>
      </c>
      <c r="H12" s="8">
        <f t="shared" si="0"/>
        <v>0</v>
      </c>
      <c r="I12" s="8">
        <f t="shared" si="0"/>
        <v>0</v>
      </c>
      <c r="J12" s="8">
        <f t="shared" si="1"/>
        <v>0</v>
      </c>
      <c r="L12" s="14"/>
    </row>
    <row r="13" spans="1:12" ht="15.75">
      <c r="A13" s="108" t="s">
        <v>4</v>
      </c>
      <c r="B13" s="3" t="s">
        <v>47</v>
      </c>
      <c r="C13" s="29" t="s">
        <v>47</v>
      </c>
      <c r="D13" s="15"/>
      <c r="E13" s="16" t="s">
        <v>326</v>
      </c>
      <c r="F13" s="60">
        <f>505.751906649795+546.0330319</f>
        <v>1051.784938549795</v>
      </c>
      <c r="G13" s="60">
        <f>1943.488944+2098.280098</f>
        <v>4041.7690419999999</v>
      </c>
      <c r="H13" s="8">
        <f>F13/SUM(F$13:F$18)</f>
        <v>0.64686567956387098</v>
      </c>
      <c r="I13" s="8">
        <f>G13/SUM(G$13:G$18)</f>
        <v>0.47840096335640819</v>
      </c>
      <c r="J13" s="8">
        <f t="shared" si="1"/>
        <v>0.47840096335640819</v>
      </c>
      <c r="L13" s="14"/>
    </row>
    <row r="14" spans="1:12">
      <c r="A14" s="108"/>
      <c r="B14" s="3" t="s">
        <v>48</v>
      </c>
      <c r="C14" s="29" t="s">
        <v>49</v>
      </c>
      <c r="D14" s="15"/>
      <c r="E14" s="16" t="s">
        <v>327</v>
      </c>
      <c r="H14" s="8">
        <f t="shared" ref="H14:I18" si="2">F14/SUM(F$13:F$18)</f>
        <v>0</v>
      </c>
      <c r="I14" s="8">
        <f t="shared" si="2"/>
        <v>0</v>
      </c>
      <c r="J14" s="8">
        <f t="shared" si="1"/>
        <v>0</v>
      </c>
      <c r="L14" s="14"/>
    </row>
    <row r="15" spans="1:12" ht="15.75">
      <c r="A15" s="108"/>
      <c r="B15" s="3" t="s">
        <v>49</v>
      </c>
      <c r="C15" s="29" t="s">
        <v>50</v>
      </c>
      <c r="D15" s="15"/>
      <c r="E15" s="16" t="s">
        <v>328</v>
      </c>
      <c r="F15" s="60">
        <v>574.18622019049894</v>
      </c>
      <c r="G15" s="60">
        <v>4406.7278290000004</v>
      </c>
      <c r="H15" s="8">
        <f t="shared" si="2"/>
        <v>0.35313432043612902</v>
      </c>
      <c r="I15" s="8">
        <f t="shared" si="2"/>
        <v>0.52159903664359197</v>
      </c>
      <c r="J15" s="8">
        <f t="shared" si="1"/>
        <v>0.52159903664359197</v>
      </c>
      <c r="L15" s="14"/>
    </row>
    <row r="16" spans="1:12">
      <c r="A16" s="108"/>
      <c r="B16" s="3" t="s">
        <v>50</v>
      </c>
      <c r="C16" s="29" t="s">
        <v>51</v>
      </c>
      <c r="D16" s="15"/>
      <c r="E16" s="16" t="s">
        <v>329</v>
      </c>
      <c r="H16" s="8">
        <f t="shared" si="2"/>
        <v>0</v>
      </c>
      <c r="I16" s="8">
        <f t="shared" si="2"/>
        <v>0</v>
      </c>
      <c r="J16" s="8">
        <f t="shared" si="1"/>
        <v>0</v>
      </c>
      <c r="L16" s="14"/>
    </row>
    <row r="17" spans="1:12">
      <c r="A17" s="108"/>
      <c r="B17" s="3" t="s">
        <v>51</v>
      </c>
      <c r="C17" s="29" t="s">
        <v>52</v>
      </c>
      <c r="D17" s="15"/>
      <c r="E17" s="16" t="s">
        <v>330</v>
      </c>
      <c r="H17" s="8">
        <f t="shared" si="2"/>
        <v>0</v>
      </c>
      <c r="I17" s="8">
        <f t="shared" si="2"/>
        <v>0</v>
      </c>
      <c r="J17" s="8">
        <f t="shared" si="1"/>
        <v>0</v>
      </c>
      <c r="L17" s="14"/>
    </row>
    <row r="18" spans="1:12">
      <c r="A18" s="108"/>
      <c r="B18" s="3" t="s">
        <v>52</v>
      </c>
      <c r="C18" s="29" t="s">
        <v>48</v>
      </c>
      <c r="D18" s="15"/>
      <c r="E18" s="16" t="s">
        <v>331</v>
      </c>
      <c r="H18" s="8">
        <f t="shared" si="2"/>
        <v>0</v>
      </c>
      <c r="I18" s="8">
        <f t="shared" si="2"/>
        <v>0</v>
      </c>
      <c r="J18" s="8">
        <f t="shared" si="1"/>
        <v>0</v>
      </c>
      <c r="L18" s="14"/>
    </row>
    <row r="19" spans="1:12" ht="15.75">
      <c r="A19" s="108" t="s">
        <v>5</v>
      </c>
      <c r="B19" s="3" t="s">
        <v>53</v>
      </c>
      <c r="C19" s="29" t="s">
        <v>54</v>
      </c>
      <c r="D19" s="15"/>
      <c r="E19" s="16" t="s">
        <v>332</v>
      </c>
      <c r="F19" s="60">
        <v>544.91411181173805</v>
      </c>
      <c r="G19" s="60">
        <v>2093.9803440000001</v>
      </c>
      <c r="H19" s="8">
        <f>F19/SUM(F$19:F$26)</f>
        <v>0.19143081761686717</v>
      </c>
      <c r="I19" s="8">
        <f>G19/SUM(G$19:G$26)</f>
        <v>0.19143081760442107</v>
      </c>
      <c r="J19" s="8">
        <f t="shared" si="1"/>
        <v>0.19143081760442107</v>
      </c>
      <c r="L19" s="14"/>
    </row>
    <row r="20" spans="1:12">
      <c r="A20" s="108"/>
      <c r="B20" s="3" t="s">
        <v>54</v>
      </c>
      <c r="C20" s="29" t="s">
        <v>53</v>
      </c>
      <c r="D20" s="15"/>
      <c r="E20" s="16" t="s">
        <v>333</v>
      </c>
      <c r="H20" s="8">
        <f t="shared" ref="H20:I26" si="3">F20/SUM(F$19:F$26)</f>
        <v>0</v>
      </c>
      <c r="I20" s="8">
        <f t="shared" si="3"/>
        <v>0</v>
      </c>
      <c r="J20" s="8">
        <f t="shared" si="1"/>
        <v>0</v>
      </c>
      <c r="L20" s="14"/>
    </row>
    <row r="21" spans="1:12">
      <c r="A21" s="108"/>
      <c r="B21" s="3" t="s">
        <v>55</v>
      </c>
      <c r="C21" s="29" t="s">
        <v>60</v>
      </c>
      <c r="D21" s="15"/>
      <c r="E21" s="16" t="s">
        <v>334</v>
      </c>
      <c r="H21" s="8">
        <f t="shared" si="3"/>
        <v>0</v>
      </c>
      <c r="I21" s="8">
        <f t="shared" si="3"/>
        <v>0</v>
      </c>
      <c r="J21" s="8">
        <f t="shared" si="1"/>
        <v>0</v>
      </c>
      <c r="L21" s="14"/>
    </row>
    <row r="22" spans="1:12" ht="15.75">
      <c r="A22" s="108"/>
      <c r="B22" s="3" t="s">
        <v>56</v>
      </c>
      <c r="C22" s="29" t="s">
        <v>58</v>
      </c>
      <c r="D22" s="18"/>
      <c r="E22" s="16" t="s">
        <v>335</v>
      </c>
      <c r="F22" s="60">
        <v>452.04373954453598</v>
      </c>
      <c r="G22" s="60">
        <v>1737.100737</v>
      </c>
      <c r="H22" s="8">
        <f t="shared" si="3"/>
        <v>0.15880503144226446</v>
      </c>
      <c r="I22" s="8">
        <f t="shared" si="3"/>
        <v>0.15880503143116056</v>
      </c>
      <c r="J22" s="8">
        <f t="shared" si="1"/>
        <v>0.15880503143116056</v>
      </c>
      <c r="L22" s="14"/>
    </row>
    <row r="23" spans="1:12" ht="15.75">
      <c r="A23" s="108"/>
      <c r="B23" s="3" t="s">
        <v>57</v>
      </c>
      <c r="C23" s="29" t="s">
        <v>57</v>
      </c>
      <c r="D23" s="15"/>
      <c r="E23" s="16" t="s">
        <v>336</v>
      </c>
      <c r="F23" s="60">
        <v>580.71955651821804</v>
      </c>
      <c r="G23" s="60">
        <v>2231.572482</v>
      </c>
      <c r="H23" s="8">
        <f t="shared" si="3"/>
        <v>0.20400943396524515</v>
      </c>
      <c r="I23" s="8">
        <f t="shared" si="3"/>
        <v>0.20400943399342014</v>
      </c>
      <c r="J23" s="8">
        <f t="shared" si="1"/>
        <v>0.20400943399342014</v>
      </c>
      <c r="L23" s="14"/>
    </row>
    <row r="24" spans="1:12" ht="15.75">
      <c r="A24" s="108"/>
      <c r="B24" s="3" t="s">
        <v>58</v>
      </c>
      <c r="C24" s="29" t="s">
        <v>59</v>
      </c>
      <c r="D24" s="15"/>
      <c r="E24" s="16" t="s">
        <v>337</v>
      </c>
      <c r="F24" s="60">
        <v>676.94668914980298</v>
      </c>
      <c r="G24" s="60">
        <v>2601.3513509999998</v>
      </c>
      <c r="H24" s="8">
        <f t="shared" si="3"/>
        <v>0.23781446539551068</v>
      </c>
      <c r="I24" s="8">
        <f t="shared" si="3"/>
        <v>0.23781446536744344</v>
      </c>
      <c r="J24" s="8">
        <f t="shared" si="1"/>
        <v>0.23781446536744344</v>
      </c>
      <c r="L24" s="14"/>
    </row>
    <row r="25" spans="1:12" ht="15.75">
      <c r="A25" s="108"/>
      <c r="B25" s="3" t="s">
        <v>59</v>
      </c>
      <c r="C25" s="29" t="s">
        <v>55</v>
      </c>
      <c r="D25" s="15"/>
      <c r="E25" s="16" t="s">
        <v>338</v>
      </c>
      <c r="F25" s="60">
        <v>591.90875800607</v>
      </c>
      <c r="G25" s="60">
        <v>2274.570025</v>
      </c>
      <c r="H25" s="8">
        <f t="shared" si="3"/>
        <v>0.20794025158011248</v>
      </c>
      <c r="I25" s="8">
        <f t="shared" si="3"/>
        <v>0.20794025160355492</v>
      </c>
      <c r="J25" s="8">
        <f t="shared" si="1"/>
        <v>0.20794025160355492</v>
      </c>
      <c r="L25" s="14"/>
    </row>
    <row r="26" spans="1:12">
      <c r="A26" s="108"/>
      <c r="B26" s="3" t="s">
        <v>60</v>
      </c>
      <c r="C26" s="29" t="s">
        <v>56</v>
      </c>
      <c r="D26" s="15"/>
      <c r="E26" s="16" t="s">
        <v>339</v>
      </c>
      <c r="H26" s="8">
        <f t="shared" si="3"/>
        <v>0</v>
      </c>
      <c r="I26" s="8">
        <f t="shared" si="3"/>
        <v>0</v>
      </c>
      <c r="J26" s="8">
        <f t="shared" si="1"/>
        <v>0</v>
      </c>
      <c r="L26" s="14"/>
    </row>
    <row r="27" spans="1:12">
      <c r="A27" s="108" t="s">
        <v>6</v>
      </c>
      <c r="B27" s="3" t="s">
        <v>61</v>
      </c>
      <c r="C27" s="29" t="s">
        <v>64</v>
      </c>
      <c r="D27" s="15"/>
      <c r="E27" s="16" t="s">
        <v>340</v>
      </c>
      <c r="H27" s="8">
        <f t="shared" ref="H27:I30" si="4">F27/SUM(F$27:F$31)</f>
        <v>0</v>
      </c>
      <c r="I27" s="8">
        <f t="shared" si="4"/>
        <v>0</v>
      </c>
      <c r="J27" s="8">
        <f t="shared" si="1"/>
        <v>0</v>
      </c>
      <c r="L27" s="14"/>
    </row>
    <row r="28" spans="1:12">
      <c r="A28" s="108"/>
      <c r="B28" s="3" t="s">
        <v>62</v>
      </c>
      <c r="C28" s="29" t="s">
        <v>61</v>
      </c>
      <c r="D28" s="15"/>
      <c r="E28" s="16" t="s">
        <v>341</v>
      </c>
      <c r="H28" s="8">
        <f t="shared" si="4"/>
        <v>0</v>
      </c>
      <c r="I28" s="8">
        <f t="shared" si="4"/>
        <v>0</v>
      </c>
      <c r="J28" s="8">
        <f t="shared" si="1"/>
        <v>0</v>
      </c>
      <c r="L28" s="14"/>
    </row>
    <row r="29" spans="1:12">
      <c r="A29" s="108"/>
      <c r="B29" s="3" t="s">
        <v>63</v>
      </c>
      <c r="C29" s="29" t="s">
        <v>63</v>
      </c>
      <c r="D29" s="15"/>
      <c r="E29" s="16" t="s">
        <v>342</v>
      </c>
      <c r="H29" s="8">
        <f t="shared" si="4"/>
        <v>0</v>
      </c>
      <c r="I29" s="8">
        <f t="shared" si="4"/>
        <v>0</v>
      </c>
      <c r="J29" s="8">
        <f t="shared" si="1"/>
        <v>0</v>
      </c>
      <c r="L29" s="14"/>
    </row>
    <row r="30" spans="1:12">
      <c r="A30" s="108"/>
      <c r="B30" s="3" t="s">
        <v>64</v>
      </c>
      <c r="C30" s="29" t="s">
        <v>65</v>
      </c>
      <c r="D30" s="15"/>
      <c r="E30" s="16" t="s">
        <v>343</v>
      </c>
      <c r="H30" s="8">
        <f t="shared" si="4"/>
        <v>0</v>
      </c>
      <c r="I30" s="8">
        <f t="shared" si="4"/>
        <v>0</v>
      </c>
      <c r="J30" s="8">
        <f t="shared" si="1"/>
        <v>0</v>
      </c>
      <c r="L30" s="14"/>
    </row>
    <row r="31" spans="1:12" ht="15.75">
      <c r="A31" s="108"/>
      <c r="B31" s="3" t="s">
        <v>65</v>
      </c>
      <c r="C31" s="29" t="s">
        <v>62</v>
      </c>
      <c r="D31" s="15"/>
      <c r="E31" s="16" t="s">
        <v>344</v>
      </c>
      <c r="F31" s="60">
        <v>1907.92878988198</v>
      </c>
      <c r="G31" s="60">
        <v>8379.1247039999998</v>
      </c>
      <c r="H31" s="8">
        <f>F31/SUM(F$27:F$31)</f>
        <v>1</v>
      </c>
      <c r="I31" s="8">
        <f>G31/SUM(G$27:G$31)</f>
        <v>1</v>
      </c>
      <c r="J31" s="8">
        <f t="shared" si="1"/>
        <v>1</v>
      </c>
      <c r="L31" s="14"/>
    </row>
    <row r="32" spans="1:12" ht="15.75">
      <c r="A32" s="108" t="s">
        <v>7</v>
      </c>
      <c r="B32" s="3" t="s">
        <v>66</v>
      </c>
      <c r="C32" s="29" t="s">
        <v>101</v>
      </c>
      <c r="D32" s="15"/>
      <c r="E32" s="16" t="s">
        <v>345</v>
      </c>
      <c r="F32" s="60">
        <v>513.58434768218399</v>
      </c>
      <c r="G32" s="60">
        <v>1973.5872240000001</v>
      </c>
      <c r="H32" s="8">
        <f>F32/SUM(F$32:F$69)</f>
        <v>2.404086174127722E-2</v>
      </c>
      <c r="I32" s="8">
        <f>G32/SUM(G$32:G$69)</f>
        <v>2.2839260427462892E-2</v>
      </c>
      <c r="J32" s="8">
        <f t="shared" si="1"/>
        <v>2.2839260427462892E-2</v>
      </c>
      <c r="L32" s="14"/>
    </row>
    <row r="33" spans="1:12" ht="15.75">
      <c r="A33" s="108"/>
      <c r="B33" s="3" t="s">
        <v>67</v>
      </c>
      <c r="C33" s="29" t="s">
        <v>102</v>
      </c>
      <c r="D33" s="15"/>
      <c r="E33" s="16" t="s">
        <v>346</v>
      </c>
      <c r="F33" s="60">
        <f>501.27622607287+561.697914</f>
        <v>1062.9741400728699</v>
      </c>
      <c r="G33" s="60">
        <f>1926.289926+2158.476658</f>
        <v>4084.766584</v>
      </c>
      <c r="H33" s="8">
        <f t="shared" ref="H33:I69" si="5">F33/SUM(F$32:F$69)</f>
        <v>4.9757774845308814E-2</v>
      </c>
      <c r="I33" s="8">
        <f t="shared" si="5"/>
        <v>4.727080043023929E-2</v>
      </c>
      <c r="J33" s="8">
        <f t="shared" si="1"/>
        <v>4.727080043023929E-2</v>
      </c>
      <c r="L33" s="14"/>
    </row>
    <row r="34" spans="1:12">
      <c r="A34" s="108"/>
      <c r="B34" s="3" t="s">
        <v>68</v>
      </c>
      <c r="C34" s="29" t="s">
        <v>103</v>
      </c>
      <c r="D34" s="15"/>
      <c r="E34" s="16" t="s">
        <v>347</v>
      </c>
      <c r="H34" s="8">
        <f t="shared" si="5"/>
        <v>0</v>
      </c>
      <c r="I34" s="8">
        <f t="shared" si="5"/>
        <v>0</v>
      </c>
      <c r="J34" s="8">
        <f t="shared" si="1"/>
        <v>0</v>
      </c>
      <c r="L34" s="14"/>
    </row>
    <row r="35" spans="1:12" ht="15.75">
      <c r="A35" s="108"/>
      <c r="B35" s="3" t="s">
        <v>69</v>
      </c>
      <c r="C35" s="29" t="s">
        <v>100</v>
      </c>
      <c r="D35" s="15"/>
      <c r="E35" s="16" t="s">
        <v>348</v>
      </c>
      <c r="F35" s="60">
        <f>572.887115485829+898.4928784+571.7681954</f>
        <v>2043.1481892858289</v>
      </c>
      <c r="G35" s="60">
        <f>2201.474202+3452.702703+2197.174447</f>
        <v>7851.3513519999997</v>
      </c>
      <c r="H35" s="8">
        <f t="shared" si="5"/>
        <v>9.5639680915582212E-2</v>
      </c>
      <c r="I35" s="8">
        <f t="shared" si="5"/>
        <v>9.0859454325207395E-2</v>
      </c>
      <c r="J35" s="8">
        <f t="shared" si="1"/>
        <v>9.0859454325207395E-2</v>
      </c>
      <c r="L35" s="14"/>
    </row>
    <row r="36" spans="1:12" ht="15.75">
      <c r="A36" s="108"/>
      <c r="B36" s="3" t="s">
        <v>70</v>
      </c>
      <c r="C36" s="29" t="s">
        <v>97</v>
      </c>
      <c r="D36" s="31"/>
      <c r="E36" s="16" t="s">
        <v>349</v>
      </c>
      <c r="F36" s="60">
        <v>843.66579116396599</v>
      </c>
      <c r="G36" s="60">
        <v>3242.0147419999998</v>
      </c>
      <c r="H36" s="8">
        <f t="shared" si="5"/>
        <v>3.9491960245192956E-2</v>
      </c>
      <c r="I36" s="8">
        <f t="shared" si="5"/>
        <v>3.7518087927291888E-2</v>
      </c>
      <c r="J36" s="8">
        <f t="shared" si="1"/>
        <v>3.7518087927291888E-2</v>
      </c>
      <c r="L36" s="14"/>
    </row>
    <row r="37" spans="1:12">
      <c r="A37" s="108"/>
      <c r="B37" s="3" t="s">
        <v>71</v>
      </c>
      <c r="C37" s="29" t="s">
        <v>98</v>
      </c>
      <c r="D37" s="15"/>
      <c r="E37" s="16" t="s">
        <v>350</v>
      </c>
      <c r="H37" s="8">
        <f t="shared" si="5"/>
        <v>0</v>
      </c>
      <c r="I37" s="8">
        <f t="shared" si="5"/>
        <v>0</v>
      </c>
      <c r="J37" s="8">
        <f t="shared" si="1"/>
        <v>0</v>
      </c>
      <c r="L37" s="14"/>
    </row>
    <row r="38" spans="1:12" ht="15.75">
      <c r="A38" s="108"/>
      <c r="B38" s="3" t="s">
        <v>72</v>
      </c>
      <c r="C38" s="29" t="s">
        <v>95</v>
      </c>
      <c r="D38" s="15"/>
      <c r="E38" s="16" t="s">
        <v>351</v>
      </c>
      <c r="F38" s="60">
        <v>975.69836831987095</v>
      </c>
      <c r="G38" s="60">
        <v>3749.385749</v>
      </c>
      <c r="H38" s="8">
        <f t="shared" si="5"/>
        <v>4.5672399635674286E-2</v>
      </c>
      <c r="I38" s="8">
        <f t="shared" si="5"/>
        <v>4.3389618924908994E-2</v>
      </c>
      <c r="J38" s="8">
        <f t="shared" si="1"/>
        <v>4.3389618924908994E-2</v>
      </c>
      <c r="L38" s="14"/>
    </row>
    <row r="39" spans="1:12">
      <c r="A39" s="108"/>
      <c r="B39" s="3" t="s">
        <v>73</v>
      </c>
      <c r="C39" s="29" t="s">
        <v>96</v>
      </c>
      <c r="D39" s="15"/>
      <c r="E39" s="16" t="s">
        <v>352</v>
      </c>
      <c r="H39" s="8">
        <f t="shared" si="5"/>
        <v>0</v>
      </c>
      <c r="I39" s="8">
        <f t="shared" si="5"/>
        <v>0</v>
      </c>
      <c r="J39" s="8">
        <f t="shared" si="1"/>
        <v>0</v>
      </c>
      <c r="L39" s="14"/>
    </row>
    <row r="40" spans="1:12" ht="15.75">
      <c r="A40" s="108"/>
      <c r="B40" s="3" t="s">
        <v>74</v>
      </c>
      <c r="C40" s="29" t="s">
        <v>99</v>
      </c>
      <c r="D40" s="15"/>
      <c r="E40" s="16" t="s">
        <v>353</v>
      </c>
      <c r="F40" s="60">
        <v>297.63275923076702</v>
      </c>
      <c r="G40" s="60">
        <v>1143.7346439999999</v>
      </c>
      <c r="H40" s="8">
        <f t="shared" si="5"/>
        <v>1.3932176957171581E-2</v>
      </c>
      <c r="I40" s="8">
        <f t="shared" si="5"/>
        <v>1.3235824126021782E-2</v>
      </c>
      <c r="J40" s="8">
        <f t="shared" si="1"/>
        <v>1.3235824126021782E-2</v>
      </c>
      <c r="L40" s="14"/>
    </row>
    <row r="41" spans="1:12" ht="15.75">
      <c r="A41" s="108"/>
      <c r="B41" s="3" t="s">
        <v>75</v>
      </c>
      <c r="C41" s="29" t="s">
        <v>93</v>
      </c>
      <c r="D41" s="15"/>
      <c r="E41" s="16" t="s">
        <v>354</v>
      </c>
      <c r="F41" s="60">
        <f>693.730491427122+676.9466891</f>
        <v>1370.6771805271219</v>
      </c>
      <c r="G41" s="60">
        <f>2665.847666+2601.351351</f>
        <v>5267.1990169999999</v>
      </c>
      <c r="H41" s="8">
        <f t="shared" si="5"/>
        <v>6.4161341243537492E-2</v>
      </c>
      <c r="I41" s="8">
        <f t="shared" si="5"/>
        <v>6.0954453195497346E-2</v>
      </c>
      <c r="J41" s="8">
        <f t="shared" si="1"/>
        <v>6.0954453195497346E-2</v>
      </c>
      <c r="L41" s="14"/>
    </row>
    <row r="42" spans="1:12" ht="15.75">
      <c r="A42" s="108"/>
      <c r="B42" s="3" t="s">
        <v>76</v>
      </c>
      <c r="C42" s="29" t="s">
        <v>94</v>
      </c>
      <c r="D42" s="15"/>
      <c r="E42" s="16" t="s">
        <v>355</v>
      </c>
      <c r="F42" s="60">
        <v>763.10354050607805</v>
      </c>
      <c r="G42" s="60">
        <v>2932.4324320000001</v>
      </c>
      <c r="H42" s="8">
        <f t="shared" si="5"/>
        <v>3.5720844676011075E-2</v>
      </c>
      <c r="I42" s="8">
        <f t="shared" si="5"/>
        <v>3.3935458836546646E-2</v>
      </c>
      <c r="J42" s="8">
        <f t="shared" si="1"/>
        <v>3.3935458836546646E-2</v>
      </c>
      <c r="L42" s="14"/>
    </row>
    <row r="43" spans="1:12">
      <c r="A43" s="108"/>
      <c r="B43" s="3" t="s">
        <v>77</v>
      </c>
      <c r="C43" s="29" t="s">
        <v>92</v>
      </c>
      <c r="D43" s="15"/>
      <c r="E43" s="16" t="s">
        <v>356</v>
      </c>
      <c r="H43" s="8">
        <f t="shared" si="5"/>
        <v>0</v>
      </c>
      <c r="I43" s="8">
        <f t="shared" si="5"/>
        <v>0</v>
      </c>
      <c r="J43" s="8">
        <f t="shared" si="1"/>
        <v>0</v>
      </c>
      <c r="L43" s="14"/>
    </row>
    <row r="44" spans="1:12" ht="15.75">
      <c r="A44" s="108"/>
      <c r="B44" s="3" t="s">
        <v>78</v>
      </c>
      <c r="C44" s="29" t="s">
        <v>91</v>
      </c>
      <c r="D44" s="15"/>
      <c r="E44" s="16" t="s">
        <v>357</v>
      </c>
      <c r="F44" s="60">
        <v>1656.0018180162201</v>
      </c>
      <c r="G44" s="60">
        <v>6363.6363629999996</v>
      </c>
      <c r="H44" s="8">
        <f t="shared" si="5"/>
        <v>7.7517375538998956E-2</v>
      </c>
      <c r="I44" s="8">
        <f t="shared" si="5"/>
        <v>7.3642931203039538E-2</v>
      </c>
      <c r="J44" s="8">
        <f t="shared" si="1"/>
        <v>7.3642931203039538E-2</v>
      </c>
      <c r="L44" s="14"/>
    </row>
    <row r="45" spans="1:12">
      <c r="A45" s="108"/>
      <c r="B45" s="3" t="s">
        <v>79</v>
      </c>
      <c r="C45" s="29" t="s">
        <v>90</v>
      </c>
      <c r="D45" s="15"/>
      <c r="E45" s="16" t="s">
        <v>358</v>
      </c>
      <c r="H45" s="8">
        <f t="shared" si="5"/>
        <v>0</v>
      </c>
      <c r="I45" s="8">
        <f t="shared" si="5"/>
        <v>0</v>
      </c>
      <c r="J45" s="8">
        <f t="shared" si="1"/>
        <v>0</v>
      </c>
      <c r="L45" s="14"/>
    </row>
    <row r="46" spans="1:12">
      <c r="A46" s="108"/>
      <c r="B46" s="3" t="s">
        <v>80</v>
      </c>
      <c r="C46" s="29" t="s">
        <v>89</v>
      </c>
      <c r="D46" s="15"/>
      <c r="E46" s="16" t="s">
        <v>359</v>
      </c>
      <c r="H46" s="8">
        <f t="shared" si="5"/>
        <v>0</v>
      </c>
      <c r="I46" s="8">
        <f t="shared" si="5"/>
        <v>0</v>
      </c>
      <c r="J46" s="8">
        <f t="shared" si="1"/>
        <v>0</v>
      </c>
      <c r="L46" s="14"/>
    </row>
    <row r="47" spans="1:12">
      <c r="A47" s="108"/>
      <c r="B47" s="3" t="s">
        <v>81</v>
      </c>
      <c r="C47" s="29" t="s">
        <v>88</v>
      </c>
      <c r="D47" s="15"/>
      <c r="E47" s="16" t="s">
        <v>360</v>
      </c>
      <c r="F47" s="63">
        <v>218.18942878542001</v>
      </c>
      <c r="G47" s="63">
        <v>838.45208860000002</v>
      </c>
      <c r="H47" s="8">
        <f t="shared" si="5"/>
        <v>1.0213437996137158E-2</v>
      </c>
      <c r="I47" s="8">
        <f t="shared" si="5"/>
        <v>9.7029537760554493E-3</v>
      </c>
      <c r="J47" s="8">
        <f t="shared" si="1"/>
        <v>9.7029537760554493E-3</v>
      </c>
      <c r="L47" s="14"/>
    </row>
    <row r="48" spans="1:12">
      <c r="A48" s="108"/>
      <c r="B48" s="3" t="s">
        <v>82</v>
      </c>
      <c r="C48" s="29" t="s">
        <v>87</v>
      </c>
      <c r="D48" s="15"/>
      <c r="E48" s="16" t="s">
        <v>361</v>
      </c>
      <c r="H48" s="8">
        <f t="shared" si="5"/>
        <v>0</v>
      </c>
      <c r="I48" s="8">
        <f t="shared" si="5"/>
        <v>0</v>
      </c>
      <c r="J48" s="8">
        <f t="shared" si="1"/>
        <v>0</v>
      </c>
      <c r="L48" s="14"/>
    </row>
    <row r="49" spans="1:12">
      <c r="A49" s="108"/>
      <c r="B49" s="3" t="s">
        <v>83</v>
      </c>
      <c r="C49" s="29" t="s">
        <v>86</v>
      </c>
      <c r="D49" s="15"/>
      <c r="E49" s="16" t="s">
        <v>362</v>
      </c>
      <c r="F49" s="64">
        <v>228.25971010000001</v>
      </c>
      <c r="G49" s="64">
        <v>877.14987710000003</v>
      </c>
      <c r="H49" s="8">
        <f t="shared" si="5"/>
        <v>1.0684827441458416E-2</v>
      </c>
      <c r="I49" s="8">
        <f t="shared" si="5"/>
        <v>1.0150782409505489E-2</v>
      </c>
      <c r="J49" s="8">
        <f t="shared" si="1"/>
        <v>1.0150782409505489E-2</v>
      </c>
      <c r="L49" s="14"/>
    </row>
    <row r="50" spans="1:12">
      <c r="A50" s="108"/>
      <c r="B50" s="3" t="s">
        <v>84</v>
      </c>
      <c r="C50" s="29" t="s">
        <v>85</v>
      </c>
      <c r="D50" s="15"/>
      <c r="E50" s="16" t="s">
        <v>363</v>
      </c>
      <c r="H50" s="8">
        <f t="shared" si="5"/>
        <v>0</v>
      </c>
      <c r="I50" s="8">
        <f t="shared" si="5"/>
        <v>0</v>
      </c>
      <c r="J50" s="8">
        <f t="shared" si="1"/>
        <v>0</v>
      </c>
      <c r="L50" s="14"/>
    </row>
    <row r="51" spans="1:12">
      <c r="A51" s="108"/>
      <c r="B51" s="3" t="s">
        <v>85</v>
      </c>
      <c r="C51" s="29" t="s">
        <v>84</v>
      </c>
      <c r="D51" s="15"/>
      <c r="E51" s="16" t="s">
        <v>364</v>
      </c>
      <c r="H51" s="8">
        <f t="shared" si="5"/>
        <v>0</v>
      </c>
      <c r="I51" s="8">
        <f t="shared" si="5"/>
        <v>0</v>
      </c>
      <c r="J51" s="8">
        <f t="shared" si="1"/>
        <v>0</v>
      </c>
      <c r="L51" s="14"/>
    </row>
    <row r="52" spans="1:12" ht="15.75">
      <c r="A52" s="108"/>
      <c r="B52" s="3" t="s">
        <v>86</v>
      </c>
      <c r="C52" s="29" t="s">
        <v>83</v>
      </c>
      <c r="D52" s="15"/>
      <c r="E52" s="16" t="s">
        <v>365</v>
      </c>
      <c r="F52" s="60">
        <f>690.373730971658+357.638191</f>
        <v>1048.011921971658</v>
      </c>
      <c r="G52" s="60">
        <f>2652.948403+2418.137848</f>
        <v>5071.0862509999997</v>
      </c>
      <c r="H52" s="8">
        <f t="shared" si="5"/>
        <v>4.905739404449698E-2</v>
      </c>
      <c r="I52" s="8">
        <f t="shared" si="5"/>
        <v>5.8684945934122767E-2</v>
      </c>
      <c r="J52" s="8">
        <f t="shared" si="1"/>
        <v>5.8684945934122767E-2</v>
      </c>
      <c r="L52" s="14"/>
    </row>
    <row r="53" spans="1:12">
      <c r="A53" s="108"/>
      <c r="B53" s="3" t="s">
        <v>87</v>
      </c>
      <c r="C53" s="29" t="s">
        <v>82</v>
      </c>
      <c r="D53" s="15"/>
      <c r="E53" s="16" t="s">
        <v>366</v>
      </c>
      <c r="H53" s="8">
        <f t="shared" si="5"/>
        <v>0</v>
      </c>
      <c r="I53" s="8">
        <f t="shared" si="5"/>
        <v>0</v>
      </c>
      <c r="J53" s="8">
        <f t="shared" si="1"/>
        <v>0</v>
      </c>
      <c r="L53" s="14"/>
    </row>
    <row r="54" spans="1:12">
      <c r="A54" s="108"/>
      <c r="B54" s="3" t="s">
        <v>88</v>
      </c>
      <c r="C54" s="29" t="s">
        <v>81</v>
      </c>
      <c r="D54" s="15"/>
      <c r="E54" s="16" t="s">
        <v>367</v>
      </c>
      <c r="H54" s="8">
        <f t="shared" si="5"/>
        <v>0</v>
      </c>
      <c r="I54" s="8">
        <f t="shared" si="5"/>
        <v>0</v>
      </c>
      <c r="J54" s="8">
        <f t="shared" si="1"/>
        <v>0</v>
      </c>
      <c r="L54" s="14"/>
    </row>
    <row r="55" spans="1:12">
      <c r="A55" s="108"/>
      <c r="B55" s="3" t="s">
        <v>89</v>
      </c>
      <c r="C55" s="29" t="s">
        <v>78</v>
      </c>
      <c r="D55" s="32"/>
      <c r="E55" s="16" t="s">
        <v>368</v>
      </c>
      <c r="H55" s="8">
        <f t="shared" si="5"/>
        <v>0</v>
      </c>
      <c r="I55" s="8">
        <f t="shared" si="5"/>
        <v>0</v>
      </c>
      <c r="J55" s="8">
        <f t="shared" si="1"/>
        <v>0</v>
      </c>
      <c r="L55" s="14"/>
    </row>
    <row r="56" spans="1:12">
      <c r="A56" s="108"/>
      <c r="B56" s="3" t="s">
        <v>90</v>
      </c>
      <c r="C56" s="29" t="s">
        <v>77</v>
      </c>
      <c r="D56" s="31"/>
      <c r="E56" s="16" t="s">
        <v>369</v>
      </c>
      <c r="H56" s="8">
        <f t="shared" si="5"/>
        <v>0</v>
      </c>
      <c r="I56" s="8">
        <f t="shared" si="5"/>
        <v>0</v>
      </c>
      <c r="J56" s="8">
        <f t="shared" si="1"/>
        <v>0</v>
      </c>
      <c r="L56" s="14"/>
    </row>
    <row r="57" spans="1:12" ht="15.75">
      <c r="A57" s="108"/>
      <c r="B57" s="3" t="s">
        <v>91</v>
      </c>
      <c r="C57" s="29" t="s">
        <v>76</v>
      </c>
      <c r="D57" s="15"/>
      <c r="E57" s="16" t="s">
        <v>370</v>
      </c>
      <c r="F57" s="60">
        <f>645.616925020249+1130.109349+312.1787212+547.1519521</f>
        <v>2635.056947320249</v>
      </c>
      <c r="G57" s="60">
        <f>2480.958231+4342.751844+1199.63145+2102.579852</f>
        <v>10125.921377000001</v>
      </c>
      <c r="H57" s="8">
        <f t="shared" si="5"/>
        <v>0.12334690501533692</v>
      </c>
      <c r="I57" s="8">
        <f t="shared" si="5"/>
        <v>0.11718182636417222</v>
      </c>
      <c r="J57" s="8">
        <f t="shared" si="1"/>
        <v>0.11718182636417222</v>
      </c>
      <c r="L57" s="14"/>
    </row>
    <row r="58" spans="1:12" ht="15.75">
      <c r="A58" s="108"/>
      <c r="B58" s="3" t="s">
        <v>92</v>
      </c>
      <c r="C58" s="29" t="s">
        <v>79</v>
      </c>
      <c r="D58" s="15"/>
      <c r="E58" s="16" t="s">
        <v>371</v>
      </c>
      <c r="F58" s="60">
        <v>258.47055406882401</v>
      </c>
      <c r="G58" s="60">
        <v>993.24324330000002</v>
      </c>
      <c r="H58" s="8">
        <f t="shared" si="5"/>
        <v>1.2098995778596373E-2</v>
      </c>
      <c r="I58" s="8">
        <f t="shared" si="5"/>
        <v>1.1494268317956332E-2</v>
      </c>
      <c r="J58" s="8">
        <f t="shared" si="1"/>
        <v>1.1494268317956332E-2</v>
      </c>
      <c r="L58" s="14"/>
    </row>
    <row r="59" spans="1:12" ht="15.75">
      <c r="A59" s="108"/>
      <c r="B59" s="3" t="s">
        <v>93</v>
      </c>
      <c r="C59" s="29" t="s">
        <v>80</v>
      </c>
      <c r="D59" s="15"/>
      <c r="E59" s="16" t="s">
        <v>372</v>
      </c>
      <c r="F59" s="60">
        <f>716.108894311746+2081.191474</f>
        <v>2797.3003683117463</v>
      </c>
      <c r="G59" s="60">
        <f>2751.842752+7997.542998</f>
        <v>10749.385749999999</v>
      </c>
      <c r="H59" s="8">
        <f t="shared" si="5"/>
        <v>0.13094151273671964</v>
      </c>
      <c r="I59" s="8">
        <f t="shared" si="5"/>
        <v>0.12439684326792566</v>
      </c>
      <c r="J59" s="8">
        <f t="shared" si="1"/>
        <v>0.12439684326792566</v>
      </c>
      <c r="L59" s="14"/>
    </row>
    <row r="60" spans="1:12">
      <c r="A60" s="108"/>
      <c r="B60" s="3" t="s">
        <v>94</v>
      </c>
      <c r="C60" s="29" t="s">
        <v>75</v>
      </c>
      <c r="D60" s="15"/>
      <c r="E60" s="16" t="s">
        <v>373</v>
      </c>
      <c r="H60" s="8">
        <f t="shared" si="5"/>
        <v>0</v>
      </c>
      <c r="I60" s="8">
        <f t="shared" si="5"/>
        <v>0</v>
      </c>
      <c r="J60" s="8">
        <f t="shared" si="1"/>
        <v>0</v>
      </c>
      <c r="L60" s="14"/>
    </row>
    <row r="61" spans="1:12" ht="15.75">
      <c r="A61" s="108"/>
      <c r="B61" s="3" t="s">
        <v>95</v>
      </c>
      <c r="C61" s="29" t="s">
        <v>73</v>
      </c>
      <c r="D61" s="15"/>
      <c r="E61" s="16" t="s">
        <v>374</v>
      </c>
      <c r="F61" s="60">
        <v>195.81102580971501</v>
      </c>
      <c r="G61" s="60">
        <v>752.45700250000004</v>
      </c>
      <c r="H61" s="8">
        <f t="shared" si="5"/>
        <v>9.1659058928760338E-3</v>
      </c>
      <c r="I61" s="8">
        <f t="shared" si="5"/>
        <v>8.7077790287547977E-3</v>
      </c>
      <c r="J61" s="8">
        <f t="shared" si="1"/>
        <v>8.7077790287547977E-3</v>
      </c>
      <c r="L61" s="14"/>
    </row>
    <row r="62" spans="1:12" ht="15.75">
      <c r="A62" s="108"/>
      <c r="B62" s="3" t="s">
        <v>96</v>
      </c>
      <c r="C62" s="29" t="s">
        <v>74</v>
      </c>
      <c r="D62" s="32"/>
      <c r="E62" s="16" t="s">
        <v>375</v>
      </c>
      <c r="F62" s="60">
        <v>764.222460718619</v>
      </c>
      <c r="G62" s="60">
        <v>2936.7321870000001</v>
      </c>
      <c r="H62" s="8">
        <f t="shared" si="5"/>
        <v>3.5773221284158531E-2</v>
      </c>
      <c r="I62" s="8">
        <f t="shared" si="5"/>
        <v>3.3985217581954538E-2</v>
      </c>
      <c r="J62" s="8">
        <f t="shared" si="1"/>
        <v>3.3985217581954538E-2</v>
      </c>
      <c r="L62" s="14"/>
    </row>
    <row r="63" spans="1:12">
      <c r="A63" s="108"/>
      <c r="B63" s="3" t="s">
        <v>97</v>
      </c>
      <c r="C63" s="29" t="s">
        <v>72</v>
      </c>
      <c r="D63" s="15"/>
      <c r="E63" s="16" t="s">
        <v>376</v>
      </c>
      <c r="H63" s="8">
        <f t="shared" si="5"/>
        <v>0</v>
      </c>
      <c r="I63" s="8">
        <f t="shared" si="5"/>
        <v>0</v>
      </c>
      <c r="J63" s="8">
        <f t="shared" si="1"/>
        <v>0</v>
      </c>
      <c r="L63" s="14"/>
    </row>
    <row r="64" spans="1:12">
      <c r="A64" s="108"/>
      <c r="B64" s="3" t="s">
        <v>98</v>
      </c>
      <c r="C64" s="29" t="s">
        <v>69</v>
      </c>
      <c r="D64" s="15"/>
      <c r="E64" s="16" t="s">
        <v>377</v>
      </c>
      <c r="H64" s="8">
        <f t="shared" si="5"/>
        <v>0</v>
      </c>
      <c r="I64" s="8">
        <f t="shared" si="5"/>
        <v>0</v>
      </c>
      <c r="J64" s="8">
        <f t="shared" si="1"/>
        <v>0</v>
      </c>
      <c r="L64" s="14"/>
    </row>
    <row r="65" spans="1:12">
      <c r="A65" s="108"/>
      <c r="B65" s="3" t="s">
        <v>99</v>
      </c>
      <c r="C65" s="29" t="s">
        <v>70</v>
      </c>
      <c r="D65" s="15"/>
      <c r="E65" s="16" t="s">
        <v>378</v>
      </c>
      <c r="H65" s="8">
        <f t="shared" si="5"/>
        <v>0</v>
      </c>
      <c r="I65" s="8">
        <f t="shared" si="5"/>
        <v>0</v>
      </c>
      <c r="J65" s="8">
        <f t="shared" si="1"/>
        <v>0</v>
      </c>
      <c r="L65" s="14"/>
    </row>
    <row r="66" spans="1:12">
      <c r="A66" s="108"/>
      <c r="B66" s="3" t="s">
        <v>100</v>
      </c>
      <c r="C66" s="29" t="s">
        <v>68</v>
      </c>
      <c r="D66" s="32"/>
      <c r="E66" s="16" t="s">
        <v>379</v>
      </c>
      <c r="H66" s="8">
        <f t="shared" si="5"/>
        <v>0</v>
      </c>
      <c r="I66" s="8">
        <f t="shared" si="5"/>
        <v>0</v>
      </c>
      <c r="J66" s="8">
        <f t="shared" si="1"/>
        <v>0</v>
      </c>
      <c r="L66" s="14"/>
    </row>
    <row r="67" spans="1:12" ht="15.75">
      <c r="A67" s="108"/>
      <c r="B67" s="3" t="s">
        <v>101</v>
      </c>
      <c r="C67" s="29" t="s">
        <v>71</v>
      </c>
      <c r="D67" s="15"/>
      <c r="E67" s="16" t="s">
        <v>380</v>
      </c>
      <c r="F67" s="60">
        <f>719.46565476721+975.6983683</f>
        <v>1695.1640230672101</v>
      </c>
      <c r="G67" s="60">
        <f>2764.742015+3749.385749</f>
        <v>6514.1277639999998</v>
      </c>
      <c r="H67" s="8">
        <f>F67/SUM(F$32:F$69)</f>
        <v>7.9350556712380463E-2</v>
      </c>
      <c r="I67" s="8">
        <f t="shared" si="5"/>
        <v>7.5384487014576729E-2</v>
      </c>
      <c r="J67" s="8">
        <f t="shared" ref="J67:J130" si="6">I67</f>
        <v>7.5384487014576729E-2</v>
      </c>
      <c r="L67" s="14"/>
    </row>
    <row r="68" spans="1:12" ht="15.75">
      <c r="A68" s="108"/>
      <c r="B68" s="3" t="s">
        <v>102</v>
      </c>
      <c r="C68" s="29" t="s">
        <v>67</v>
      </c>
      <c r="D68" s="32"/>
      <c r="E68" s="16" t="s">
        <v>381</v>
      </c>
      <c r="F68" s="60">
        <v>854.70467857034998</v>
      </c>
      <c r="G68" s="60">
        <v>6559.6330250000001</v>
      </c>
      <c r="H68" s="8">
        <f>F68/SUM(F$32:F$69)</f>
        <v>4.0008690100984103E-2</v>
      </c>
      <c r="I68" s="8">
        <f t="shared" si="5"/>
        <v>7.5911094855446434E-2</v>
      </c>
      <c r="J68" s="8">
        <f t="shared" si="6"/>
        <v>7.5911094855446434E-2</v>
      </c>
      <c r="L68" s="14"/>
    </row>
    <row r="69" spans="1:12" ht="15.75">
      <c r="A69" s="108"/>
      <c r="B69" s="3" t="s">
        <v>103</v>
      </c>
      <c r="C69" s="29" t="s">
        <v>66</v>
      </c>
      <c r="D69" s="15"/>
      <c r="E69" s="16" t="s">
        <v>382</v>
      </c>
      <c r="F69" s="60">
        <v>1141.29855030365</v>
      </c>
      <c r="G69" s="60">
        <v>4385.7493860000004</v>
      </c>
      <c r="H69" s="8">
        <f t="shared" si="5"/>
        <v>5.3424137198100942E-2</v>
      </c>
      <c r="I69" s="8">
        <f t="shared" si="5"/>
        <v>5.0753912053313678E-2</v>
      </c>
      <c r="J69" s="8">
        <f t="shared" si="6"/>
        <v>5.0753912053313678E-2</v>
      </c>
      <c r="L69" s="14"/>
    </row>
    <row r="70" spans="1:12" ht="15.75">
      <c r="A70" s="24" t="s">
        <v>622</v>
      </c>
      <c r="B70" s="3" t="s">
        <v>383</v>
      </c>
      <c r="C70" s="29" t="s">
        <v>383</v>
      </c>
      <c r="D70" s="15"/>
      <c r="E70" s="16" t="s">
        <v>384</v>
      </c>
      <c r="F70" s="60">
        <v>277.09233484130101</v>
      </c>
      <c r="G70" s="60">
        <v>2126.6106020000002</v>
      </c>
      <c r="H70" s="8">
        <v>1</v>
      </c>
      <c r="I70" s="8">
        <v>1</v>
      </c>
      <c r="J70" s="8">
        <f t="shared" si="6"/>
        <v>1</v>
      </c>
      <c r="L70" s="14"/>
    </row>
    <row r="71" spans="1:12">
      <c r="A71" s="108" t="s">
        <v>8</v>
      </c>
      <c r="B71" s="3" t="s">
        <v>104</v>
      </c>
      <c r="C71" s="29" t="s">
        <v>106</v>
      </c>
      <c r="D71" s="15"/>
      <c r="E71" s="16" t="s">
        <v>385</v>
      </c>
      <c r="H71" s="8">
        <f t="shared" ref="H71:I73" si="7">F71/SUM(F$71:F$73)</f>
        <v>0</v>
      </c>
      <c r="I71" s="8">
        <f t="shared" si="7"/>
        <v>0</v>
      </c>
      <c r="J71" s="8">
        <f t="shared" si="6"/>
        <v>0</v>
      </c>
      <c r="L71" s="14"/>
    </row>
    <row r="72" spans="1:12">
      <c r="A72" s="108"/>
      <c r="B72" s="3" t="s">
        <v>105</v>
      </c>
      <c r="C72" s="29" t="s">
        <v>105</v>
      </c>
      <c r="D72" s="15"/>
      <c r="E72" s="16" t="s">
        <v>386</v>
      </c>
      <c r="H72" s="8">
        <f t="shared" si="7"/>
        <v>0</v>
      </c>
      <c r="I72" s="8">
        <f t="shared" si="7"/>
        <v>0</v>
      </c>
      <c r="J72" s="8">
        <f t="shared" si="6"/>
        <v>0</v>
      </c>
      <c r="L72" s="14"/>
    </row>
    <row r="73" spans="1:12">
      <c r="A73" s="108"/>
      <c r="B73" s="3" t="s">
        <v>106</v>
      </c>
      <c r="C73" s="29" t="s">
        <v>104</v>
      </c>
      <c r="D73" s="15"/>
      <c r="E73" s="16" t="s">
        <v>387</v>
      </c>
      <c r="F73" s="3">
        <f>1446.25576069031+336.3056041</f>
        <v>1782.5613647903099</v>
      </c>
      <c r="G73" s="3">
        <f>5557.630221+2273.899516</f>
        <v>7831.5297370000008</v>
      </c>
      <c r="H73" s="8">
        <f t="shared" si="7"/>
        <v>1</v>
      </c>
      <c r="I73" s="8">
        <f t="shared" si="7"/>
        <v>1</v>
      </c>
      <c r="J73" s="8">
        <f t="shared" si="6"/>
        <v>1</v>
      </c>
      <c r="L73" s="14"/>
    </row>
    <row r="74" spans="1:12" ht="15.75">
      <c r="A74" s="108" t="s">
        <v>9</v>
      </c>
      <c r="B74" s="3" t="s">
        <v>107</v>
      </c>
      <c r="C74" s="29" t="s">
        <v>114</v>
      </c>
      <c r="D74" s="15"/>
      <c r="E74" s="16" t="s">
        <v>388</v>
      </c>
      <c r="F74" s="60">
        <v>166.719101923083</v>
      </c>
      <c r="G74" s="60">
        <v>640.66339049999999</v>
      </c>
      <c r="H74" s="8">
        <f>F74/SUM(F$74:F$86)</f>
        <v>3.7842378745816502E-2</v>
      </c>
      <c r="I74" s="8">
        <f>G74/SUM(G$74:G$86)</f>
        <v>2.8204871974164668E-2</v>
      </c>
      <c r="J74" s="8">
        <f t="shared" si="6"/>
        <v>2.8204871974164668E-2</v>
      </c>
      <c r="L74" s="14"/>
    </row>
    <row r="75" spans="1:12">
      <c r="A75" s="108"/>
      <c r="B75" s="3" t="s">
        <v>108</v>
      </c>
      <c r="C75" s="29" t="s">
        <v>389</v>
      </c>
      <c r="D75" s="15"/>
      <c r="E75" s="16" t="s">
        <v>390</v>
      </c>
      <c r="H75" s="8">
        <f t="shared" ref="H75:I86" si="8">F75/SUM(F$74:F$86)</f>
        <v>0</v>
      </c>
      <c r="I75" s="8">
        <f t="shared" si="8"/>
        <v>0</v>
      </c>
      <c r="J75" s="8">
        <f t="shared" si="6"/>
        <v>0</v>
      </c>
      <c r="L75" s="14"/>
    </row>
    <row r="76" spans="1:12">
      <c r="A76" s="108"/>
      <c r="B76" s="3" t="s">
        <v>109</v>
      </c>
      <c r="C76" s="29" t="s">
        <v>391</v>
      </c>
      <c r="D76" s="15"/>
      <c r="E76" s="16" t="s">
        <v>392</v>
      </c>
      <c r="H76" s="8">
        <f t="shared" si="8"/>
        <v>0</v>
      </c>
      <c r="I76" s="8">
        <f t="shared" si="8"/>
        <v>0</v>
      </c>
      <c r="J76" s="8">
        <f t="shared" si="6"/>
        <v>0</v>
      </c>
    </row>
    <row r="77" spans="1:12">
      <c r="A77" s="108"/>
      <c r="B77" s="3" t="s">
        <v>110</v>
      </c>
      <c r="C77" s="29" t="s">
        <v>393</v>
      </c>
      <c r="D77" s="15"/>
      <c r="E77" s="16" t="s">
        <v>394</v>
      </c>
      <c r="H77" s="8">
        <f t="shared" si="8"/>
        <v>0</v>
      </c>
      <c r="I77" s="8">
        <f t="shared" si="8"/>
        <v>0</v>
      </c>
      <c r="J77" s="8">
        <f t="shared" si="6"/>
        <v>0</v>
      </c>
    </row>
    <row r="78" spans="1:12">
      <c r="A78" s="108"/>
      <c r="B78" s="3" t="s">
        <v>111</v>
      </c>
      <c r="C78" s="29" t="s">
        <v>115</v>
      </c>
      <c r="D78" s="15"/>
      <c r="E78" s="16" t="s">
        <v>395</v>
      </c>
      <c r="H78" s="8">
        <f t="shared" si="8"/>
        <v>0</v>
      </c>
      <c r="I78" s="8">
        <f t="shared" si="8"/>
        <v>0</v>
      </c>
      <c r="J78" s="8">
        <f t="shared" si="6"/>
        <v>0</v>
      </c>
    </row>
    <row r="79" spans="1:12" ht="15.75">
      <c r="A79" s="108"/>
      <c r="B79" s="3" t="s">
        <v>112</v>
      </c>
      <c r="C79" s="29" t="s">
        <v>110</v>
      </c>
      <c r="D79" s="15"/>
      <c r="E79" s="16" t="s">
        <v>396</v>
      </c>
      <c r="F79" s="60">
        <v>779.88734278339598</v>
      </c>
      <c r="G79" s="60">
        <v>2996.9287469999999</v>
      </c>
      <c r="H79" s="8">
        <f t="shared" si="8"/>
        <v>0.17702106035991977</v>
      </c>
      <c r="I79" s="8">
        <f t="shared" si="8"/>
        <v>0.13193822665418672</v>
      </c>
      <c r="J79" s="8">
        <f t="shared" si="6"/>
        <v>0.13193822665418672</v>
      </c>
    </row>
    <row r="80" spans="1:12">
      <c r="A80" s="108"/>
      <c r="B80" s="3" t="s">
        <v>113</v>
      </c>
      <c r="C80" s="29" t="s">
        <v>112</v>
      </c>
      <c r="D80" s="15"/>
      <c r="E80" s="16" t="s">
        <v>397</v>
      </c>
      <c r="H80" s="8">
        <f t="shared" si="8"/>
        <v>0</v>
      </c>
      <c r="I80" s="8">
        <f t="shared" si="8"/>
        <v>0</v>
      </c>
      <c r="J80" s="8">
        <f t="shared" si="6"/>
        <v>0</v>
      </c>
    </row>
    <row r="81" spans="1:10">
      <c r="A81" s="108"/>
      <c r="B81" s="3" t="s">
        <v>114</v>
      </c>
      <c r="C81" s="29" t="s">
        <v>111</v>
      </c>
      <c r="D81" s="15"/>
      <c r="E81" s="16" t="s">
        <v>398</v>
      </c>
      <c r="H81" s="8">
        <f t="shared" si="8"/>
        <v>0</v>
      </c>
      <c r="I81" s="8">
        <f t="shared" si="8"/>
        <v>0</v>
      </c>
      <c r="J81" s="8">
        <f t="shared" si="6"/>
        <v>0</v>
      </c>
    </row>
    <row r="82" spans="1:10" ht="15.75">
      <c r="A82" s="108"/>
      <c r="B82" s="3" t="s">
        <v>115</v>
      </c>
      <c r="C82" s="29" t="s">
        <v>107</v>
      </c>
      <c r="D82" s="15"/>
      <c r="E82" s="16" t="s">
        <v>399</v>
      </c>
      <c r="F82" s="60">
        <v>1476.97459493922</v>
      </c>
      <c r="G82" s="60">
        <v>5675.6756770000002</v>
      </c>
      <c r="H82" s="8">
        <f t="shared" si="8"/>
        <v>0.33524791925417846</v>
      </c>
      <c r="I82" s="8">
        <f t="shared" si="8"/>
        <v>0.24986866459113741</v>
      </c>
      <c r="J82" s="8">
        <f t="shared" si="6"/>
        <v>0.24986866459113741</v>
      </c>
    </row>
    <row r="83" spans="1:10">
      <c r="A83" s="108"/>
      <c r="C83" s="29" t="s">
        <v>400</v>
      </c>
      <c r="D83" s="15"/>
      <c r="E83" s="16" t="s">
        <v>401</v>
      </c>
      <c r="H83" s="8">
        <f t="shared" si="8"/>
        <v>0</v>
      </c>
      <c r="I83" s="8">
        <f t="shared" si="8"/>
        <v>0</v>
      </c>
      <c r="J83" s="8">
        <f t="shared" si="6"/>
        <v>0</v>
      </c>
    </row>
    <row r="84" spans="1:10" ht="15.75">
      <c r="A84" s="108"/>
      <c r="C84" s="29" t="s">
        <v>113</v>
      </c>
      <c r="D84" s="15"/>
      <c r="E84" s="16" t="s">
        <v>402</v>
      </c>
      <c r="F84" s="60">
        <v>480.70408932038401</v>
      </c>
      <c r="G84" s="60">
        <v>3250.2366390000002</v>
      </c>
      <c r="H84" s="8">
        <f t="shared" si="8"/>
        <v>0.10911158951130455</v>
      </c>
      <c r="I84" s="8">
        <f t="shared" si="8"/>
        <v>0.14308997462331863</v>
      </c>
      <c r="J84" s="8">
        <f t="shared" si="6"/>
        <v>0.14308997462331863</v>
      </c>
    </row>
    <row r="85" spans="1:10" ht="15.75">
      <c r="A85" s="108"/>
      <c r="C85" s="29" t="s">
        <v>108</v>
      </c>
      <c r="D85" s="15"/>
      <c r="E85" s="16" t="s">
        <v>403</v>
      </c>
      <c r="F85" s="60">
        <f>551.291599400832+949.9855927+0.056655555</f>
        <v>1501.333847655832</v>
      </c>
      <c r="G85" s="60">
        <f>3727.507618+6423.240509+0.383071342</f>
        <v>10151.131198342</v>
      </c>
      <c r="H85" s="8">
        <f t="shared" si="8"/>
        <v>0.34077705212878073</v>
      </c>
      <c r="I85" s="8">
        <f t="shared" si="8"/>
        <v>0.44689826215719264</v>
      </c>
      <c r="J85" s="8">
        <f t="shared" si="6"/>
        <v>0.44689826215719264</v>
      </c>
    </row>
    <row r="86" spans="1:10">
      <c r="A86" s="108"/>
      <c r="C86" s="29" t="s">
        <v>109</v>
      </c>
      <c r="D86" s="15"/>
      <c r="E86" s="16" t="s">
        <v>404</v>
      </c>
      <c r="H86" s="8">
        <f t="shared" si="8"/>
        <v>0</v>
      </c>
      <c r="I86" s="8">
        <f t="shared" si="8"/>
        <v>0</v>
      </c>
      <c r="J86" s="8">
        <f t="shared" si="6"/>
        <v>0</v>
      </c>
    </row>
    <row r="87" spans="1:10" ht="15.75">
      <c r="A87" s="108" t="s">
        <v>10</v>
      </c>
      <c r="B87" s="3" t="s">
        <v>116</v>
      </c>
      <c r="C87" s="29" t="s">
        <v>120</v>
      </c>
      <c r="D87" s="15"/>
      <c r="E87" s="16" t="s">
        <v>405</v>
      </c>
      <c r="F87" s="60"/>
      <c r="G87" s="60"/>
      <c r="H87" s="8">
        <f>F87/SUM(F$87:F$105)</f>
        <v>0</v>
      </c>
      <c r="I87" s="8">
        <f>G87/SUM(G$87:G$105)</f>
        <v>0</v>
      </c>
      <c r="J87" s="8">
        <f t="shared" si="6"/>
        <v>0</v>
      </c>
    </row>
    <row r="88" spans="1:10" ht="15.75">
      <c r="A88" s="108"/>
      <c r="B88" s="3" t="s">
        <v>117</v>
      </c>
      <c r="C88" s="29" t="s">
        <v>117</v>
      </c>
      <c r="D88" s="15"/>
      <c r="E88" s="16" t="s">
        <v>406</v>
      </c>
      <c r="F88" s="60">
        <v>716.10889431174598</v>
      </c>
      <c r="G88" s="60">
        <v>2751.842752</v>
      </c>
      <c r="H88" s="8">
        <f t="shared" ref="H88:I105" si="9">F88/SUM(F$87:F$105)</f>
        <v>5.4142582905026992E-2</v>
      </c>
      <c r="I88" s="8">
        <f t="shared" si="9"/>
        <v>4.950516464928939E-2</v>
      </c>
      <c r="J88" s="8">
        <f t="shared" si="6"/>
        <v>4.950516464928939E-2</v>
      </c>
    </row>
    <row r="89" spans="1:10" ht="15.75">
      <c r="A89" s="108"/>
      <c r="B89" s="3" t="s">
        <v>118</v>
      </c>
      <c r="C89" s="29" t="s">
        <v>128</v>
      </c>
      <c r="D89" s="15"/>
      <c r="E89" s="16" t="s">
        <v>407</v>
      </c>
      <c r="F89" s="60">
        <v>414.00045450405503</v>
      </c>
      <c r="G89" s="60">
        <v>1590.909091</v>
      </c>
      <c r="H89" s="8">
        <f t="shared" si="9"/>
        <v>3.1301180740462412E-2</v>
      </c>
      <c r="I89" s="8">
        <f t="shared" si="9"/>
        <v>2.862017331287043E-2</v>
      </c>
      <c r="J89" s="8">
        <f t="shared" si="6"/>
        <v>2.862017331287043E-2</v>
      </c>
    </row>
    <row r="90" spans="1:10">
      <c r="A90" s="108"/>
      <c r="B90" s="3" t="s">
        <v>119</v>
      </c>
      <c r="C90" s="29" t="s">
        <v>118</v>
      </c>
      <c r="D90" s="15"/>
      <c r="E90" s="16" t="s">
        <v>408</v>
      </c>
      <c r="F90" s="3">
        <v>1061.855219858307</v>
      </c>
      <c r="G90" s="3">
        <v>4080.4668309999997</v>
      </c>
      <c r="H90" s="8">
        <f t="shared" si="9"/>
        <v>8.0283298714742754E-2</v>
      </c>
      <c r="I90" s="8">
        <f t="shared" si="9"/>
        <v>7.3406876961921372E-2</v>
      </c>
      <c r="J90" s="8">
        <f t="shared" si="6"/>
        <v>7.3406876961921372E-2</v>
      </c>
    </row>
    <row r="91" spans="1:10">
      <c r="A91" s="108"/>
      <c r="B91" s="3" t="s">
        <v>120</v>
      </c>
      <c r="C91" s="29" t="s">
        <v>123</v>
      </c>
      <c r="D91" s="15"/>
      <c r="E91" s="16" t="s">
        <v>409</v>
      </c>
      <c r="H91" s="8">
        <f t="shared" si="9"/>
        <v>0</v>
      </c>
      <c r="I91" s="8">
        <f t="shared" si="9"/>
        <v>0</v>
      </c>
      <c r="J91" s="8">
        <f t="shared" si="6"/>
        <v>0</v>
      </c>
    </row>
    <row r="92" spans="1:10">
      <c r="A92" s="108"/>
      <c r="B92" s="3" t="s">
        <v>121</v>
      </c>
      <c r="C92" s="29" t="s">
        <v>119</v>
      </c>
      <c r="D92" s="15"/>
      <c r="E92" s="16" t="s">
        <v>410</v>
      </c>
      <c r="H92" s="8">
        <f t="shared" si="9"/>
        <v>0</v>
      </c>
      <c r="I92" s="8">
        <f t="shared" si="9"/>
        <v>0</v>
      </c>
      <c r="J92" s="8">
        <f t="shared" si="6"/>
        <v>0</v>
      </c>
    </row>
    <row r="93" spans="1:10" ht="15.75">
      <c r="A93" s="108"/>
      <c r="B93" s="3" t="s">
        <v>122</v>
      </c>
      <c r="C93" s="29" t="s">
        <v>129</v>
      </c>
      <c r="D93" s="15"/>
      <c r="E93" s="16" t="s">
        <v>411</v>
      </c>
      <c r="F93" s="60">
        <v>399.45449265181901</v>
      </c>
      <c r="G93" s="60">
        <v>1535.012285</v>
      </c>
      <c r="H93" s="8">
        <f t="shared" si="9"/>
        <v>3.0201409530002901E-2</v>
      </c>
      <c r="I93" s="8">
        <f t="shared" si="9"/>
        <v>2.7614599654132758E-2</v>
      </c>
      <c r="J93" s="8">
        <f t="shared" si="6"/>
        <v>2.7614599654132758E-2</v>
      </c>
    </row>
    <row r="94" spans="1:10" ht="15.75">
      <c r="A94" s="108"/>
      <c r="B94" s="3" t="s">
        <v>123</v>
      </c>
      <c r="C94" s="29" t="s">
        <v>124</v>
      </c>
      <c r="D94" s="15"/>
      <c r="E94" s="16" t="s">
        <v>412</v>
      </c>
      <c r="F94" s="60">
        <v>567.292514787443</v>
      </c>
      <c r="G94" s="60">
        <v>2179.97543</v>
      </c>
      <c r="H94" s="8">
        <f t="shared" si="9"/>
        <v>4.2891077400735736E-2</v>
      </c>
      <c r="I94" s="8">
        <f t="shared" si="9"/>
        <v>3.9217372618809955E-2</v>
      </c>
      <c r="J94" s="8">
        <f t="shared" si="6"/>
        <v>3.9217372618809955E-2</v>
      </c>
    </row>
    <row r="95" spans="1:10">
      <c r="A95" s="108"/>
      <c r="B95" s="3" t="s">
        <v>124</v>
      </c>
      <c r="C95" s="29" t="s">
        <v>126</v>
      </c>
      <c r="D95" s="15"/>
      <c r="E95" s="16" t="s">
        <v>413</v>
      </c>
      <c r="F95" s="3">
        <v>1182.0745517054052</v>
      </c>
      <c r="G95" s="3">
        <v>7627.6141280000002</v>
      </c>
      <c r="H95" s="8">
        <f t="shared" si="9"/>
        <v>8.9372677708665541E-2</v>
      </c>
      <c r="I95" s="8">
        <f t="shared" si="9"/>
        <v>0.13721942978516743</v>
      </c>
      <c r="J95" s="8">
        <f t="shared" si="6"/>
        <v>0.13721942978516743</v>
      </c>
    </row>
    <row r="96" spans="1:10" ht="15.75">
      <c r="A96" s="108"/>
      <c r="B96" s="3" t="s">
        <v>125</v>
      </c>
      <c r="C96" s="29" t="s">
        <v>127</v>
      </c>
      <c r="D96" s="15"/>
      <c r="E96" s="16" t="s">
        <v>414</v>
      </c>
      <c r="F96" s="60">
        <v>722.82241522267395</v>
      </c>
      <c r="G96" s="60">
        <v>2777.6412780000001</v>
      </c>
      <c r="H96" s="8">
        <f t="shared" si="9"/>
        <v>5.4650169621784497E-2</v>
      </c>
      <c r="I96" s="8">
        <f t="shared" si="9"/>
        <v>4.9969275571474445E-2</v>
      </c>
      <c r="J96" s="8">
        <f t="shared" si="6"/>
        <v>4.9969275571474445E-2</v>
      </c>
    </row>
    <row r="97" spans="1:10" ht="15.75">
      <c r="A97" s="108"/>
      <c r="B97" s="3" t="s">
        <v>126</v>
      </c>
      <c r="C97" s="29" t="s">
        <v>121</v>
      </c>
      <c r="D97" s="15"/>
      <c r="E97" s="16" t="s">
        <v>415</v>
      </c>
      <c r="F97" s="60">
        <v>438.61669781376202</v>
      </c>
      <c r="G97" s="60">
        <v>1685.503686</v>
      </c>
      <c r="H97" s="8">
        <f t="shared" si="9"/>
        <v>3.3162332032944358E-2</v>
      </c>
      <c r="I97" s="8">
        <f t="shared" si="9"/>
        <v>3.0321913354885682E-2</v>
      </c>
      <c r="J97" s="8">
        <f t="shared" si="6"/>
        <v>3.0321913354885682E-2</v>
      </c>
    </row>
    <row r="98" spans="1:10" ht="15.75">
      <c r="A98" s="108"/>
      <c r="B98" s="3" t="s">
        <v>127</v>
      </c>
      <c r="C98" s="29" t="s">
        <v>125</v>
      </c>
      <c r="D98" s="15"/>
      <c r="E98" s="16" t="s">
        <v>416</v>
      </c>
      <c r="F98" s="60">
        <f>1932.83894812869+1062.97414</f>
        <v>2995.8130881286897</v>
      </c>
      <c r="G98" s="60">
        <f>8708.974893+4084.766585</f>
        <v>12793.741478</v>
      </c>
      <c r="H98" s="8">
        <f t="shared" si="9"/>
        <v>0.22650334296973695</v>
      </c>
      <c r="I98" s="8">
        <f t="shared" si="9"/>
        <v>0.23015714756539729</v>
      </c>
      <c r="J98" s="8">
        <f t="shared" si="6"/>
        <v>0.23015714756539729</v>
      </c>
    </row>
    <row r="99" spans="1:10" ht="15.75">
      <c r="A99" s="108"/>
      <c r="B99" s="3" t="s">
        <v>128</v>
      </c>
      <c r="C99" s="29" t="s">
        <v>122</v>
      </c>
      <c r="D99" s="15"/>
      <c r="E99" s="16" t="s">
        <v>417</v>
      </c>
      <c r="F99" s="60">
        <v>642.26016465586497</v>
      </c>
      <c r="G99" s="60">
        <v>2468.0589679999998</v>
      </c>
      <c r="H99" s="8">
        <f t="shared" si="9"/>
        <v>4.8559129048239891E-2</v>
      </c>
      <c r="I99" s="8">
        <f t="shared" si="9"/>
        <v>4.4399944541233458E-2</v>
      </c>
      <c r="J99" s="8">
        <f t="shared" si="6"/>
        <v>4.4399944541233458E-2</v>
      </c>
    </row>
    <row r="100" spans="1:10" ht="15.75">
      <c r="A100" s="108"/>
      <c r="B100" s="3" t="s">
        <v>129</v>
      </c>
      <c r="C100" s="29" t="s">
        <v>418</v>
      </c>
      <c r="D100" s="15"/>
      <c r="E100" s="16" t="s">
        <v>419</v>
      </c>
      <c r="F100" s="60">
        <v>135.14710519833599</v>
      </c>
      <c r="G100" s="60">
        <v>913.78476420000004</v>
      </c>
      <c r="H100" s="8">
        <f t="shared" si="9"/>
        <v>1.0218017686552968E-2</v>
      </c>
      <c r="I100" s="8">
        <f t="shared" si="9"/>
        <v>1.6438826372929715E-2</v>
      </c>
      <c r="J100" s="8">
        <f t="shared" si="6"/>
        <v>1.6438826372929715E-2</v>
      </c>
    </row>
    <row r="101" spans="1:10" ht="15.75">
      <c r="A101" s="108"/>
      <c r="B101" s="3" t="s">
        <v>130</v>
      </c>
      <c r="C101" s="29" t="s">
        <v>130</v>
      </c>
      <c r="D101" s="15"/>
      <c r="E101" s="16" t="s">
        <v>420</v>
      </c>
      <c r="F101">
        <v>3950.9070405971565</v>
      </c>
      <c r="G101">
        <v>15182.432434599999</v>
      </c>
      <c r="H101" s="8">
        <f t="shared" si="9"/>
        <v>0.29871478164110504</v>
      </c>
      <c r="I101" s="8">
        <f t="shared" si="9"/>
        <v>0.2731292756118881</v>
      </c>
      <c r="J101" s="8">
        <f t="shared" si="6"/>
        <v>0.2731292756118881</v>
      </c>
    </row>
    <row r="102" spans="1:10">
      <c r="A102" s="108"/>
      <c r="C102" s="29" t="s">
        <v>116</v>
      </c>
      <c r="D102" s="15"/>
      <c r="E102" s="16" t="s">
        <v>421</v>
      </c>
      <c r="H102" s="8">
        <f t="shared" si="9"/>
        <v>0</v>
      </c>
      <c r="I102" s="8">
        <f t="shared" si="9"/>
        <v>0</v>
      </c>
      <c r="J102" s="8">
        <f t="shared" si="6"/>
        <v>0</v>
      </c>
    </row>
    <row r="103" spans="1:10">
      <c r="A103" s="108"/>
      <c r="C103" s="29" t="s">
        <v>422</v>
      </c>
      <c r="D103" s="15"/>
      <c r="E103" s="16" t="s">
        <v>423</v>
      </c>
      <c r="H103" s="8">
        <f t="shared" si="9"/>
        <v>0</v>
      </c>
      <c r="I103" s="8">
        <f t="shared" si="9"/>
        <v>0</v>
      </c>
      <c r="J103" s="8">
        <f t="shared" si="6"/>
        <v>0</v>
      </c>
    </row>
    <row r="104" spans="1:10">
      <c r="A104" s="108"/>
      <c r="C104" s="29" t="s">
        <v>424</v>
      </c>
      <c r="D104" s="15"/>
      <c r="E104" s="16" t="s">
        <v>425</v>
      </c>
      <c r="H104" s="8">
        <f t="shared" si="9"/>
        <v>0</v>
      </c>
      <c r="I104" s="8">
        <f t="shared" si="9"/>
        <v>0</v>
      </c>
      <c r="J104" s="8">
        <f t="shared" si="6"/>
        <v>0</v>
      </c>
    </row>
    <row r="105" spans="1:10">
      <c r="A105" s="108"/>
      <c r="C105" s="29" t="s">
        <v>426</v>
      </c>
      <c r="D105" s="15"/>
      <c r="E105" s="16" t="s">
        <v>427</v>
      </c>
      <c r="H105" s="8">
        <f t="shared" si="9"/>
        <v>0</v>
      </c>
      <c r="I105" s="8">
        <f t="shared" si="9"/>
        <v>0</v>
      </c>
      <c r="J105" s="8">
        <f t="shared" si="6"/>
        <v>0</v>
      </c>
    </row>
    <row r="106" spans="1:10" ht="15.75">
      <c r="A106" s="108" t="s">
        <v>11</v>
      </c>
      <c r="B106" s="3" t="s">
        <v>131</v>
      </c>
      <c r="C106" s="29" t="s">
        <v>132</v>
      </c>
      <c r="D106" s="15"/>
      <c r="E106" s="16" t="s">
        <v>428</v>
      </c>
      <c r="F106" s="60">
        <v>335.676044271249</v>
      </c>
      <c r="G106" s="60">
        <v>1289.9262900000001</v>
      </c>
      <c r="H106" s="8">
        <f>F106/SUM(F$106:F$132)</f>
        <v>2.9036737641951856E-2</v>
      </c>
      <c r="I106" s="8">
        <f>G106/SUM(G$106:G$132)</f>
        <v>2.5265509459058165E-2</v>
      </c>
      <c r="J106" s="8">
        <f t="shared" si="6"/>
        <v>2.5265509459058165E-2</v>
      </c>
    </row>
    <row r="107" spans="1:10" ht="15.75">
      <c r="A107" s="108"/>
      <c r="B107" s="3" t="s">
        <v>132</v>
      </c>
      <c r="C107" s="29" t="s">
        <v>143</v>
      </c>
      <c r="D107" s="15"/>
      <c r="E107" s="16" t="s">
        <v>429</v>
      </c>
      <c r="F107">
        <v>563.79095291199599</v>
      </c>
      <c r="G107">
        <v>2348.8726701000001</v>
      </c>
      <c r="H107" s="8">
        <f t="shared" ref="H107:I131" si="10">F107/SUM(F$106:F$132)</f>
        <v>4.8769193584106543E-2</v>
      </c>
      <c r="I107" s="8">
        <f t="shared" si="10"/>
        <v>4.6006864984924643E-2</v>
      </c>
      <c r="J107" s="8">
        <f t="shared" si="6"/>
        <v>4.6006864984924643E-2</v>
      </c>
    </row>
    <row r="108" spans="1:10" ht="15.75">
      <c r="A108" s="108"/>
      <c r="B108" s="3" t="s">
        <v>133</v>
      </c>
      <c r="C108" s="29" t="s">
        <v>141</v>
      </c>
      <c r="D108" s="15"/>
      <c r="E108" s="16" t="s">
        <v>430</v>
      </c>
      <c r="F108"/>
      <c r="G108"/>
      <c r="H108" s="8">
        <f t="shared" si="10"/>
        <v>0</v>
      </c>
      <c r="I108" s="8">
        <f t="shared" si="10"/>
        <v>0</v>
      </c>
      <c r="J108" s="8">
        <f t="shared" si="6"/>
        <v>0</v>
      </c>
    </row>
    <row r="109" spans="1:10" ht="15.75">
      <c r="A109" s="108"/>
      <c r="B109" s="3" t="s">
        <v>134</v>
      </c>
      <c r="C109" s="29" t="s">
        <v>138</v>
      </c>
      <c r="D109" s="15"/>
      <c r="E109" s="16" t="s">
        <v>431</v>
      </c>
      <c r="F109" s="60">
        <v>319.31611529947497</v>
      </c>
      <c r="G109" s="60">
        <v>1402.3529410000001</v>
      </c>
      <c r="H109" s="8">
        <f t="shared" si="10"/>
        <v>2.7621566754718375E-2</v>
      </c>
      <c r="I109" s="8">
        <f t="shared" si="10"/>
        <v>2.7467586148487242E-2</v>
      </c>
      <c r="J109" s="8">
        <f t="shared" si="6"/>
        <v>2.7467586148487242E-2</v>
      </c>
    </row>
    <row r="110" spans="1:10" ht="15.75">
      <c r="A110" s="108"/>
      <c r="B110" s="3" t="s">
        <v>135</v>
      </c>
      <c r="C110" s="30" t="s">
        <v>145</v>
      </c>
      <c r="D110" s="16"/>
      <c r="E110" s="19" t="s">
        <v>432</v>
      </c>
      <c r="F110" s="60">
        <v>310.74387059895099</v>
      </c>
      <c r="G110" s="60">
        <v>1364.705882</v>
      </c>
      <c r="H110" s="8">
        <f t="shared" si="10"/>
        <v>2.6880048184597858E-2</v>
      </c>
      <c r="I110" s="8">
        <f t="shared" si="10"/>
        <v>2.6730201281891318E-2</v>
      </c>
      <c r="J110" s="8">
        <f t="shared" si="6"/>
        <v>2.6730201281891318E-2</v>
      </c>
    </row>
    <row r="111" spans="1:10" ht="15.75">
      <c r="A111" s="108"/>
      <c r="B111" s="3" t="s">
        <v>136</v>
      </c>
      <c r="C111" s="30" t="s">
        <v>137</v>
      </c>
      <c r="D111" s="31"/>
      <c r="E111" s="19" t="s">
        <v>433</v>
      </c>
      <c r="F111" s="65">
        <v>553.86547299999995</v>
      </c>
      <c r="G111" s="65">
        <v>2128.3783779999999</v>
      </c>
      <c r="H111" s="8">
        <f t="shared" si="10"/>
        <v>4.791061710510644E-2</v>
      </c>
      <c r="I111" s="8">
        <f t="shared" si="10"/>
        <v>4.168809059765257E-2</v>
      </c>
      <c r="J111" s="8">
        <f t="shared" si="6"/>
        <v>4.168809059765257E-2</v>
      </c>
    </row>
    <row r="112" spans="1:10" ht="15.75">
      <c r="A112" s="108"/>
      <c r="B112" s="3" t="s">
        <v>137</v>
      </c>
      <c r="C112" s="29" t="s">
        <v>134</v>
      </c>
      <c r="D112" s="32"/>
      <c r="E112" s="16" t="s">
        <v>434</v>
      </c>
      <c r="F112" s="60">
        <v>405.43683488101402</v>
      </c>
      <c r="G112" s="60">
        <v>3111.6207949999998</v>
      </c>
      <c r="H112" s="8">
        <f t="shared" si="10"/>
        <v>3.5071203935274957E-2</v>
      </c>
      <c r="I112" s="8">
        <f t="shared" si="10"/>
        <v>6.0946648842295149E-2</v>
      </c>
      <c r="J112" s="8">
        <f t="shared" si="6"/>
        <v>6.0946648842295149E-2</v>
      </c>
    </row>
    <row r="113" spans="1:10" ht="15.75">
      <c r="A113" s="108"/>
      <c r="B113" s="3" t="s">
        <v>138</v>
      </c>
      <c r="C113" s="29" t="s">
        <v>151</v>
      </c>
      <c r="D113" s="15"/>
      <c r="E113" s="16" t="s">
        <v>435</v>
      </c>
      <c r="F113" s="60">
        <v>132.03257742914499</v>
      </c>
      <c r="G113" s="60">
        <v>507.37100750000002</v>
      </c>
      <c r="H113" s="8">
        <f t="shared" si="10"/>
        <v>1.1421116807200014E-2</v>
      </c>
      <c r="I113" s="8">
        <f t="shared" si="10"/>
        <v>9.9377670558548903E-3</v>
      </c>
      <c r="J113" s="8">
        <f t="shared" si="6"/>
        <v>9.9377670558548903E-3</v>
      </c>
    </row>
    <row r="114" spans="1:10" ht="15.75">
      <c r="A114" s="108"/>
      <c r="B114" s="3" t="s">
        <v>139</v>
      </c>
      <c r="C114" s="29" t="s">
        <v>133</v>
      </c>
      <c r="D114" s="15"/>
      <c r="E114" s="16" t="s">
        <v>436</v>
      </c>
      <c r="F114" s="60">
        <v>250.63811303643499</v>
      </c>
      <c r="G114" s="60">
        <v>963.14496320000001</v>
      </c>
      <c r="H114" s="8">
        <f t="shared" si="10"/>
        <v>2.1680764104309899E-2</v>
      </c>
      <c r="I114" s="8">
        <f t="shared" si="10"/>
        <v>1.8864913729430097E-2</v>
      </c>
      <c r="J114" s="8">
        <f t="shared" si="6"/>
        <v>1.8864913729430097E-2</v>
      </c>
    </row>
    <row r="115" spans="1:10" ht="15.75">
      <c r="A115" s="108"/>
      <c r="B115" s="3" t="s">
        <v>140</v>
      </c>
      <c r="C115" s="29" t="s">
        <v>148</v>
      </c>
      <c r="D115" s="15"/>
      <c r="E115" s="16" t="s">
        <v>437</v>
      </c>
      <c r="F115" s="60">
        <v>822.40630830972304</v>
      </c>
      <c r="G115" s="60">
        <v>3160.3194100000001</v>
      </c>
      <c r="H115" s="8">
        <f t="shared" si="10"/>
        <v>7.1140007209388303E-2</v>
      </c>
      <c r="I115" s="8">
        <f t="shared" si="10"/>
        <v>6.1900498164899107E-2</v>
      </c>
      <c r="J115" s="8">
        <f t="shared" si="6"/>
        <v>6.1900498164899107E-2</v>
      </c>
    </row>
    <row r="116" spans="1:10" ht="15.75">
      <c r="A116" s="108"/>
      <c r="B116" s="3" t="s">
        <v>141</v>
      </c>
      <c r="C116" s="29" t="s">
        <v>135</v>
      </c>
      <c r="D116" s="15"/>
      <c r="E116" s="16" t="s">
        <v>438</v>
      </c>
      <c r="F116">
        <v>931.16008110682105</v>
      </c>
      <c r="G116">
        <v>4089.4117649999998</v>
      </c>
      <c r="H116" s="8">
        <f t="shared" si="10"/>
        <v>8.0547454723664938E-2</v>
      </c>
      <c r="I116" s="8">
        <f t="shared" si="10"/>
        <v>8.0098430764281289E-2</v>
      </c>
      <c r="J116" s="8">
        <f t="shared" si="6"/>
        <v>8.0098430764281289E-2</v>
      </c>
    </row>
    <row r="117" spans="1:10" ht="15.75">
      <c r="A117" s="108"/>
      <c r="B117" s="3" t="s">
        <v>142</v>
      </c>
      <c r="C117" s="29" t="s">
        <v>136</v>
      </c>
      <c r="D117" s="15"/>
      <c r="E117" s="16" t="s">
        <v>439</v>
      </c>
      <c r="F117" s="60">
        <v>1064.0930599190699</v>
      </c>
      <c r="G117" s="60">
        <v>4089.0663380000001</v>
      </c>
      <c r="H117" s="8">
        <f t="shared" si="10"/>
        <v>9.2046458288588151E-2</v>
      </c>
      <c r="I117" s="8">
        <f t="shared" si="10"/>
        <v>8.0091664959751563E-2</v>
      </c>
      <c r="J117" s="8">
        <f t="shared" si="6"/>
        <v>8.0091664959751563E-2</v>
      </c>
    </row>
    <row r="118" spans="1:10">
      <c r="A118" s="108"/>
      <c r="B118" s="3" t="s">
        <v>143</v>
      </c>
      <c r="C118" s="29" t="s">
        <v>140</v>
      </c>
      <c r="D118" s="15"/>
      <c r="E118" s="16" t="s">
        <v>440</v>
      </c>
      <c r="H118" s="8">
        <f t="shared" si="10"/>
        <v>0</v>
      </c>
      <c r="I118" s="8">
        <f t="shared" si="10"/>
        <v>0</v>
      </c>
      <c r="J118" s="8">
        <f t="shared" si="6"/>
        <v>0</v>
      </c>
    </row>
    <row r="119" spans="1:10">
      <c r="A119" s="108"/>
      <c r="B119" s="3" t="s">
        <v>144</v>
      </c>
      <c r="C119" s="29" t="s">
        <v>139</v>
      </c>
      <c r="D119" s="15"/>
      <c r="E119" s="16" t="s">
        <v>441</v>
      </c>
      <c r="H119" s="8">
        <f t="shared" si="10"/>
        <v>0</v>
      </c>
      <c r="I119" s="8">
        <f t="shared" si="10"/>
        <v>0</v>
      </c>
      <c r="J119" s="8">
        <f t="shared" si="6"/>
        <v>0</v>
      </c>
    </row>
    <row r="120" spans="1:10">
      <c r="A120" s="108"/>
      <c r="B120" s="3" t="s">
        <v>145</v>
      </c>
      <c r="C120" s="29" t="s">
        <v>142</v>
      </c>
      <c r="D120" s="15"/>
      <c r="E120" s="16" t="s">
        <v>442</v>
      </c>
      <c r="H120" s="8">
        <f t="shared" si="10"/>
        <v>0</v>
      </c>
      <c r="I120" s="8">
        <f t="shared" si="10"/>
        <v>0</v>
      </c>
      <c r="J120" s="8">
        <f t="shared" si="6"/>
        <v>0</v>
      </c>
    </row>
    <row r="121" spans="1:10">
      <c r="A121" s="108"/>
      <c r="B121" s="3" t="s">
        <v>146</v>
      </c>
      <c r="C121" s="29" t="s">
        <v>144</v>
      </c>
      <c r="D121" s="15"/>
      <c r="E121" s="16" t="s">
        <v>443</v>
      </c>
      <c r="F121" s="3">
        <v>1586.507662369615</v>
      </c>
      <c r="G121" s="3">
        <v>6403.6450349999996</v>
      </c>
      <c r="H121" s="8">
        <f t="shared" si="10"/>
        <v>0.13723650390120656</v>
      </c>
      <c r="I121" s="8">
        <f t="shared" si="10"/>
        <v>0.12542682125212234</v>
      </c>
      <c r="J121" s="8">
        <f t="shared" si="6"/>
        <v>0.12542682125212234</v>
      </c>
    </row>
    <row r="122" spans="1:10">
      <c r="A122" s="108"/>
      <c r="B122" s="3" t="s">
        <v>147</v>
      </c>
      <c r="C122" s="29" t="s">
        <v>146</v>
      </c>
      <c r="D122" s="15"/>
      <c r="E122" s="16" t="s">
        <v>444</v>
      </c>
      <c r="F122" s="66">
        <v>1049.55</v>
      </c>
      <c r="G122" s="66">
        <v>4033.17</v>
      </c>
      <c r="H122" s="8">
        <f t="shared" si="10"/>
        <v>9.0788450686949504E-2</v>
      </c>
      <c r="I122" s="8">
        <f t="shared" si="10"/>
        <v>7.8996835381182601E-2</v>
      </c>
      <c r="J122" s="8">
        <f t="shared" si="6"/>
        <v>7.8996835381182601E-2</v>
      </c>
    </row>
    <row r="123" spans="1:10" ht="15.75">
      <c r="A123" s="108"/>
      <c r="B123" s="3" t="s">
        <v>148</v>
      </c>
      <c r="C123" s="29" t="s">
        <v>147</v>
      </c>
      <c r="D123" s="15"/>
      <c r="E123" s="16" t="s">
        <v>445</v>
      </c>
      <c r="F123" s="60">
        <v>203.60590086213099</v>
      </c>
      <c r="G123" s="60">
        <v>1376.662636</v>
      </c>
      <c r="H123" s="8">
        <f t="shared" si="10"/>
        <v>1.7612371292452491E-2</v>
      </c>
      <c r="I123" s="8">
        <f t="shared" si="10"/>
        <v>2.696439565689443E-2</v>
      </c>
      <c r="J123" s="8">
        <f t="shared" si="6"/>
        <v>2.696439565689443E-2</v>
      </c>
    </row>
    <row r="124" spans="1:10" ht="15.75">
      <c r="A124" s="108"/>
      <c r="B124" s="3" t="s">
        <v>149</v>
      </c>
      <c r="C124" s="29" t="s">
        <v>150</v>
      </c>
      <c r="D124" s="15"/>
      <c r="E124" s="16" t="s">
        <v>446</v>
      </c>
      <c r="F124" s="60">
        <v>200.28670638663999</v>
      </c>
      <c r="G124" s="60">
        <v>769.6560197</v>
      </c>
      <c r="H124" s="8">
        <f t="shared" si="10"/>
        <v>1.7325253457229288E-2</v>
      </c>
      <c r="I124" s="8">
        <f t="shared" si="10"/>
        <v>1.507508731057137E-2</v>
      </c>
      <c r="J124" s="8">
        <f t="shared" si="6"/>
        <v>1.507508731057137E-2</v>
      </c>
    </row>
    <row r="125" spans="1:10">
      <c r="A125" s="108"/>
      <c r="B125" s="3" t="s">
        <v>150</v>
      </c>
      <c r="C125" s="29" t="s">
        <v>152</v>
      </c>
      <c r="D125" s="15"/>
      <c r="E125" s="16" t="s">
        <v>447</v>
      </c>
      <c r="F125" s="3">
        <f>1544.10980341094+302.1716259</f>
        <v>1846.28142931094</v>
      </c>
      <c r="G125" s="3">
        <f>8637.4670338+1327.058824</f>
        <v>9964.5258577999994</v>
      </c>
      <c r="H125" s="8">
        <f t="shared" si="10"/>
        <v>0.15970752274710776</v>
      </c>
      <c r="I125" s="8">
        <f t="shared" si="10"/>
        <v>0.19517302985992752</v>
      </c>
      <c r="J125" s="8">
        <f t="shared" si="6"/>
        <v>0.19517302985992752</v>
      </c>
    </row>
    <row r="126" spans="1:10">
      <c r="A126" s="108"/>
      <c r="B126" s="3" t="s">
        <v>151</v>
      </c>
      <c r="C126" s="29" t="s">
        <v>149</v>
      </c>
      <c r="D126" s="15"/>
      <c r="E126" s="16" t="s">
        <v>448</v>
      </c>
      <c r="F126" s="3">
        <v>985</v>
      </c>
      <c r="G126" s="3">
        <v>4052</v>
      </c>
      <c r="H126" s="8">
        <f t="shared" si="10"/>
        <v>8.5204729576147178E-2</v>
      </c>
      <c r="I126" s="8">
        <f t="shared" si="10"/>
        <v>7.9365654550775669E-2</v>
      </c>
      <c r="J126" s="8">
        <f t="shared" si="6"/>
        <v>7.9365654550775669E-2</v>
      </c>
    </row>
    <row r="127" spans="1:10">
      <c r="A127" s="108"/>
      <c r="B127" s="3" t="s">
        <v>152</v>
      </c>
      <c r="C127" s="29" t="s">
        <v>131</v>
      </c>
      <c r="D127" s="15"/>
      <c r="E127" s="16" t="s">
        <v>449</v>
      </c>
      <c r="H127" s="8">
        <f t="shared" si="10"/>
        <v>0</v>
      </c>
      <c r="I127" s="8">
        <f t="shared" si="10"/>
        <v>0</v>
      </c>
      <c r="J127" s="8">
        <f t="shared" si="6"/>
        <v>0</v>
      </c>
    </row>
    <row r="128" spans="1:10">
      <c r="A128" s="108"/>
      <c r="C128" s="29" t="s">
        <v>450</v>
      </c>
      <c r="D128" s="15"/>
      <c r="E128" s="16" t="s">
        <v>451</v>
      </c>
      <c r="H128" s="8">
        <f t="shared" si="10"/>
        <v>0</v>
      </c>
      <c r="I128" s="8">
        <f t="shared" si="10"/>
        <v>0</v>
      </c>
      <c r="J128" s="8">
        <f t="shared" si="6"/>
        <v>0</v>
      </c>
    </row>
    <row r="129" spans="1:12">
      <c r="A129" s="108"/>
      <c r="C129" s="29" t="s">
        <v>452</v>
      </c>
      <c r="D129" s="15"/>
      <c r="E129" s="16" t="s">
        <v>453</v>
      </c>
      <c r="H129" s="8">
        <f t="shared" si="10"/>
        <v>0</v>
      </c>
      <c r="I129" s="8">
        <f t="shared" si="10"/>
        <v>0</v>
      </c>
      <c r="J129" s="8">
        <f t="shared" si="6"/>
        <v>0</v>
      </c>
    </row>
    <row r="130" spans="1:12">
      <c r="A130" s="108"/>
      <c r="C130" s="29" t="s">
        <v>454</v>
      </c>
      <c r="D130" s="15"/>
      <c r="E130" s="16" t="s">
        <v>455</v>
      </c>
      <c r="H130" s="8">
        <f t="shared" si="10"/>
        <v>0</v>
      </c>
      <c r="I130" s="8">
        <f t="shared" si="10"/>
        <v>0</v>
      </c>
      <c r="J130" s="8">
        <f t="shared" si="6"/>
        <v>0</v>
      </c>
    </row>
    <row r="131" spans="1:12">
      <c r="A131" s="108"/>
      <c r="C131" s="29" t="s">
        <v>456</v>
      </c>
      <c r="D131" s="15"/>
      <c r="E131" s="16" t="s">
        <v>457</v>
      </c>
      <c r="H131" s="8">
        <f t="shared" si="10"/>
        <v>0</v>
      </c>
      <c r="I131" s="8">
        <f t="shared" si="10"/>
        <v>0</v>
      </c>
      <c r="J131" s="8">
        <f t="shared" ref="J131:J195" si="11">I131</f>
        <v>0</v>
      </c>
    </row>
    <row r="132" spans="1:12">
      <c r="A132" s="108"/>
      <c r="C132" s="29" t="s">
        <v>458</v>
      </c>
      <c r="D132" s="15"/>
      <c r="E132" s="16" t="s">
        <v>459</v>
      </c>
      <c r="H132" s="8">
        <f>F132/SUM(F$106:F$132)</f>
        <v>0</v>
      </c>
      <c r="I132" s="8">
        <f>G132/SUM(G$106:G$132)</f>
        <v>0</v>
      </c>
      <c r="J132" s="8">
        <f t="shared" si="11"/>
        <v>0</v>
      </c>
    </row>
    <row r="133" spans="1:12">
      <c r="A133" s="108" t="s">
        <v>12</v>
      </c>
      <c r="B133" s="3" t="s">
        <v>153</v>
      </c>
      <c r="C133" s="19" t="s">
        <v>460</v>
      </c>
      <c r="D133" s="16"/>
      <c r="E133" s="19" t="s">
        <v>461</v>
      </c>
      <c r="H133" s="8">
        <f>F133/SUM(F$133:F$137)</f>
        <v>0</v>
      </c>
      <c r="I133" s="8">
        <f>G133/SUM(G$133:G$137)</f>
        <v>0</v>
      </c>
      <c r="J133" s="8">
        <f t="shared" si="11"/>
        <v>0</v>
      </c>
    </row>
    <row r="134" spans="1:12">
      <c r="A134" s="108"/>
      <c r="B134" s="3" t="s">
        <v>154</v>
      </c>
      <c r="C134" s="29" t="s">
        <v>154</v>
      </c>
      <c r="D134" s="15"/>
      <c r="E134" s="16" t="s">
        <v>462</v>
      </c>
      <c r="F134" s="3">
        <f>1126.16515532389+292.0381584</f>
        <v>1418.20331372389</v>
      </c>
      <c r="G134" s="3">
        <f>4327.595208+1122.235872</f>
        <v>5449.8310799999999</v>
      </c>
      <c r="H134" s="8">
        <f>F134/(SUM(F$133:F$134)+SUM(F136:F137))</f>
        <v>0.70905232936409468</v>
      </c>
      <c r="I134" s="8">
        <f>G134/(SUM(G$133:G$134)+SUM(G136:G137))</f>
        <v>0.70905232937861307</v>
      </c>
      <c r="J134" s="8">
        <f t="shared" si="11"/>
        <v>0.70905232937861307</v>
      </c>
    </row>
    <row r="135" spans="1:12">
      <c r="A135" s="108"/>
      <c r="C135" s="29" t="s">
        <v>153</v>
      </c>
      <c r="D135" s="15"/>
      <c r="E135" s="16"/>
      <c r="F135" s="3">
        <f>F133+F136+F137</f>
        <v>581.935822686238</v>
      </c>
      <c r="G135" s="3">
        <f t="shared" ref="G135:H135" si="12">G133+G136+G137</f>
        <v>2236.246314</v>
      </c>
      <c r="H135" s="90">
        <f t="shared" si="12"/>
        <v>0.29094767063590532</v>
      </c>
      <c r="I135" s="90">
        <f t="shared" ref="I135" si="13">I133+I136+I137</f>
        <v>0.29094767062138693</v>
      </c>
      <c r="J135" s="8">
        <f t="shared" si="11"/>
        <v>0.29094767062138693</v>
      </c>
    </row>
    <row r="136" spans="1:12" ht="15.75">
      <c r="A136" s="108"/>
      <c r="C136" s="29" t="s">
        <v>463</v>
      </c>
      <c r="D136" s="15"/>
      <c r="E136" s="16" t="s">
        <v>464</v>
      </c>
      <c r="F136" s="60">
        <v>581.935822686238</v>
      </c>
      <c r="G136" s="60">
        <v>2236.246314</v>
      </c>
      <c r="H136" s="8">
        <f>F136/(SUM(F$133:F$134)+SUM(F136:F137))</f>
        <v>0.29094767063590532</v>
      </c>
      <c r="I136" s="8">
        <f>G136/(SUM(G$133:G$134)+SUM(G136:G137))</f>
        <v>0.29094767062138693</v>
      </c>
      <c r="J136" s="8">
        <f t="shared" si="11"/>
        <v>0.29094767062138693</v>
      </c>
    </row>
    <row r="137" spans="1:12">
      <c r="A137" s="108"/>
      <c r="C137" s="29" t="s">
        <v>465</v>
      </c>
      <c r="D137" s="15"/>
      <c r="E137" s="16" t="s">
        <v>466</v>
      </c>
      <c r="H137" s="8">
        <f>F137/SUM(F$133:F$137)</f>
        <v>0</v>
      </c>
      <c r="I137" s="8">
        <f>G137/SUM(G$133:G$137)</f>
        <v>0</v>
      </c>
      <c r="J137" s="8">
        <f t="shared" si="11"/>
        <v>0</v>
      </c>
    </row>
    <row r="138" spans="1:12" ht="15.75">
      <c r="A138" s="108" t="s">
        <v>13</v>
      </c>
      <c r="B138" s="3" t="s">
        <v>155</v>
      </c>
      <c r="C138" s="29" t="s">
        <v>163</v>
      </c>
      <c r="D138" s="15"/>
      <c r="E138" s="16" t="s">
        <v>467</v>
      </c>
      <c r="F138" s="60">
        <v>850.37931207489396</v>
      </c>
      <c r="G138" s="60">
        <v>3267.8132679999999</v>
      </c>
      <c r="H138" s="8">
        <f>F138/SUM(F$138:F$158)</f>
        <v>6.9023246115294382E-2</v>
      </c>
      <c r="I138" s="8">
        <f>G138/SUM(G$138:G$158)</f>
        <v>6.3162857434411412E-2</v>
      </c>
      <c r="J138" s="8">
        <f t="shared" si="11"/>
        <v>6.3162857434411412E-2</v>
      </c>
    </row>
    <row r="139" spans="1:12">
      <c r="A139" s="108"/>
      <c r="B139" s="3" t="s">
        <v>156</v>
      </c>
      <c r="C139" s="29" t="s">
        <v>156</v>
      </c>
      <c r="D139" s="15"/>
      <c r="E139" s="16" t="s">
        <v>468</v>
      </c>
      <c r="H139" s="8">
        <f t="shared" ref="H139:I158" si="14">F139/SUM(F$138:F$158)</f>
        <v>0</v>
      </c>
      <c r="I139" s="8">
        <f t="shared" si="14"/>
        <v>0</v>
      </c>
      <c r="J139" s="8">
        <f t="shared" si="11"/>
        <v>0</v>
      </c>
    </row>
    <row r="140" spans="1:12">
      <c r="A140" s="108"/>
      <c r="B140" s="3" t="s">
        <v>157</v>
      </c>
      <c r="C140" s="29" t="s">
        <v>167</v>
      </c>
      <c r="D140" s="15"/>
      <c r="E140" s="16" t="s">
        <v>469</v>
      </c>
      <c r="H140" s="8">
        <f t="shared" si="14"/>
        <v>0</v>
      </c>
      <c r="I140" s="8">
        <f t="shared" si="14"/>
        <v>0</v>
      </c>
      <c r="J140" s="8">
        <f t="shared" si="11"/>
        <v>0</v>
      </c>
    </row>
    <row r="141" spans="1:12">
      <c r="A141" s="108"/>
      <c r="B141" s="3" t="s">
        <v>158</v>
      </c>
      <c r="C141" s="29" t="s">
        <v>166</v>
      </c>
      <c r="D141" s="15"/>
      <c r="E141" s="16" t="s">
        <v>470</v>
      </c>
      <c r="F141" s="3">
        <v>3140.6957890349281</v>
      </c>
      <c r="G141" s="3">
        <v>13534.079186999999</v>
      </c>
      <c r="H141" s="8">
        <f t="shared" si="14"/>
        <v>0.25492273311645941</v>
      </c>
      <c r="I141" s="8">
        <f t="shared" si="14"/>
        <v>0.26159729583254621</v>
      </c>
      <c r="J141" s="8">
        <f t="shared" si="11"/>
        <v>0.26159729583254621</v>
      </c>
    </row>
    <row r="142" spans="1:12" ht="15.75">
      <c r="A142" s="108"/>
      <c r="B142" s="3" t="s">
        <v>159</v>
      </c>
      <c r="C142" s="29" t="s">
        <v>175</v>
      </c>
      <c r="D142" s="15"/>
      <c r="E142" s="16" t="s">
        <v>471</v>
      </c>
      <c r="F142" s="60">
        <v>195.81102580971501</v>
      </c>
      <c r="G142" s="60">
        <v>752.45700250000004</v>
      </c>
      <c r="H142" s="8">
        <f t="shared" si="14"/>
        <v>1.5893510618896489E-2</v>
      </c>
      <c r="I142" s="8">
        <f t="shared" si="14"/>
        <v>1.4544079014502628E-2</v>
      </c>
      <c r="J142" s="8">
        <f t="shared" si="11"/>
        <v>1.4544079014502628E-2</v>
      </c>
      <c r="K142" s="60"/>
      <c r="L142" s="60"/>
    </row>
    <row r="143" spans="1:12" ht="15.75">
      <c r="A143" s="108"/>
      <c r="B143" s="3" t="s">
        <v>160</v>
      </c>
      <c r="C143" s="29" t="s">
        <v>164</v>
      </c>
      <c r="D143" s="15"/>
      <c r="E143" s="16" t="s">
        <v>472</v>
      </c>
      <c r="F143" s="60">
        <v>510.22758722672</v>
      </c>
      <c r="G143" s="60">
        <v>1960.6879610000001</v>
      </c>
      <c r="H143" s="8">
        <f t="shared" si="14"/>
        <v>4.1413947667698049E-2</v>
      </c>
      <c r="I143" s="8">
        <f t="shared" si="14"/>
        <v>3.7897714464512608E-2</v>
      </c>
      <c r="J143" s="8">
        <f t="shared" si="11"/>
        <v>3.7897714464512608E-2</v>
      </c>
    </row>
    <row r="144" spans="1:12" ht="15.75">
      <c r="A144" s="108"/>
      <c r="B144" s="3" t="s">
        <v>161</v>
      </c>
      <c r="C144" s="29" t="s">
        <v>171</v>
      </c>
      <c r="D144" s="15"/>
      <c r="E144" s="16" t="s">
        <v>473</v>
      </c>
      <c r="F144" s="60">
        <v>585.19523709514306</v>
      </c>
      <c r="G144" s="60">
        <v>2248.7714989999999</v>
      </c>
      <c r="H144" s="8">
        <f t="shared" si="14"/>
        <v>4.7498891732162374E-2</v>
      </c>
      <c r="I144" s="8">
        <f t="shared" si="14"/>
        <v>4.3466018999560728E-2</v>
      </c>
      <c r="J144" s="8">
        <f t="shared" si="11"/>
        <v>4.3466018999560728E-2</v>
      </c>
    </row>
    <row r="145" spans="1:10">
      <c r="A145" s="108"/>
      <c r="B145" s="3" t="s">
        <v>162</v>
      </c>
      <c r="C145" s="29" t="s">
        <v>174</v>
      </c>
      <c r="D145" s="32"/>
      <c r="E145" s="16" t="s">
        <v>474</v>
      </c>
      <c r="F145" s="3">
        <f>1048.42817812753+116.8520822</f>
        <v>1165.28026032753</v>
      </c>
      <c r="G145" s="3">
        <f>4028.869779+790.0846434</f>
        <v>4818.9544224000001</v>
      </c>
      <c r="H145" s="8">
        <f t="shared" si="14"/>
        <v>9.4582999680027161E-2</v>
      </c>
      <c r="I145" s="8">
        <f t="shared" si="14"/>
        <v>9.3144530057945041E-2</v>
      </c>
      <c r="J145" s="8">
        <f t="shared" si="11"/>
        <v>9.3144530057945041E-2</v>
      </c>
    </row>
    <row r="146" spans="1:10">
      <c r="A146" s="108"/>
      <c r="B146" s="3" t="s">
        <v>163</v>
      </c>
      <c r="C146" s="29" t="s">
        <v>173</v>
      </c>
      <c r="D146" s="15"/>
      <c r="E146" s="16" t="s">
        <v>475</v>
      </c>
      <c r="H146" s="8">
        <f t="shared" si="14"/>
        <v>0</v>
      </c>
      <c r="I146" s="8">
        <f t="shared" si="14"/>
        <v>0</v>
      </c>
      <c r="J146" s="8">
        <f t="shared" si="11"/>
        <v>0</v>
      </c>
    </row>
    <row r="147" spans="1:10" ht="15.75">
      <c r="A147" s="108"/>
      <c r="B147" s="3" t="s">
        <v>164</v>
      </c>
      <c r="C147" s="29" t="s">
        <v>172</v>
      </c>
      <c r="D147" s="15"/>
      <c r="E147" s="16" t="s">
        <v>476</v>
      </c>
      <c r="F147" s="60">
        <f>146.799690598951+114.5510405</f>
        <v>261.35073109895097</v>
      </c>
      <c r="G147" s="60">
        <f>644.7058824+774.5263604</f>
        <v>1419.2322428</v>
      </c>
      <c r="H147" s="8">
        <f t="shared" si="14"/>
        <v>2.1213211068175978E-2</v>
      </c>
      <c r="I147" s="8">
        <f t="shared" si="14"/>
        <v>2.7432033738317131E-2</v>
      </c>
      <c r="J147" s="8">
        <f t="shared" si="11"/>
        <v>2.7432033738317131E-2</v>
      </c>
    </row>
    <row r="148" spans="1:10">
      <c r="A148" s="108"/>
      <c r="B148" s="3" t="s">
        <v>165</v>
      </c>
      <c r="C148" s="29" t="s">
        <v>161</v>
      </c>
      <c r="D148" s="32"/>
      <c r="E148" s="16" t="s">
        <v>477</v>
      </c>
      <c r="F148" s="3">
        <v>1420.5088527534858</v>
      </c>
      <c r="G148" s="3">
        <v>5643.2948573000003</v>
      </c>
      <c r="H148" s="8">
        <f t="shared" si="14"/>
        <v>0.11529929145774315</v>
      </c>
      <c r="I148" s="8">
        <f t="shared" si="14"/>
        <v>0.10907802842423217</v>
      </c>
      <c r="J148" s="8">
        <f t="shared" si="11"/>
        <v>0.10907802842423217</v>
      </c>
    </row>
    <row r="149" spans="1:10">
      <c r="A149" s="108"/>
      <c r="B149" s="3" t="s">
        <v>166</v>
      </c>
      <c r="C149" s="29" t="s">
        <v>162</v>
      </c>
      <c r="D149" s="15"/>
      <c r="E149" s="16" t="s">
        <v>478</v>
      </c>
      <c r="F149" s="3">
        <v>371.46875481468703</v>
      </c>
      <c r="G149" s="3">
        <v>1762.5957536000001</v>
      </c>
      <c r="H149" s="8">
        <f t="shared" si="14"/>
        <v>3.0151226545193685E-2</v>
      </c>
      <c r="I149" s="8">
        <f t="shared" si="14"/>
        <v>3.4068832937713546E-2</v>
      </c>
      <c r="J149" s="8">
        <f t="shared" si="11"/>
        <v>3.4068832937713546E-2</v>
      </c>
    </row>
    <row r="150" spans="1:10" ht="29.25">
      <c r="A150" s="108"/>
      <c r="B150" s="3" t="s">
        <v>167</v>
      </c>
      <c r="C150" s="29" t="s">
        <v>158</v>
      </c>
      <c r="D150" s="15"/>
      <c r="E150" s="16" t="s">
        <v>479</v>
      </c>
      <c r="F150" s="3">
        <v>471.74344772468919</v>
      </c>
      <c r="G150" s="3">
        <v>1812.8022117</v>
      </c>
      <c r="H150" s="8">
        <f t="shared" si="14"/>
        <v>3.8290282504792425E-2</v>
      </c>
      <c r="I150" s="8">
        <f t="shared" si="14"/>
        <v>3.5039262731334501E-2</v>
      </c>
      <c r="J150" s="8">
        <f t="shared" si="11"/>
        <v>3.5039262731334501E-2</v>
      </c>
    </row>
    <row r="151" spans="1:10">
      <c r="A151" s="108"/>
      <c r="B151" s="3" t="s">
        <v>168</v>
      </c>
      <c r="C151" s="29" t="s">
        <v>159</v>
      </c>
      <c r="D151" s="15"/>
      <c r="E151" s="16" t="s">
        <v>480</v>
      </c>
      <c r="F151" s="3">
        <v>750.79541889676398</v>
      </c>
      <c r="G151" s="3">
        <v>2885.1351353</v>
      </c>
      <c r="H151" s="8">
        <f t="shared" si="14"/>
        <v>6.0940260710602545E-2</v>
      </c>
      <c r="I151" s="8">
        <f t="shared" si="14"/>
        <v>5.5766154392750074E-2</v>
      </c>
      <c r="J151" s="8">
        <f t="shared" si="11"/>
        <v>5.5766154392750074E-2</v>
      </c>
    </row>
    <row r="152" spans="1:10" ht="15.75">
      <c r="A152" s="108"/>
      <c r="B152" s="3" t="s">
        <v>169</v>
      </c>
      <c r="C152" s="29" t="s">
        <v>155</v>
      </c>
      <c r="D152" s="32"/>
      <c r="E152" s="16" t="s">
        <v>481</v>
      </c>
      <c r="F152" s="60">
        <v>343.50848521255699</v>
      </c>
      <c r="G152" s="60">
        <v>1320.02457</v>
      </c>
      <c r="H152" s="8">
        <f t="shared" si="14"/>
        <v>2.7881758623297868E-2</v>
      </c>
      <c r="I152" s="8">
        <f t="shared" si="14"/>
        <v>2.5514470040651733E-2</v>
      </c>
      <c r="J152" s="8">
        <f t="shared" si="11"/>
        <v>2.5514470040651733E-2</v>
      </c>
    </row>
    <row r="153" spans="1:10" ht="15.75">
      <c r="A153" s="108"/>
      <c r="B153" s="3" t="s">
        <v>170</v>
      </c>
      <c r="C153" s="29" t="s">
        <v>169</v>
      </c>
      <c r="D153" s="15"/>
      <c r="E153" s="16" t="s">
        <v>482</v>
      </c>
      <c r="F153" s="60">
        <v>281.50728898751998</v>
      </c>
      <c r="G153" s="60">
        <v>1903.385732</v>
      </c>
      <c r="H153" s="8">
        <f t="shared" si="14"/>
        <v>2.2849270455116175E-2</v>
      </c>
      <c r="I153" s="8">
        <f t="shared" si="14"/>
        <v>3.6790132046495137E-2</v>
      </c>
      <c r="J153" s="8">
        <f t="shared" si="11"/>
        <v>3.6790132046495137E-2</v>
      </c>
    </row>
    <row r="154" spans="1:10">
      <c r="A154" s="108"/>
      <c r="B154" s="3" t="s">
        <v>171</v>
      </c>
      <c r="C154" s="29" t="s">
        <v>170</v>
      </c>
      <c r="D154" s="15"/>
      <c r="E154" s="16" t="s">
        <v>483</v>
      </c>
      <c r="F154" s="3">
        <v>783.24410314778004</v>
      </c>
      <c r="G154" s="3">
        <v>3009.8280100000002</v>
      </c>
      <c r="H154" s="8">
        <f t="shared" si="14"/>
        <v>6.3574042468193218E-2</v>
      </c>
      <c r="I154" s="8">
        <f t="shared" si="14"/>
        <v>5.8176316058010512E-2</v>
      </c>
      <c r="J154" s="8">
        <f t="shared" si="11"/>
        <v>5.8176316058010512E-2</v>
      </c>
    </row>
    <row r="155" spans="1:10">
      <c r="A155" s="108"/>
      <c r="B155" s="3" t="s">
        <v>172</v>
      </c>
      <c r="C155" s="29" t="s">
        <v>160</v>
      </c>
      <c r="D155" s="15"/>
      <c r="E155" s="16" t="s">
        <v>484</v>
      </c>
      <c r="H155" s="8">
        <f t="shared" si="14"/>
        <v>0</v>
      </c>
      <c r="I155" s="8">
        <f t="shared" si="14"/>
        <v>0</v>
      </c>
      <c r="J155" s="8">
        <f t="shared" si="11"/>
        <v>0</v>
      </c>
    </row>
    <row r="156" spans="1:10">
      <c r="A156" s="108"/>
      <c r="B156" s="3" t="s">
        <v>173</v>
      </c>
      <c r="C156" s="29" t="s">
        <v>157</v>
      </c>
      <c r="D156" s="15"/>
      <c r="E156" s="16" t="s">
        <v>485</v>
      </c>
      <c r="H156" s="8">
        <f t="shared" si="14"/>
        <v>0</v>
      </c>
      <c r="I156" s="8">
        <f t="shared" si="14"/>
        <v>0</v>
      </c>
      <c r="J156" s="8">
        <f t="shared" si="11"/>
        <v>0</v>
      </c>
    </row>
    <row r="157" spans="1:10">
      <c r="A157" s="108"/>
      <c r="B157" s="3" t="s">
        <v>174</v>
      </c>
      <c r="C157" s="29" t="s">
        <v>165</v>
      </c>
      <c r="D157" s="15"/>
      <c r="E157" s="16" t="s">
        <v>486</v>
      </c>
      <c r="F157" s="63">
        <v>145.45961915992001</v>
      </c>
      <c r="G157" s="63">
        <v>558.96805900000004</v>
      </c>
      <c r="H157" s="8">
        <f t="shared" si="14"/>
        <v>1.1806607887267024E-2</v>
      </c>
      <c r="I157" s="8">
        <f t="shared" si="14"/>
        <v>1.0804172982201952E-2</v>
      </c>
      <c r="J157" s="8">
        <f t="shared" si="11"/>
        <v>1.0804172982201952E-2</v>
      </c>
    </row>
    <row r="158" spans="1:10">
      <c r="A158" s="108"/>
      <c r="B158" s="3" t="s">
        <v>175</v>
      </c>
      <c r="C158" s="29" t="s">
        <v>168</v>
      </c>
      <c r="D158" s="15"/>
      <c r="E158" s="16" t="s">
        <v>487</v>
      </c>
      <c r="F158" s="64">
        <f>822.584+220.427269</f>
        <v>1043.0112689999999</v>
      </c>
      <c r="G158" s="64">
        <f>3991.23+847.051597</f>
        <v>4838.2815970000001</v>
      </c>
      <c r="H158" s="8">
        <f t="shared" si="14"/>
        <v>8.4658719349080397E-2</v>
      </c>
      <c r="I158" s="8">
        <f t="shared" si="14"/>
        <v>9.3518100844814669E-2</v>
      </c>
      <c r="J158" s="8">
        <f t="shared" si="11"/>
        <v>9.3518100844814669E-2</v>
      </c>
    </row>
    <row r="159" spans="1:10">
      <c r="A159" s="26" t="s">
        <v>624</v>
      </c>
      <c r="C159" s="29" t="s">
        <v>488</v>
      </c>
      <c r="D159" s="15"/>
      <c r="E159" s="16" t="s">
        <v>489</v>
      </c>
      <c r="F159" s="62">
        <f>808.5219832+158.7535864</f>
        <v>967.27556960000004</v>
      </c>
      <c r="G159" s="68">
        <f>5466.747281+1073.397823</f>
        <v>6540.1451040000002</v>
      </c>
      <c r="H159" s="8">
        <v>1</v>
      </c>
      <c r="I159" s="8">
        <v>1</v>
      </c>
      <c r="J159" s="8">
        <f t="shared" si="11"/>
        <v>1</v>
      </c>
    </row>
    <row r="160" spans="1:10">
      <c r="A160" s="26" t="s">
        <v>14</v>
      </c>
      <c r="B160" s="3" t="s">
        <v>176</v>
      </c>
      <c r="C160" s="29" t="s">
        <v>176</v>
      </c>
      <c r="D160" s="15"/>
      <c r="E160" s="16" t="s">
        <v>490</v>
      </c>
      <c r="F160" s="63">
        <v>758.62785992915303</v>
      </c>
      <c r="G160" s="63">
        <v>2915.2334150000002</v>
      </c>
      <c r="H160" s="8">
        <v>1</v>
      </c>
      <c r="I160" s="8">
        <v>1</v>
      </c>
      <c r="J160" s="8">
        <f t="shared" si="11"/>
        <v>1</v>
      </c>
    </row>
    <row r="161" spans="1:11">
      <c r="A161" s="108" t="s">
        <v>623</v>
      </c>
      <c r="B161" s="3" t="s">
        <v>491</v>
      </c>
      <c r="C161" s="29" t="s">
        <v>491</v>
      </c>
      <c r="D161" s="15"/>
      <c r="E161" s="16" t="s">
        <v>492</v>
      </c>
      <c r="H161" s="8">
        <f>F161/SUM(F$161:F$162)</f>
        <v>0</v>
      </c>
      <c r="I161" s="8">
        <f>G161/SUM(G$161:G$162)</f>
        <v>0</v>
      </c>
      <c r="J161" s="8">
        <f t="shared" si="11"/>
        <v>0</v>
      </c>
    </row>
    <row r="162" spans="1:11" ht="15.75">
      <c r="A162" s="108"/>
      <c r="B162" s="3" t="s">
        <v>493</v>
      </c>
      <c r="C162" s="29" t="s">
        <v>493</v>
      </c>
      <c r="D162" s="15"/>
      <c r="E162" s="16" t="s">
        <v>494</v>
      </c>
      <c r="F162" s="60">
        <v>615.82567888089295</v>
      </c>
      <c r="G162" s="60">
        <v>4726.2996940000003</v>
      </c>
      <c r="H162" s="8">
        <f>F162/SUM(F$161:F$162)</f>
        <v>1</v>
      </c>
      <c r="I162" s="8">
        <f>G162/SUM(G$161:G$162)</f>
        <v>1</v>
      </c>
      <c r="J162" s="8">
        <f t="shared" si="11"/>
        <v>1</v>
      </c>
    </row>
    <row r="163" spans="1:11" ht="15.75">
      <c r="A163" s="26" t="s">
        <v>15</v>
      </c>
      <c r="B163" s="3" t="s">
        <v>177</v>
      </c>
      <c r="C163" s="29" t="s">
        <v>177</v>
      </c>
      <c r="D163" s="15"/>
      <c r="E163" s="16" t="s">
        <v>15</v>
      </c>
      <c r="F163" s="60">
        <v>613.16824076923297</v>
      </c>
      <c r="G163" s="60">
        <v>2356.2653559999999</v>
      </c>
      <c r="H163" s="8">
        <v>1</v>
      </c>
      <c r="I163" s="8">
        <v>1</v>
      </c>
      <c r="J163" s="8">
        <f t="shared" si="11"/>
        <v>1</v>
      </c>
    </row>
    <row r="164" spans="1:11">
      <c r="A164" s="108" t="s">
        <v>16</v>
      </c>
      <c r="B164" s="3" t="s">
        <v>178</v>
      </c>
      <c r="C164" s="29" t="s">
        <v>182</v>
      </c>
      <c r="D164" s="15"/>
      <c r="E164" s="16" t="s">
        <v>495</v>
      </c>
      <c r="H164" s="8">
        <f>F164/SUM(F$164:F$171)</f>
        <v>0</v>
      </c>
      <c r="I164" s="8">
        <f>G164/SUM(G$164:G$171)</f>
        <v>0</v>
      </c>
      <c r="J164" s="8">
        <f t="shared" si="11"/>
        <v>0</v>
      </c>
    </row>
    <row r="165" spans="1:11" ht="15.75">
      <c r="A165" s="108"/>
      <c r="B165" s="3" t="s">
        <v>179</v>
      </c>
      <c r="C165" s="29" t="s">
        <v>181</v>
      </c>
      <c r="D165" s="15"/>
      <c r="E165" s="16" t="s">
        <v>496</v>
      </c>
      <c r="F165" s="60">
        <v>507.98974689271802</v>
      </c>
      <c r="G165" s="60">
        <v>1952.088452</v>
      </c>
      <c r="H165" s="8">
        <f t="shared" ref="H165:I171" si="15">F165/SUM(F$164:F$171)</f>
        <v>0.43219778283819971</v>
      </c>
      <c r="I165" s="8">
        <f t="shared" si="15"/>
        <v>0.4321977828636232</v>
      </c>
      <c r="J165" s="8">
        <f t="shared" si="11"/>
        <v>0.4321977828636232</v>
      </c>
    </row>
    <row r="166" spans="1:11">
      <c r="A166" s="108"/>
      <c r="B166" s="3" t="s">
        <v>180</v>
      </c>
      <c r="C166" s="29" t="s">
        <v>180</v>
      </c>
      <c r="D166" s="15"/>
      <c r="E166" s="16" t="s">
        <v>497</v>
      </c>
      <c r="H166" s="8">
        <f t="shared" si="15"/>
        <v>0</v>
      </c>
      <c r="I166" s="8">
        <f t="shared" si="15"/>
        <v>0</v>
      </c>
      <c r="J166" s="8">
        <f t="shared" si="11"/>
        <v>0</v>
      </c>
    </row>
    <row r="167" spans="1:11" ht="15.75">
      <c r="A167" s="108"/>
      <c r="B167" s="3" t="s">
        <v>181</v>
      </c>
      <c r="C167" s="29" t="s">
        <v>179</v>
      </c>
      <c r="D167" s="15"/>
      <c r="E167" s="16" t="s">
        <v>498</v>
      </c>
      <c r="H167" s="8">
        <f t="shared" si="15"/>
        <v>0</v>
      </c>
      <c r="I167" s="8">
        <f t="shared" si="15"/>
        <v>0</v>
      </c>
      <c r="J167" s="8">
        <f t="shared" si="11"/>
        <v>0</v>
      </c>
      <c r="K167" s="60"/>
    </row>
    <row r="168" spans="1:11" ht="15.75">
      <c r="A168" s="108"/>
      <c r="B168" s="3" t="s">
        <v>182</v>
      </c>
      <c r="C168" s="29" t="s">
        <v>184</v>
      </c>
      <c r="D168" s="15"/>
      <c r="E168" s="16" t="s">
        <v>499</v>
      </c>
      <c r="F168" s="3">
        <v>667.37432729757506</v>
      </c>
      <c r="G168" s="3">
        <v>2564.566953</v>
      </c>
      <c r="H168" s="8">
        <f t="shared" si="15"/>
        <v>0.56780221716180013</v>
      </c>
      <c r="I168" s="8">
        <f t="shared" si="15"/>
        <v>0.56780221713637691</v>
      </c>
      <c r="J168" s="8">
        <f t="shared" si="11"/>
        <v>0.56780221713637691</v>
      </c>
      <c r="K168" s="60"/>
    </row>
    <row r="169" spans="1:11">
      <c r="A169" s="108"/>
      <c r="B169" s="3" t="s">
        <v>183</v>
      </c>
      <c r="C169" s="29" t="s">
        <v>183</v>
      </c>
      <c r="D169" s="32"/>
      <c r="E169" s="16" t="s">
        <v>500</v>
      </c>
      <c r="H169" s="8">
        <f t="shared" si="15"/>
        <v>0</v>
      </c>
      <c r="I169" s="8">
        <f t="shared" si="15"/>
        <v>0</v>
      </c>
      <c r="J169" s="8">
        <f t="shared" si="11"/>
        <v>0</v>
      </c>
    </row>
    <row r="170" spans="1:11">
      <c r="A170" s="108"/>
      <c r="B170" s="3" t="s">
        <v>184</v>
      </c>
      <c r="C170" s="29" t="s">
        <v>178</v>
      </c>
      <c r="D170" s="15"/>
      <c r="E170" s="16" t="s">
        <v>501</v>
      </c>
      <c r="H170" s="8">
        <f t="shared" si="15"/>
        <v>0</v>
      </c>
      <c r="I170" s="8">
        <f t="shared" si="15"/>
        <v>0</v>
      </c>
      <c r="J170" s="8">
        <f t="shared" si="11"/>
        <v>0</v>
      </c>
    </row>
    <row r="171" spans="1:11">
      <c r="A171" s="108"/>
      <c r="B171" s="3" t="s">
        <v>185</v>
      </c>
      <c r="C171" s="29" t="s">
        <v>185</v>
      </c>
      <c r="D171" s="15"/>
      <c r="E171" s="16" t="s">
        <v>502</v>
      </c>
      <c r="H171" s="8">
        <f t="shared" si="15"/>
        <v>0</v>
      </c>
      <c r="I171" s="8">
        <f t="shared" si="15"/>
        <v>0</v>
      </c>
      <c r="J171" s="8">
        <f t="shared" si="11"/>
        <v>0</v>
      </c>
    </row>
    <row r="172" spans="1:11">
      <c r="A172" s="26" t="s">
        <v>504</v>
      </c>
      <c r="C172" s="29" t="s">
        <v>503</v>
      </c>
      <c r="D172" s="15"/>
      <c r="E172" s="16" t="s">
        <v>504</v>
      </c>
      <c r="H172" s="8">
        <v>1</v>
      </c>
      <c r="I172" s="8">
        <v>1</v>
      </c>
      <c r="J172" s="8">
        <v>1</v>
      </c>
      <c r="K172" s="91" t="s">
        <v>950</v>
      </c>
    </row>
    <row r="173" spans="1:11">
      <c r="A173" s="108" t="s">
        <v>17</v>
      </c>
      <c r="B173" s="3" t="s">
        <v>186</v>
      </c>
      <c r="C173" s="29" t="s">
        <v>193</v>
      </c>
      <c r="D173" s="15"/>
      <c r="E173" s="16" t="s">
        <v>505</v>
      </c>
      <c r="H173" s="8">
        <f>F173/SUM(F$173:F$184)</f>
        <v>0</v>
      </c>
      <c r="I173" s="8">
        <f>G173/SUM(G$173:G$184)</f>
        <v>0</v>
      </c>
      <c r="J173" s="8">
        <f t="shared" si="11"/>
        <v>0</v>
      </c>
    </row>
    <row r="174" spans="1:11">
      <c r="A174" s="108"/>
      <c r="B174" s="3" t="s">
        <v>187</v>
      </c>
      <c r="C174" s="29" t="s">
        <v>195</v>
      </c>
      <c r="D174" s="15"/>
      <c r="E174" s="16" t="s">
        <v>506</v>
      </c>
      <c r="H174" s="8">
        <f t="shared" ref="H174:I184" si="16">F174/SUM(F$173:F$184)</f>
        <v>0</v>
      </c>
      <c r="I174" s="8">
        <f t="shared" si="16"/>
        <v>0</v>
      </c>
      <c r="J174" s="8">
        <f t="shared" si="11"/>
        <v>0</v>
      </c>
    </row>
    <row r="175" spans="1:11">
      <c r="A175" s="108"/>
      <c r="B175" s="3" t="s">
        <v>188</v>
      </c>
      <c r="C175" s="29" t="s">
        <v>197</v>
      </c>
      <c r="D175" s="15"/>
      <c r="E175" s="16" t="s">
        <v>507</v>
      </c>
      <c r="H175" s="8">
        <f t="shared" si="16"/>
        <v>0</v>
      </c>
      <c r="I175" s="8">
        <f t="shared" si="16"/>
        <v>0</v>
      </c>
      <c r="J175" s="8">
        <f t="shared" si="11"/>
        <v>0</v>
      </c>
    </row>
    <row r="176" spans="1:11">
      <c r="A176" s="108"/>
      <c r="B176" s="3" t="s">
        <v>189</v>
      </c>
      <c r="C176" s="29" t="s">
        <v>188</v>
      </c>
      <c r="D176" s="15"/>
      <c r="E176" s="16" t="s">
        <v>508</v>
      </c>
      <c r="H176" s="8">
        <f t="shared" si="16"/>
        <v>0</v>
      </c>
      <c r="I176" s="8">
        <f t="shared" si="16"/>
        <v>0</v>
      </c>
      <c r="J176" s="8">
        <f t="shared" si="11"/>
        <v>0</v>
      </c>
    </row>
    <row r="177" spans="1:10">
      <c r="A177" s="108"/>
      <c r="B177" s="3" t="s">
        <v>190</v>
      </c>
      <c r="C177" s="29" t="s">
        <v>194</v>
      </c>
      <c r="D177" s="15"/>
      <c r="E177" s="16" t="s">
        <v>509</v>
      </c>
      <c r="H177" s="8">
        <f t="shared" si="16"/>
        <v>0</v>
      </c>
      <c r="I177" s="8">
        <f t="shared" si="16"/>
        <v>0</v>
      </c>
      <c r="J177" s="8">
        <f t="shared" si="11"/>
        <v>0</v>
      </c>
    </row>
    <row r="178" spans="1:10">
      <c r="A178" s="108"/>
      <c r="B178" s="3" t="s">
        <v>191</v>
      </c>
      <c r="C178" s="29" t="s">
        <v>196</v>
      </c>
      <c r="D178" s="15"/>
      <c r="E178" s="16" t="s">
        <v>510</v>
      </c>
      <c r="H178" s="8">
        <f t="shared" si="16"/>
        <v>0</v>
      </c>
      <c r="I178" s="8">
        <f t="shared" si="16"/>
        <v>0</v>
      </c>
      <c r="J178" s="8">
        <f t="shared" si="11"/>
        <v>0</v>
      </c>
    </row>
    <row r="179" spans="1:10">
      <c r="A179" s="108"/>
      <c r="B179" s="3" t="s">
        <v>192</v>
      </c>
      <c r="C179" s="29" t="s">
        <v>190</v>
      </c>
      <c r="D179" s="15"/>
      <c r="E179" s="16" t="s">
        <v>511</v>
      </c>
      <c r="H179" s="8">
        <f t="shared" si="16"/>
        <v>0</v>
      </c>
      <c r="I179" s="8">
        <f t="shared" si="16"/>
        <v>0</v>
      </c>
      <c r="J179" s="8">
        <f t="shared" si="11"/>
        <v>0</v>
      </c>
    </row>
    <row r="180" spans="1:10">
      <c r="A180" s="108"/>
      <c r="B180" s="3" t="s">
        <v>193</v>
      </c>
      <c r="C180" s="29" t="s">
        <v>189</v>
      </c>
      <c r="D180" s="15"/>
      <c r="E180" s="16" t="s">
        <v>512</v>
      </c>
      <c r="H180" s="8">
        <f t="shared" si="16"/>
        <v>0</v>
      </c>
      <c r="I180" s="8">
        <f t="shared" si="16"/>
        <v>0</v>
      </c>
      <c r="J180" s="8">
        <f t="shared" si="11"/>
        <v>0</v>
      </c>
    </row>
    <row r="181" spans="1:10">
      <c r="A181" s="108"/>
      <c r="B181" s="3" t="s">
        <v>194</v>
      </c>
      <c r="C181" s="29" t="s">
        <v>186</v>
      </c>
      <c r="D181" s="15"/>
      <c r="E181" s="16" t="s">
        <v>513</v>
      </c>
      <c r="H181" s="8">
        <f t="shared" si="16"/>
        <v>0</v>
      </c>
      <c r="I181" s="8">
        <f t="shared" si="16"/>
        <v>0</v>
      </c>
      <c r="J181" s="8">
        <f t="shared" si="11"/>
        <v>0</v>
      </c>
    </row>
    <row r="182" spans="1:10">
      <c r="A182" s="108"/>
      <c r="B182" s="3" t="s">
        <v>195</v>
      </c>
      <c r="C182" s="29" t="s">
        <v>187</v>
      </c>
      <c r="D182" s="32"/>
      <c r="E182" s="16" t="s">
        <v>514</v>
      </c>
      <c r="H182" s="8">
        <f t="shared" si="16"/>
        <v>0</v>
      </c>
      <c r="I182" s="8">
        <f t="shared" si="16"/>
        <v>0</v>
      </c>
      <c r="J182" s="8">
        <f t="shared" si="11"/>
        <v>0</v>
      </c>
    </row>
    <row r="183" spans="1:10">
      <c r="A183" s="108"/>
      <c r="B183" s="3" t="s">
        <v>196</v>
      </c>
      <c r="C183" s="29" t="s">
        <v>191</v>
      </c>
      <c r="D183" s="32"/>
      <c r="E183" s="16" t="s">
        <v>515</v>
      </c>
      <c r="H183" s="8">
        <f t="shared" si="16"/>
        <v>0</v>
      </c>
      <c r="I183" s="8">
        <f t="shared" si="16"/>
        <v>0</v>
      </c>
      <c r="J183" s="8">
        <f t="shared" si="11"/>
        <v>0</v>
      </c>
    </row>
    <row r="184" spans="1:10" ht="15.75">
      <c r="A184" s="108"/>
      <c r="B184" s="3" t="s">
        <v>197</v>
      </c>
      <c r="C184" s="29" t="s">
        <v>192</v>
      </c>
      <c r="D184" s="32"/>
      <c r="E184" s="16" t="s">
        <v>516</v>
      </c>
      <c r="F184" s="60">
        <v>450.48172703238902</v>
      </c>
      <c r="G184" s="60">
        <v>1731.0982799999999</v>
      </c>
      <c r="H184" s="8">
        <f t="shared" si="16"/>
        <v>1</v>
      </c>
      <c r="I184" s="8">
        <f t="shared" si="16"/>
        <v>1</v>
      </c>
      <c r="J184" s="8">
        <f t="shared" si="11"/>
        <v>1</v>
      </c>
    </row>
    <row r="185" spans="1:10">
      <c r="A185" s="108" t="s">
        <v>18</v>
      </c>
      <c r="B185" s="3" t="s">
        <v>198</v>
      </c>
      <c r="C185" s="29" t="s">
        <v>206</v>
      </c>
      <c r="D185" s="15"/>
      <c r="E185" s="16" t="s">
        <v>517</v>
      </c>
      <c r="H185" s="8">
        <f>F185/SUM(F$185:F$193)</f>
        <v>0</v>
      </c>
      <c r="I185" s="8">
        <f>G185/SUM(G$185:G$193)</f>
        <v>0</v>
      </c>
      <c r="J185" s="8">
        <f t="shared" si="11"/>
        <v>0</v>
      </c>
    </row>
    <row r="186" spans="1:10" ht="15.75">
      <c r="A186" s="108"/>
      <c r="B186" s="3" t="s">
        <v>199</v>
      </c>
      <c r="C186" s="29" t="s">
        <v>204</v>
      </c>
      <c r="D186" s="15"/>
      <c r="E186" s="16" t="s">
        <v>518</v>
      </c>
      <c r="F186" s="60">
        <f>291.070292570847+746.3197383</f>
        <v>1037.3900308708471</v>
      </c>
      <c r="G186" s="60">
        <f>1118.516585+2867.936118</f>
        <v>3986.4527029999999</v>
      </c>
      <c r="H186" s="8">
        <f t="shared" ref="H186:H193" si="17">F186/SUM(F$185:F$193)</f>
        <v>0.3338295080896494</v>
      </c>
      <c r="I186" s="8">
        <f t="shared" ref="I186:I193" si="18">G186/SUM(G$185:G$193)</f>
        <v>0.33223784838151332</v>
      </c>
      <c r="J186" s="8">
        <f t="shared" si="11"/>
        <v>0.33223784838151332</v>
      </c>
    </row>
    <row r="187" spans="1:10">
      <c r="A187" s="108"/>
      <c r="B187" s="3" t="s">
        <v>200</v>
      </c>
      <c r="C187" s="29" t="s">
        <v>203</v>
      </c>
      <c r="D187" s="15"/>
      <c r="E187" s="16" t="s">
        <v>519</v>
      </c>
      <c r="H187" s="8">
        <f t="shared" si="17"/>
        <v>0</v>
      </c>
      <c r="I187" s="8">
        <f t="shared" si="18"/>
        <v>0</v>
      </c>
      <c r="J187" s="8">
        <f t="shared" si="11"/>
        <v>0</v>
      </c>
    </row>
    <row r="188" spans="1:10" ht="15.75">
      <c r="A188" s="108"/>
      <c r="B188" s="3" t="s">
        <v>201</v>
      </c>
      <c r="C188" s="29" t="s">
        <v>205</v>
      </c>
      <c r="D188" s="15"/>
      <c r="E188" s="16" t="s">
        <v>520</v>
      </c>
      <c r="F188" s="60">
        <v>419.595055293521</v>
      </c>
      <c r="G188" s="60">
        <v>1612.407862</v>
      </c>
      <c r="H188" s="8">
        <f t="shared" si="17"/>
        <v>0.13502463561164121</v>
      </c>
      <c r="I188" s="8">
        <f t="shared" si="18"/>
        <v>0.13438085403124775</v>
      </c>
      <c r="J188" s="8">
        <f t="shared" si="11"/>
        <v>0.13438085403124775</v>
      </c>
    </row>
    <row r="189" spans="1:10" ht="15.75">
      <c r="A189" s="108"/>
      <c r="B189" s="3" t="s">
        <v>202</v>
      </c>
      <c r="C189" s="29" t="s">
        <v>200</v>
      </c>
      <c r="D189" s="15"/>
      <c r="E189" s="16" t="s">
        <v>521</v>
      </c>
      <c r="F189" s="60">
        <f>104.211707396327+379.31393</f>
        <v>483.52563739632706</v>
      </c>
      <c r="G189" s="60">
        <f>457.6705884+1457.616708</f>
        <v>1915.2872964000001</v>
      </c>
      <c r="H189" s="8">
        <f t="shared" si="17"/>
        <v>0.15559733646683355</v>
      </c>
      <c r="I189" s="8">
        <f t="shared" si="18"/>
        <v>0.15962334882576476</v>
      </c>
      <c r="J189" s="8">
        <f t="shared" si="11"/>
        <v>0.15962334882576476</v>
      </c>
    </row>
    <row r="190" spans="1:10" ht="15.75">
      <c r="A190" s="108"/>
      <c r="B190" s="3" t="s">
        <v>203</v>
      </c>
      <c r="C190" s="29" t="s">
        <v>202</v>
      </c>
      <c r="D190" s="15"/>
      <c r="E190" s="16" t="s">
        <v>522</v>
      </c>
      <c r="F190" s="60">
        <f>381.551770253039+230.4975504</f>
        <v>612.04932065303899</v>
      </c>
      <c r="G190" s="60">
        <f>1466.216216+885.7493859</f>
        <v>2351.9656018999999</v>
      </c>
      <c r="H190" s="8">
        <f t="shared" si="17"/>
        <v>0.19695593514494217</v>
      </c>
      <c r="I190" s="8">
        <f t="shared" si="18"/>
        <v>0.19601687245769561</v>
      </c>
      <c r="J190" s="8">
        <f t="shared" si="11"/>
        <v>0.19601687245769561</v>
      </c>
    </row>
    <row r="191" spans="1:10" ht="15.75">
      <c r="A191" s="108"/>
      <c r="B191" s="3" t="s">
        <v>204</v>
      </c>
      <c r="C191" s="29" t="s">
        <v>201</v>
      </c>
      <c r="D191" s="15"/>
      <c r="E191" s="16" t="s">
        <v>523</v>
      </c>
      <c r="F191" s="60">
        <v>302.10843980769198</v>
      </c>
      <c r="G191" s="60">
        <v>1160.933661</v>
      </c>
      <c r="H191" s="8">
        <f t="shared" si="17"/>
        <v>9.7217737639209323E-2</v>
      </c>
      <c r="I191" s="8">
        <f t="shared" si="18"/>
        <v>9.6754214932501414E-2</v>
      </c>
      <c r="J191" s="8">
        <f t="shared" si="11"/>
        <v>9.6754214932501414E-2</v>
      </c>
    </row>
    <row r="192" spans="1:10" ht="15.75">
      <c r="A192" s="108"/>
      <c r="B192" s="3" t="s">
        <v>205</v>
      </c>
      <c r="C192" s="29" t="s">
        <v>199</v>
      </c>
      <c r="D192" s="15"/>
      <c r="E192" s="16" t="s">
        <v>524</v>
      </c>
      <c r="F192" s="60">
        <v>252.87595327935799</v>
      </c>
      <c r="G192" s="60">
        <v>971.7444716</v>
      </c>
      <c r="H192" s="8">
        <f t="shared" si="17"/>
        <v>8.1374847047724366E-2</v>
      </c>
      <c r="I192" s="8">
        <f t="shared" si="18"/>
        <v>8.098686137127728E-2</v>
      </c>
      <c r="J192" s="8">
        <f t="shared" si="11"/>
        <v>8.098686137127728E-2</v>
      </c>
    </row>
    <row r="193" spans="1:14">
      <c r="A193" s="108"/>
      <c r="B193" s="3" t="s">
        <v>206</v>
      </c>
      <c r="C193" s="29" t="s">
        <v>198</v>
      </c>
      <c r="D193" s="15"/>
      <c r="E193" s="16" t="s">
        <v>525</v>
      </c>
      <c r="H193" s="8">
        <f t="shared" si="17"/>
        <v>0</v>
      </c>
      <c r="I193" s="8">
        <f t="shared" si="18"/>
        <v>0</v>
      </c>
      <c r="J193" s="8">
        <f t="shared" si="11"/>
        <v>0</v>
      </c>
    </row>
    <row r="194" spans="1:14">
      <c r="A194" s="108" t="s">
        <v>19</v>
      </c>
      <c r="B194" s="3" t="s">
        <v>207</v>
      </c>
      <c r="C194" s="29" t="s">
        <v>219</v>
      </c>
      <c r="D194" s="15"/>
      <c r="E194" s="16" t="s">
        <v>526</v>
      </c>
      <c r="H194" s="8">
        <f>F194/SUM(F$194:F$210)</f>
        <v>0</v>
      </c>
      <c r="I194" s="8">
        <f>G194/SUM(G$194:G$210)</f>
        <v>0</v>
      </c>
      <c r="J194" s="8">
        <f t="shared" si="11"/>
        <v>0</v>
      </c>
    </row>
    <row r="195" spans="1:14" ht="15.75">
      <c r="A195" s="108"/>
      <c r="B195" s="3" t="s">
        <v>208</v>
      </c>
      <c r="C195" s="29" t="s">
        <v>210</v>
      </c>
      <c r="D195" s="15"/>
      <c r="E195" s="16" t="s">
        <v>527</v>
      </c>
      <c r="F195" s="60">
        <v>402.81125310728203</v>
      </c>
      <c r="G195" s="60">
        <v>1547.911548</v>
      </c>
      <c r="H195" s="8">
        <f t="shared" ref="H195:I210" si="19">F195/SUM(F$194:F$210)</f>
        <v>4.1976349993272342E-2</v>
      </c>
      <c r="I195" s="8">
        <f t="shared" si="19"/>
        <v>3.4332915702011017E-2</v>
      </c>
      <c r="J195" s="8">
        <f t="shared" si="11"/>
        <v>3.4332915702011017E-2</v>
      </c>
    </row>
    <row r="196" spans="1:14">
      <c r="A196" s="108"/>
      <c r="B196" s="3" t="s">
        <v>209</v>
      </c>
      <c r="C196" s="29" t="s">
        <v>221</v>
      </c>
      <c r="D196" s="15"/>
      <c r="E196" s="16" t="s">
        <v>528</v>
      </c>
      <c r="H196" s="8">
        <f t="shared" si="19"/>
        <v>0</v>
      </c>
      <c r="I196" s="8">
        <f t="shared" si="19"/>
        <v>0</v>
      </c>
      <c r="J196" s="8">
        <f t="shared" ref="J196:J259" si="20">I196</f>
        <v>0</v>
      </c>
    </row>
    <row r="197" spans="1:14" ht="15.75">
      <c r="A197" s="108"/>
      <c r="B197" s="3" t="s">
        <v>210</v>
      </c>
      <c r="C197" s="29" t="s">
        <v>207</v>
      </c>
      <c r="D197" s="15"/>
      <c r="E197" s="16" t="s">
        <v>529</v>
      </c>
      <c r="F197"/>
      <c r="G197"/>
      <c r="H197" s="8">
        <f t="shared" si="19"/>
        <v>0</v>
      </c>
      <c r="I197" s="8">
        <f t="shared" si="19"/>
        <v>0</v>
      </c>
      <c r="J197" s="8">
        <f t="shared" si="20"/>
        <v>0</v>
      </c>
    </row>
    <row r="198" spans="1:14" ht="15.75">
      <c r="A198" s="108"/>
      <c r="B198" s="3" t="s">
        <v>211</v>
      </c>
      <c r="C198" s="29" t="s">
        <v>216</v>
      </c>
      <c r="D198" s="15"/>
      <c r="E198" s="16" t="s">
        <v>530</v>
      </c>
      <c r="F198"/>
      <c r="G198"/>
      <c r="H198" s="8">
        <f t="shared" si="19"/>
        <v>0</v>
      </c>
      <c r="I198" s="8">
        <f t="shared" si="19"/>
        <v>0</v>
      </c>
      <c r="J198" s="8">
        <f t="shared" si="20"/>
        <v>0</v>
      </c>
    </row>
    <row r="199" spans="1:14" ht="15.75">
      <c r="A199" s="108"/>
      <c r="B199" s="3" t="s">
        <v>212</v>
      </c>
      <c r="C199" s="29" t="s">
        <v>218</v>
      </c>
      <c r="D199" s="15"/>
      <c r="E199" s="16" t="s">
        <v>531</v>
      </c>
      <c r="F199"/>
      <c r="G199"/>
      <c r="H199" s="8">
        <f t="shared" si="19"/>
        <v>0</v>
      </c>
      <c r="I199" s="8">
        <f t="shared" si="19"/>
        <v>0</v>
      </c>
      <c r="J199" s="8">
        <f t="shared" si="20"/>
        <v>0</v>
      </c>
      <c r="K199" s="60"/>
      <c r="L199" s="60"/>
    </row>
    <row r="200" spans="1:14" ht="15.75">
      <c r="A200" s="108"/>
      <c r="B200" s="3" t="s">
        <v>213</v>
      </c>
      <c r="C200" s="29" t="s">
        <v>213</v>
      </c>
      <c r="D200" s="15"/>
      <c r="E200" s="16" t="s">
        <v>532</v>
      </c>
      <c r="F200">
        <v>1679.908239334899</v>
      </c>
      <c r="G200">
        <v>10244.934474000002</v>
      </c>
      <c r="H200" s="8">
        <f t="shared" si="19"/>
        <v>0.17506069075017319</v>
      </c>
      <c r="I200" s="8">
        <f t="shared" si="19"/>
        <v>0.22723421898553381</v>
      </c>
      <c r="J200" s="8">
        <f t="shared" si="20"/>
        <v>0.22723421898553381</v>
      </c>
      <c r="K200" s="60"/>
      <c r="L200" s="60"/>
    </row>
    <row r="201" spans="1:14" ht="15.75">
      <c r="A201" s="108"/>
      <c r="B201" s="3" t="s">
        <v>214</v>
      </c>
      <c r="C201" s="29" t="s">
        <v>220</v>
      </c>
      <c r="D201" s="15"/>
      <c r="E201" s="16" t="s">
        <v>533</v>
      </c>
      <c r="F201" s="60">
        <v>1197.2445572875099</v>
      </c>
      <c r="G201" s="60">
        <v>4600.7370989999999</v>
      </c>
      <c r="H201" s="8">
        <f t="shared" si="19"/>
        <v>0.12476304019951519</v>
      </c>
      <c r="I201" s="8">
        <f t="shared" si="19"/>
        <v>0.1020450549588391</v>
      </c>
      <c r="J201" s="8">
        <f t="shared" si="20"/>
        <v>0.1020450549588391</v>
      </c>
    </row>
    <row r="202" spans="1:14" ht="15.75">
      <c r="A202" s="108"/>
      <c r="B202" s="3" t="s">
        <v>215</v>
      </c>
      <c r="C202" s="29" t="s">
        <v>208</v>
      </c>
      <c r="D202" s="15"/>
      <c r="E202" s="16" t="s">
        <v>534</v>
      </c>
      <c r="F202"/>
      <c r="G202"/>
      <c r="H202" s="8">
        <f t="shared" si="19"/>
        <v>0</v>
      </c>
      <c r="I202" s="8">
        <f t="shared" si="19"/>
        <v>0</v>
      </c>
      <c r="J202" s="8">
        <f t="shared" si="20"/>
        <v>0</v>
      </c>
    </row>
    <row r="203" spans="1:14" ht="15.75">
      <c r="A203" s="108"/>
      <c r="B203" s="3" t="s">
        <v>216</v>
      </c>
      <c r="C203" s="29" t="s">
        <v>211</v>
      </c>
      <c r="D203" s="15"/>
      <c r="E203" s="16" t="s">
        <v>535</v>
      </c>
      <c r="F203"/>
      <c r="G203"/>
      <c r="H203" s="8">
        <f t="shared" si="19"/>
        <v>0</v>
      </c>
      <c r="I203" s="8">
        <f t="shared" si="19"/>
        <v>0</v>
      </c>
      <c r="J203" s="8">
        <f t="shared" si="20"/>
        <v>0</v>
      </c>
      <c r="K203" s="60"/>
    </row>
    <row r="204" spans="1:14" ht="15.75">
      <c r="A204" s="108"/>
      <c r="B204" s="3" t="s">
        <v>217</v>
      </c>
      <c r="C204" s="29" t="s">
        <v>223</v>
      </c>
      <c r="D204" s="15"/>
      <c r="E204" s="16" t="s">
        <v>536</v>
      </c>
      <c r="F204" s="65">
        <v>1008.113211</v>
      </c>
      <c r="G204" s="65">
        <v>7737.00306</v>
      </c>
      <c r="H204" s="8">
        <f t="shared" si="19"/>
        <v>0.10505394934065361</v>
      </c>
      <c r="I204" s="8">
        <f t="shared" si="19"/>
        <v>0.17160791531557285</v>
      </c>
      <c r="J204" s="8">
        <f t="shared" si="20"/>
        <v>0.17160791531557285</v>
      </c>
      <c r="K204" s="60"/>
    </row>
    <row r="205" spans="1:14" ht="15.75">
      <c r="A205" s="108"/>
      <c r="B205" s="3" t="s">
        <v>218</v>
      </c>
      <c r="C205" s="29" t="s">
        <v>222</v>
      </c>
      <c r="D205" s="15"/>
      <c r="E205" s="16" t="s">
        <v>537</v>
      </c>
      <c r="F205">
        <f>1805.93711747982+2237.840295</f>
        <v>4043.7774124798198</v>
      </c>
      <c r="G205">
        <f>6939.803438+8599.5086</f>
        <v>15539.312038</v>
      </c>
      <c r="H205" s="8">
        <f t="shared" si="19"/>
        <v>0.42139591347497413</v>
      </c>
      <c r="I205" s="8">
        <f t="shared" si="19"/>
        <v>0.3446643259152809</v>
      </c>
      <c r="J205" s="8">
        <f t="shared" si="20"/>
        <v>0.3446643259152809</v>
      </c>
    </row>
    <row r="206" spans="1:14">
      <c r="A206" s="108"/>
      <c r="B206" s="3" t="s">
        <v>219</v>
      </c>
      <c r="C206" s="29" t="s">
        <v>217</v>
      </c>
      <c r="D206" s="15"/>
      <c r="E206" s="16" t="s">
        <v>538</v>
      </c>
      <c r="F206" s="3">
        <v>1264.292994985595</v>
      </c>
      <c r="G206" s="3">
        <v>5415.452569</v>
      </c>
      <c r="H206" s="8">
        <f>F206/SUM(F$194:F$210)</f>
        <v>0.13175005624141148</v>
      </c>
      <c r="I206" s="8">
        <f>G206/SUM(G$194:G$210)</f>
        <v>0.12011556912276229</v>
      </c>
      <c r="J206" s="8">
        <f t="shared" si="20"/>
        <v>0.12011556912276229</v>
      </c>
    </row>
    <row r="207" spans="1:14" ht="15.75">
      <c r="A207" s="108"/>
      <c r="B207" s="3" t="s">
        <v>220</v>
      </c>
      <c r="C207" s="29" t="s">
        <v>209</v>
      </c>
      <c r="D207" s="15"/>
      <c r="E207" s="16" t="s">
        <v>539</v>
      </c>
      <c r="F207"/>
      <c r="G207"/>
      <c r="H207" s="8">
        <f t="shared" si="19"/>
        <v>0</v>
      </c>
      <c r="I207" s="8">
        <f t="shared" si="19"/>
        <v>0</v>
      </c>
      <c r="J207" s="8">
        <f t="shared" si="20"/>
        <v>0</v>
      </c>
      <c r="M207" s="60"/>
      <c r="N207" s="60"/>
    </row>
    <row r="208" spans="1:14" ht="15.75">
      <c r="A208" s="108"/>
      <c r="B208" s="3" t="s">
        <v>221</v>
      </c>
      <c r="C208" s="29" t="s">
        <v>212</v>
      </c>
      <c r="D208" s="15"/>
      <c r="E208" s="16" t="s">
        <v>540</v>
      </c>
      <c r="F208"/>
      <c r="G208"/>
      <c r="H208" s="8">
        <f t="shared" si="19"/>
        <v>0</v>
      </c>
      <c r="I208" s="8">
        <f t="shared" si="19"/>
        <v>0</v>
      </c>
      <c r="J208" s="8">
        <f t="shared" si="20"/>
        <v>0</v>
      </c>
      <c r="M208" s="60"/>
      <c r="N208" s="60"/>
    </row>
    <row r="209" spans="1:12">
      <c r="A209" s="108"/>
      <c r="B209" s="3" t="s">
        <v>222</v>
      </c>
      <c r="C209" s="29" t="s">
        <v>214</v>
      </c>
      <c r="D209" s="15"/>
      <c r="E209" s="16" t="s">
        <v>541</v>
      </c>
      <c r="H209" s="8">
        <f t="shared" si="19"/>
        <v>0</v>
      </c>
      <c r="I209" s="8">
        <f t="shared" si="19"/>
        <v>0</v>
      </c>
      <c r="J209" s="8">
        <f t="shared" si="20"/>
        <v>0</v>
      </c>
    </row>
    <row r="210" spans="1:12">
      <c r="A210" s="108"/>
      <c r="B210" s="3" t="s">
        <v>223</v>
      </c>
      <c r="C210" s="29" t="s">
        <v>215</v>
      </c>
      <c r="D210" s="32"/>
      <c r="E210" s="16" t="s">
        <v>542</v>
      </c>
      <c r="H210" s="8">
        <f t="shared" si="19"/>
        <v>0</v>
      </c>
      <c r="I210" s="8">
        <f t="shared" si="19"/>
        <v>0</v>
      </c>
      <c r="J210" s="8">
        <f t="shared" si="20"/>
        <v>0</v>
      </c>
    </row>
    <row r="211" spans="1:12">
      <c r="A211" s="108" t="s">
        <v>20</v>
      </c>
      <c r="B211" s="3" t="s">
        <v>224</v>
      </c>
      <c r="C211" s="29" t="s">
        <v>226</v>
      </c>
      <c r="D211" s="15"/>
      <c r="E211" s="16" t="s">
        <v>543</v>
      </c>
      <c r="H211" s="8">
        <f>F211/SUM(F$211:F$217)</f>
        <v>0</v>
      </c>
      <c r="I211" s="8">
        <f>G211/SUM(G$211:G$217)</f>
        <v>0</v>
      </c>
      <c r="J211" s="8">
        <f t="shared" si="20"/>
        <v>0</v>
      </c>
    </row>
    <row r="212" spans="1:12" ht="15.75">
      <c r="A212" s="108"/>
      <c r="B212" s="3" t="s">
        <v>225</v>
      </c>
      <c r="C212" s="29" t="s">
        <v>225</v>
      </c>
      <c r="D212" s="15"/>
      <c r="E212" s="16" t="s">
        <v>544</v>
      </c>
      <c r="F212" s="60">
        <v>414.00045450405503</v>
      </c>
      <c r="G212" s="60">
        <v>1590.909091</v>
      </c>
      <c r="H212" s="8">
        <f t="shared" ref="H212:I217" si="21">F212/SUM(F$211:F$217)</f>
        <v>8.516174907826643E-2</v>
      </c>
      <c r="I212" s="8">
        <f t="shared" si="21"/>
        <v>8.057429156412399E-2</v>
      </c>
      <c r="J212" s="8">
        <f t="shared" si="20"/>
        <v>8.057429156412399E-2</v>
      </c>
      <c r="K212" s="60"/>
      <c r="L212" s="60"/>
    </row>
    <row r="213" spans="1:12" ht="15.75">
      <c r="A213" s="108"/>
      <c r="B213" s="3" t="s">
        <v>226</v>
      </c>
      <c r="C213" s="29" t="s">
        <v>228</v>
      </c>
      <c r="D213" s="15"/>
      <c r="E213" s="16" t="s">
        <v>545</v>
      </c>
      <c r="F213" s="60">
        <f>1397.51895611132+364.4150217</f>
        <v>1761.9339778113199</v>
      </c>
      <c r="G213" s="60">
        <f>5370.345824+2463.958767</f>
        <v>7834.3045910000001</v>
      </c>
      <c r="H213" s="8">
        <f t="shared" si="21"/>
        <v>0.36243771638026012</v>
      </c>
      <c r="I213" s="8">
        <f t="shared" si="21"/>
        <v>0.39678165514825708</v>
      </c>
      <c r="J213" s="8">
        <f t="shared" si="20"/>
        <v>0.39678165514825708</v>
      </c>
      <c r="K213" s="60"/>
      <c r="L213" s="60"/>
    </row>
    <row r="214" spans="1:12">
      <c r="A214" s="108"/>
      <c r="B214" s="3" t="s">
        <v>227</v>
      </c>
      <c r="C214" s="29" t="s">
        <v>224</v>
      </c>
      <c r="D214" s="15"/>
      <c r="E214" s="16" t="s">
        <v>546</v>
      </c>
      <c r="F214" s="3">
        <v>2685.4083534413503</v>
      </c>
      <c r="G214" s="3">
        <v>10319.410318</v>
      </c>
      <c r="H214" s="8">
        <f t="shared" si="21"/>
        <v>0.55240053454147331</v>
      </c>
      <c r="I214" s="8">
        <f t="shared" si="21"/>
        <v>0.52264405328761898</v>
      </c>
      <c r="J214" s="8">
        <f t="shared" si="20"/>
        <v>0.52264405328761898</v>
      </c>
    </row>
    <row r="215" spans="1:12">
      <c r="A215" s="108"/>
      <c r="B215" s="3" t="s">
        <v>228</v>
      </c>
      <c r="C215" s="29" t="s">
        <v>227</v>
      </c>
      <c r="D215" s="32"/>
      <c r="E215" s="16" t="s">
        <v>547</v>
      </c>
      <c r="H215" s="8">
        <f t="shared" si="21"/>
        <v>0</v>
      </c>
      <c r="I215" s="8">
        <f t="shared" si="21"/>
        <v>0</v>
      </c>
      <c r="J215" s="8">
        <f t="shared" si="20"/>
        <v>0</v>
      </c>
    </row>
    <row r="216" spans="1:12">
      <c r="A216" s="108"/>
      <c r="C216" s="29" t="s">
        <v>548</v>
      </c>
      <c r="D216" s="15"/>
      <c r="E216" s="16" t="s">
        <v>549</v>
      </c>
      <c r="H216" s="8">
        <f t="shared" si="21"/>
        <v>0</v>
      </c>
      <c r="I216" s="8">
        <f t="shared" si="21"/>
        <v>0</v>
      </c>
      <c r="J216" s="8">
        <f t="shared" si="20"/>
        <v>0</v>
      </c>
    </row>
    <row r="217" spans="1:12">
      <c r="A217" s="108"/>
      <c r="C217" s="29" t="s">
        <v>550</v>
      </c>
      <c r="D217" s="15"/>
      <c r="E217" s="16" t="s">
        <v>551</v>
      </c>
      <c r="H217" s="8">
        <f t="shared" si="21"/>
        <v>0</v>
      </c>
      <c r="I217" s="8">
        <f t="shared" si="21"/>
        <v>0</v>
      </c>
      <c r="J217" s="8">
        <f t="shared" si="20"/>
        <v>0</v>
      </c>
    </row>
    <row r="218" spans="1:12">
      <c r="A218" s="108" t="s">
        <v>21</v>
      </c>
      <c r="B218" s="3" t="s">
        <v>229</v>
      </c>
      <c r="C218" s="29" t="s">
        <v>231</v>
      </c>
      <c r="D218" s="15"/>
      <c r="E218" s="16" t="s">
        <v>552</v>
      </c>
      <c r="F218" s="63">
        <v>1054.0227786437599</v>
      </c>
      <c r="G218" s="63">
        <v>4050.3685500000001</v>
      </c>
      <c r="H218" s="8">
        <f>F218/SUM(F$218:F$225)</f>
        <v>0.18279339744569542</v>
      </c>
      <c r="I218" s="8">
        <f>G218/SUM(G$218:G$225)</f>
        <v>0.18279339745832973</v>
      </c>
      <c r="J218" s="8">
        <f t="shared" si="20"/>
        <v>0.18279339745832973</v>
      </c>
    </row>
    <row r="219" spans="1:12">
      <c r="A219" s="108"/>
      <c r="B219" s="3" t="s">
        <v>230</v>
      </c>
      <c r="C219" s="29" t="s">
        <v>236</v>
      </c>
      <c r="D219" s="15"/>
      <c r="E219" s="16" t="s">
        <v>553</v>
      </c>
      <c r="F219" s="63">
        <v>945.48752449393805</v>
      </c>
      <c r="G219" s="63">
        <v>3633.292383</v>
      </c>
      <c r="H219" s="8">
        <f t="shared" ref="H219:I225" si="22">F219/SUM(F$218:F$225)</f>
        <v>0.16397072278376257</v>
      </c>
      <c r="I219" s="8">
        <f t="shared" si="22"/>
        <v>0.16397072277485489</v>
      </c>
      <c r="J219" s="8">
        <f t="shared" si="20"/>
        <v>0.16397072277485489</v>
      </c>
    </row>
    <row r="220" spans="1:12" ht="15.75">
      <c r="A220" s="108"/>
      <c r="B220" s="3" t="s">
        <v>231</v>
      </c>
      <c r="C220" s="29" t="s">
        <v>232</v>
      </c>
      <c r="D220" s="15"/>
      <c r="E220" s="16" t="s">
        <v>554</v>
      </c>
      <c r="F220" s="60">
        <v>635.94833604048995</v>
      </c>
      <c r="G220" s="60">
        <v>2443.8040540000002</v>
      </c>
      <c r="H220" s="8">
        <f t="shared" si="22"/>
        <v>0.11028903672684984</v>
      </c>
      <c r="I220" s="8">
        <f t="shared" si="22"/>
        <v>0.11028903672311487</v>
      </c>
      <c r="J220" s="8">
        <f t="shared" si="20"/>
        <v>0.11028903672311487</v>
      </c>
    </row>
    <row r="221" spans="1:12">
      <c r="A221" s="108"/>
      <c r="B221" s="3" t="s">
        <v>232</v>
      </c>
      <c r="C221" s="29" t="s">
        <v>230</v>
      </c>
      <c r="D221" s="15"/>
      <c r="E221" s="16" t="s">
        <v>555</v>
      </c>
      <c r="F221" s="64">
        <v>949.96320519999995</v>
      </c>
      <c r="G221" s="64">
        <v>3650.4914010000002</v>
      </c>
      <c r="H221" s="8">
        <f t="shared" si="22"/>
        <v>0.16474691557458243</v>
      </c>
      <c r="I221" s="8">
        <f t="shared" si="22"/>
        <v>0.16474691558159762</v>
      </c>
      <c r="J221" s="8">
        <f t="shared" si="20"/>
        <v>0.16474691558159762</v>
      </c>
    </row>
    <row r="222" spans="1:12">
      <c r="A222" s="108"/>
      <c r="B222" s="3" t="s">
        <v>233</v>
      </c>
      <c r="C222" s="29" t="s">
        <v>234</v>
      </c>
      <c r="D222" s="15"/>
      <c r="E222" s="16" t="s">
        <v>556</v>
      </c>
      <c r="F222" s="3">
        <v>1643.693696406905</v>
      </c>
      <c r="G222" s="3">
        <v>6316.3390659999995</v>
      </c>
      <c r="H222" s="8">
        <f t="shared" si="22"/>
        <v>0.2850567949896653</v>
      </c>
      <c r="I222" s="8">
        <f t="shared" si="22"/>
        <v>0.28505679498546199</v>
      </c>
      <c r="J222" s="8">
        <f t="shared" si="20"/>
        <v>0.28505679498546199</v>
      </c>
    </row>
    <row r="223" spans="1:12">
      <c r="A223" s="108"/>
      <c r="B223" s="3" t="s">
        <v>234</v>
      </c>
      <c r="C223" s="29" t="s">
        <v>233</v>
      </c>
      <c r="D223" s="15"/>
      <c r="E223" s="16" t="s">
        <v>557</v>
      </c>
      <c r="H223" s="8">
        <f t="shared" si="22"/>
        <v>0</v>
      </c>
      <c r="I223" s="8">
        <f t="shared" si="22"/>
        <v>0</v>
      </c>
      <c r="J223" s="8">
        <f t="shared" si="20"/>
        <v>0</v>
      </c>
    </row>
    <row r="224" spans="1:12">
      <c r="A224" s="108"/>
      <c r="B224" s="3" t="s">
        <v>235</v>
      </c>
      <c r="C224" s="29" t="s">
        <v>229</v>
      </c>
      <c r="D224" s="15"/>
      <c r="E224" s="16" t="s">
        <v>558</v>
      </c>
      <c r="H224" s="8">
        <f t="shared" si="22"/>
        <v>0</v>
      </c>
      <c r="I224" s="8">
        <f t="shared" si="22"/>
        <v>0</v>
      </c>
      <c r="J224" s="8">
        <f t="shared" si="20"/>
        <v>0</v>
      </c>
    </row>
    <row r="225" spans="1:12">
      <c r="A225" s="108"/>
      <c r="B225" s="3" t="s">
        <v>236</v>
      </c>
      <c r="C225" s="29" t="s">
        <v>235</v>
      </c>
      <c r="D225" s="15"/>
      <c r="E225" s="16" t="s">
        <v>559</v>
      </c>
      <c r="F225" s="63">
        <v>537.08167077935002</v>
      </c>
      <c r="G225" s="63">
        <v>2063.8820639999999</v>
      </c>
      <c r="H225" s="8">
        <f t="shared" si="22"/>
        <v>9.3143132479444432E-2</v>
      </c>
      <c r="I225" s="8">
        <f t="shared" si="22"/>
        <v>9.3143132476640897E-2</v>
      </c>
      <c r="J225" s="8">
        <f t="shared" si="20"/>
        <v>9.3143132476640897E-2</v>
      </c>
    </row>
    <row r="226" spans="1:12">
      <c r="A226" s="108" t="s">
        <v>22</v>
      </c>
      <c r="B226" s="3" t="s">
        <v>237</v>
      </c>
      <c r="C226" s="29" t="s">
        <v>237</v>
      </c>
      <c r="D226" s="15"/>
      <c r="E226" s="16" t="s">
        <v>560</v>
      </c>
      <c r="F226" s="64">
        <v>13.358787639999999</v>
      </c>
      <c r="G226" s="64">
        <v>51.334766600000002</v>
      </c>
      <c r="H226" s="8">
        <f>F226/SUM(F$226:F$227)</f>
        <v>2.0480702096663424E-2</v>
      </c>
      <c r="I226" s="8">
        <f>G226/SUM(G$226:G$227)</f>
        <v>2.0480702104733101E-2</v>
      </c>
      <c r="J226" s="8">
        <f t="shared" si="20"/>
        <v>2.0480702104733101E-2</v>
      </c>
    </row>
    <row r="227" spans="1:12">
      <c r="A227" s="108"/>
      <c r="B227" s="3" t="s">
        <v>238</v>
      </c>
      <c r="C227" s="29" t="s">
        <v>238</v>
      </c>
      <c r="D227" s="15"/>
      <c r="E227" s="16" t="s">
        <v>561</v>
      </c>
      <c r="F227" s="63">
        <v>638.90340420040195</v>
      </c>
      <c r="G227" s="63">
        <v>2455.159705</v>
      </c>
      <c r="H227" s="8">
        <f>F227/SUM(F$226:F$227)</f>
        <v>0.97951929790333669</v>
      </c>
      <c r="I227" s="8">
        <f>G227/SUM(G$226:G$227)</f>
        <v>0.97951929789526693</v>
      </c>
      <c r="J227" s="8">
        <f t="shared" si="20"/>
        <v>0.97951929789526693</v>
      </c>
    </row>
    <row r="228" spans="1:12" ht="15.75">
      <c r="A228" s="108" t="s">
        <v>23</v>
      </c>
      <c r="B228" s="3" t="s">
        <v>239</v>
      </c>
      <c r="C228" s="29" t="s">
        <v>241</v>
      </c>
      <c r="D228" s="15"/>
      <c r="E228" s="16" t="s">
        <v>562</v>
      </c>
      <c r="F228" s="60">
        <v>897.373958269225</v>
      </c>
      <c r="G228" s="60">
        <v>3448.4029489999998</v>
      </c>
      <c r="H228" s="8">
        <f>F228/SUM(F$228:F$231)</f>
        <v>0.44068361532875006</v>
      </c>
      <c r="I228" s="8">
        <f>G228/SUM(G$228:G$231)</f>
        <v>0.41457523466818191</v>
      </c>
      <c r="J228" s="8">
        <f t="shared" si="20"/>
        <v>0.41457523466818191</v>
      </c>
      <c r="K228" s="60"/>
      <c r="L228" s="60"/>
    </row>
    <row r="229" spans="1:12" ht="15.75">
      <c r="A229" s="108"/>
      <c r="B229" s="3" t="s">
        <v>240</v>
      </c>
      <c r="C229" s="29" t="s">
        <v>239</v>
      </c>
      <c r="D229" s="15"/>
      <c r="E229" s="16" t="s">
        <v>563</v>
      </c>
      <c r="F229" s="3">
        <v>970.10376789472605</v>
      </c>
      <c r="G229" s="3">
        <v>3727.8869780000005</v>
      </c>
      <c r="H229" s="8">
        <f t="shared" ref="H229:I231" si="23">F229/SUM(F$228:F$231)</f>
        <v>0.47639986846111676</v>
      </c>
      <c r="I229" s="8">
        <f t="shared" si="23"/>
        <v>0.44817547182790379</v>
      </c>
      <c r="J229" s="8">
        <f t="shared" si="20"/>
        <v>0.44817547182790379</v>
      </c>
      <c r="K229" s="60"/>
      <c r="L229" s="60"/>
    </row>
    <row r="230" spans="1:12">
      <c r="A230" s="108"/>
      <c r="B230" s="3" t="s">
        <v>241</v>
      </c>
      <c r="C230" s="29" t="s">
        <v>242</v>
      </c>
      <c r="D230" s="15"/>
      <c r="E230" s="16" t="s">
        <v>564</v>
      </c>
      <c r="H230" s="8">
        <f t="shared" si="23"/>
        <v>0</v>
      </c>
      <c r="I230" s="8">
        <f t="shared" si="23"/>
        <v>0</v>
      </c>
      <c r="J230" s="8">
        <f t="shared" si="20"/>
        <v>0</v>
      </c>
    </row>
    <row r="231" spans="1:12" ht="15.75">
      <c r="A231" s="108"/>
      <c r="B231" s="3" t="s">
        <v>242</v>
      </c>
      <c r="C231" s="29" t="s">
        <v>240</v>
      </c>
      <c r="D231" s="15"/>
      <c r="E231" s="16" t="s">
        <v>565</v>
      </c>
      <c r="F231" s="60">
        <v>168.844767014707</v>
      </c>
      <c r="G231" s="60">
        <v>1141.628416</v>
      </c>
      <c r="H231" s="8">
        <f t="shared" si="23"/>
        <v>8.291651621013317E-2</v>
      </c>
      <c r="I231" s="8">
        <f t="shared" si="23"/>
        <v>0.13724929350391438</v>
      </c>
      <c r="J231" s="8">
        <f t="shared" si="20"/>
        <v>0.13724929350391438</v>
      </c>
    </row>
    <row r="232" spans="1:12">
      <c r="A232" s="108" t="s">
        <v>24</v>
      </c>
      <c r="B232" s="3" t="s">
        <v>243</v>
      </c>
      <c r="C232" s="29" t="s">
        <v>243</v>
      </c>
      <c r="D232" s="15"/>
      <c r="E232" s="16" t="s">
        <v>566</v>
      </c>
      <c r="H232" s="8">
        <f>F232/SUM(F$232:F$236)</f>
        <v>0</v>
      </c>
      <c r="I232" s="8">
        <f>G232/SUM(G$232:G$236)</f>
        <v>0</v>
      </c>
      <c r="J232" s="8">
        <f t="shared" si="20"/>
        <v>0</v>
      </c>
    </row>
    <row r="233" spans="1:12">
      <c r="A233" s="108"/>
      <c r="B233" s="3" t="s">
        <v>244</v>
      </c>
      <c r="C233" s="29" t="s">
        <v>245</v>
      </c>
      <c r="D233" s="15"/>
      <c r="E233" s="16" t="s">
        <v>567</v>
      </c>
      <c r="H233" s="8">
        <f t="shared" ref="H233:I236" si="24">F233/SUM(F$232:F$236)</f>
        <v>0</v>
      </c>
      <c r="I233" s="8">
        <f t="shared" si="24"/>
        <v>0</v>
      </c>
      <c r="J233" s="8">
        <f t="shared" si="20"/>
        <v>0</v>
      </c>
    </row>
    <row r="234" spans="1:12">
      <c r="A234" s="108"/>
      <c r="B234" s="3" t="s">
        <v>245</v>
      </c>
      <c r="C234" s="29" t="s">
        <v>244</v>
      </c>
      <c r="D234" s="15"/>
      <c r="E234" s="16" t="s">
        <v>568</v>
      </c>
      <c r="F234" s="3">
        <v>822.61093583268803</v>
      </c>
      <c r="G234" s="3">
        <v>3925.8818620000002</v>
      </c>
      <c r="H234" s="8">
        <f t="shared" si="24"/>
        <v>1</v>
      </c>
      <c r="I234" s="8">
        <f t="shared" si="24"/>
        <v>1</v>
      </c>
      <c r="J234" s="8">
        <f t="shared" si="20"/>
        <v>1</v>
      </c>
    </row>
    <row r="235" spans="1:12">
      <c r="A235" s="108"/>
      <c r="B235" s="3" t="s">
        <v>246</v>
      </c>
      <c r="C235" s="29" t="s">
        <v>246</v>
      </c>
      <c r="D235" s="15"/>
      <c r="E235" s="16" t="s">
        <v>569</v>
      </c>
      <c r="H235" s="8">
        <f t="shared" si="24"/>
        <v>0</v>
      </c>
      <c r="I235" s="8">
        <f t="shared" si="24"/>
        <v>0</v>
      </c>
      <c r="J235" s="8">
        <f t="shared" si="20"/>
        <v>0</v>
      </c>
    </row>
    <row r="236" spans="1:12">
      <c r="A236" s="108"/>
      <c r="C236" s="29" t="s">
        <v>570</v>
      </c>
      <c r="D236" s="15"/>
      <c r="E236" s="16" t="s">
        <v>571</v>
      </c>
      <c r="H236" s="8">
        <f t="shared" si="24"/>
        <v>0</v>
      </c>
      <c r="I236" s="8">
        <f t="shared" si="24"/>
        <v>0</v>
      </c>
      <c r="J236" s="8">
        <f t="shared" si="20"/>
        <v>0</v>
      </c>
    </row>
    <row r="237" spans="1:12">
      <c r="A237" s="108" t="s">
        <v>25</v>
      </c>
      <c r="B237" s="3" t="s">
        <v>247</v>
      </c>
      <c r="C237" s="29" t="s">
        <v>247</v>
      </c>
      <c r="D237" s="15"/>
      <c r="E237" s="16" t="s">
        <v>572</v>
      </c>
      <c r="H237" s="8">
        <f>F237/SUM(F$237:F$244)</f>
        <v>0</v>
      </c>
      <c r="I237" s="8">
        <f>G237/SUM(G$237:G$244)</f>
        <v>0</v>
      </c>
      <c r="J237" s="8">
        <f t="shared" si="20"/>
        <v>0</v>
      </c>
    </row>
    <row r="238" spans="1:12">
      <c r="A238" s="108"/>
      <c r="B238" s="3" t="s">
        <v>248</v>
      </c>
      <c r="C238" s="29" t="s">
        <v>248</v>
      </c>
      <c r="D238" s="15"/>
      <c r="E238" s="16" t="s">
        <v>573</v>
      </c>
      <c r="H238" s="8">
        <f t="shared" ref="H238:I244" si="25">F238/SUM(F$237:F$244)</f>
        <v>0</v>
      </c>
      <c r="I238" s="8">
        <f t="shared" si="25"/>
        <v>0</v>
      </c>
      <c r="J238" s="8">
        <f t="shared" si="20"/>
        <v>0</v>
      </c>
    </row>
    <row r="239" spans="1:12">
      <c r="A239" s="108"/>
      <c r="B239" s="3" t="s">
        <v>249</v>
      </c>
      <c r="C239" s="29" t="s">
        <v>252</v>
      </c>
      <c r="D239" s="15"/>
      <c r="E239" s="16" t="s">
        <v>574</v>
      </c>
      <c r="F239" s="3">
        <v>2248.7363390850387</v>
      </c>
      <c r="G239" s="3">
        <v>8641.3796070000008</v>
      </c>
      <c r="H239" s="8">
        <f t="shared" si="25"/>
        <v>0.85433078897883397</v>
      </c>
      <c r="I239" s="8">
        <f t="shared" si="25"/>
        <v>0.85433078898891524</v>
      </c>
      <c r="J239" s="8">
        <f t="shared" si="20"/>
        <v>0.85433078898891524</v>
      </c>
    </row>
    <row r="240" spans="1:12">
      <c r="A240" s="108"/>
      <c r="B240" s="3" t="s">
        <v>250</v>
      </c>
      <c r="C240" s="29" t="s">
        <v>254</v>
      </c>
      <c r="D240" s="15"/>
      <c r="E240" s="16" t="s">
        <v>575</v>
      </c>
      <c r="H240" s="8">
        <f t="shared" si="25"/>
        <v>0</v>
      </c>
      <c r="I240" s="8">
        <f t="shared" si="25"/>
        <v>0</v>
      </c>
      <c r="J240" s="8">
        <f t="shared" si="20"/>
        <v>0</v>
      </c>
    </row>
    <row r="241" spans="1:10">
      <c r="A241" s="108"/>
      <c r="B241" s="3" t="s">
        <v>251</v>
      </c>
      <c r="C241" s="29" t="s">
        <v>251</v>
      </c>
      <c r="D241" s="32"/>
      <c r="E241" s="16" t="s">
        <v>576</v>
      </c>
      <c r="F241" s="63">
        <v>383.42484261943002</v>
      </c>
      <c r="G241" s="63">
        <v>1473.4140050000001</v>
      </c>
      <c r="H241" s="8">
        <f t="shared" si="25"/>
        <v>0.14566921102116603</v>
      </c>
      <c r="I241" s="8">
        <f t="shared" si="25"/>
        <v>0.14566921101108474</v>
      </c>
      <c r="J241" s="8">
        <f t="shared" si="20"/>
        <v>0.14566921101108474</v>
      </c>
    </row>
    <row r="242" spans="1:10">
      <c r="A242" s="108"/>
      <c r="B242" s="3" t="s">
        <v>252</v>
      </c>
      <c r="C242" s="29" t="s">
        <v>253</v>
      </c>
      <c r="D242" s="15"/>
      <c r="E242" s="16" t="s">
        <v>577</v>
      </c>
      <c r="H242" s="8">
        <f t="shared" si="25"/>
        <v>0</v>
      </c>
      <c r="I242" s="8">
        <f t="shared" si="25"/>
        <v>0</v>
      </c>
      <c r="J242" s="8">
        <f t="shared" si="20"/>
        <v>0</v>
      </c>
    </row>
    <row r="243" spans="1:10">
      <c r="A243" s="108"/>
      <c r="B243" s="3" t="s">
        <v>253</v>
      </c>
      <c r="C243" s="29" t="s">
        <v>250</v>
      </c>
      <c r="D243" s="15"/>
      <c r="E243" s="16" t="s">
        <v>578</v>
      </c>
      <c r="H243" s="8">
        <f t="shared" si="25"/>
        <v>0</v>
      </c>
      <c r="I243" s="8">
        <f t="shared" si="25"/>
        <v>0</v>
      </c>
      <c r="J243" s="8">
        <f t="shared" si="20"/>
        <v>0</v>
      </c>
    </row>
    <row r="244" spans="1:10">
      <c r="A244" s="108"/>
      <c r="B244" s="3" t="s">
        <v>254</v>
      </c>
      <c r="C244" s="29" t="s">
        <v>249</v>
      </c>
      <c r="D244" s="15"/>
      <c r="E244" s="16" t="s">
        <v>579</v>
      </c>
      <c r="H244" s="8">
        <f t="shared" si="25"/>
        <v>0</v>
      </c>
      <c r="I244" s="8">
        <f t="shared" si="25"/>
        <v>0</v>
      </c>
      <c r="J244" s="8">
        <f t="shared" si="20"/>
        <v>0</v>
      </c>
    </row>
    <row r="245" spans="1:10">
      <c r="A245" s="108" t="s">
        <v>26</v>
      </c>
      <c r="B245" s="3" t="s">
        <v>255</v>
      </c>
      <c r="C245" s="29" t="s">
        <v>294</v>
      </c>
      <c r="D245" s="32"/>
      <c r="E245" s="16" t="s">
        <v>580</v>
      </c>
      <c r="H245" s="8">
        <f>F245/SUM(F$245:F$285)</f>
        <v>0</v>
      </c>
      <c r="I245" s="8">
        <f>G245/SUM(G$245:G$285)</f>
        <v>0</v>
      </c>
      <c r="J245" s="8">
        <f t="shared" si="20"/>
        <v>0</v>
      </c>
    </row>
    <row r="246" spans="1:10" ht="29.25">
      <c r="A246" s="108"/>
      <c r="B246" s="3" t="s">
        <v>256</v>
      </c>
      <c r="C246" s="29" t="s">
        <v>268</v>
      </c>
      <c r="D246" s="15"/>
      <c r="E246" s="16" t="s">
        <v>581</v>
      </c>
      <c r="H246" s="8">
        <f t="shared" ref="H246:I285" si="26">F246/SUM(F$245:F$285)</f>
        <v>0</v>
      </c>
      <c r="I246" s="8">
        <f t="shared" si="26"/>
        <v>0</v>
      </c>
      <c r="J246" s="8">
        <f t="shared" si="20"/>
        <v>0</v>
      </c>
    </row>
    <row r="247" spans="1:10">
      <c r="A247" s="108"/>
      <c r="B247" s="3" t="s">
        <v>257</v>
      </c>
      <c r="C247" s="29" t="s">
        <v>280</v>
      </c>
      <c r="D247" s="15"/>
      <c r="E247" s="16" t="s">
        <v>582</v>
      </c>
      <c r="H247" s="8">
        <f t="shared" si="26"/>
        <v>0</v>
      </c>
      <c r="I247" s="8">
        <f t="shared" si="26"/>
        <v>0</v>
      </c>
      <c r="J247" s="8">
        <f t="shared" si="20"/>
        <v>0</v>
      </c>
    </row>
    <row r="248" spans="1:10">
      <c r="A248" s="108"/>
      <c r="B248" s="3" t="s">
        <v>258</v>
      </c>
      <c r="C248" s="29" t="s">
        <v>270</v>
      </c>
      <c r="D248" s="15"/>
      <c r="E248" s="16" t="s">
        <v>583</v>
      </c>
      <c r="H248" s="8">
        <f t="shared" si="26"/>
        <v>0</v>
      </c>
      <c r="I248" s="8">
        <f t="shared" si="26"/>
        <v>0</v>
      </c>
      <c r="J248" s="8">
        <f t="shared" si="20"/>
        <v>0</v>
      </c>
    </row>
    <row r="249" spans="1:10" ht="15.75">
      <c r="A249" s="108"/>
      <c r="B249" s="3" t="s">
        <v>259</v>
      </c>
      <c r="C249" s="29" t="s">
        <v>285</v>
      </c>
      <c r="D249" s="15"/>
      <c r="E249" s="16" t="s">
        <v>584</v>
      </c>
      <c r="F249" s="60">
        <v>657.11718636234502</v>
      </c>
      <c r="G249" s="60">
        <v>2525.1511059999998</v>
      </c>
      <c r="H249" s="8">
        <f t="shared" si="26"/>
        <v>0.1100627676029277</v>
      </c>
      <c r="I249" s="8">
        <f t="shared" si="26"/>
        <v>9.8023776010855657E-2</v>
      </c>
      <c r="J249" s="8">
        <f t="shared" si="20"/>
        <v>9.8023776010855657E-2</v>
      </c>
    </row>
    <row r="250" spans="1:10">
      <c r="A250" s="108"/>
      <c r="B250" s="3" t="s">
        <v>260</v>
      </c>
      <c r="C250" s="29" t="s">
        <v>264</v>
      </c>
      <c r="D250" s="15"/>
      <c r="E250" s="16" t="s">
        <v>585</v>
      </c>
      <c r="H250" s="8">
        <f t="shared" si="26"/>
        <v>0</v>
      </c>
      <c r="I250" s="8">
        <f t="shared" si="26"/>
        <v>0</v>
      </c>
      <c r="J250" s="8">
        <f t="shared" si="20"/>
        <v>0</v>
      </c>
    </row>
    <row r="251" spans="1:10">
      <c r="A251" s="108"/>
      <c r="B251" s="3" t="s">
        <v>261</v>
      </c>
      <c r="C251" s="29" t="s">
        <v>269</v>
      </c>
      <c r="D251" s="15"/>
      <c r="E251" s="16" t="s">
        <v>586</v>
      </c>
      <c r="H251" s="8">
        <f t="shared" si="26"/>
        <v>0</v>
      </c>
      <c r="I251" s="8">
        <f t="shared" si="26"/>
        <v>0</v>
      </c>
      <c r="J251" s="8">
        <f t="shared" si="20"/>
        <v>0</v>
      </c>
    </row>
    <row r="252" spans="1:10" ht="29.25">
      <c r="A252" s="108"/>
      <c r="B252" s="3" t="s">
        <v>262</v>
      </c>
      <c r="C252" s="29" t="s">
        <v>277</v>
      </c>
      <c r="D252" s="15"/>
      <c r="E252" s="16" t="s">
        <v>587</v>
      </c>
      <c r="F252" s="60">
        <v>492.739054861574</v>
      </c>
      <c r="G252" s="60">
        <v>2163.9811759999998</v>
      </c>
      <c r="H252" s="8">
        <f t="shared" si="26"/>
        <v>8.2530521510680951E-2</v>
      </c>
      <c r="I252" s="8">
        <f t="shared" si="26"/>
        <v>8.4003529762599491E-2</v>
      </c>
      <c r="J252" s="8">
        <f t="shared" si="20"/>
        <v>8.4003529762599491E-2</v>
      </c>
    </row>
    <row r="253" spans="1:10">
      <c r="A253" s="108"/>
      <c r="B253" s="3" t="s">
        <v>263</v>
      </c>
      <c r="C253" s="29" t="s">
        <v>295</v>
      </c>
      <c r="D253" s="15"/>
      <c r="E253" s="16" t="s">
        <v>588</v>
      </c>
      <c r="H253" s="8">
        <f t="shared" si="26"/>
        <v>0</v>
      </c>
      <c r="I253" s="8">
        <f t="shared" si="26"/>
        <v>0</v>
      </c>
      <c r="J253" s="8">
        <f t="shared" si="20"/>
        <v>0</v>
      </c>
    </row>
    <row r="254" spans="1:10">
      <c r="A254" s="108"/>
      <c r="B254" s="3" t="s">
        <v>264</v>
      </c>
      <c r="C254" s="29" t="s">
        <v>266</v>
      </c>
      <c r="D254" s="15"/>
      <c r="E254" s="16" t="s">
        <v>589</v>
      </c>
      <c r="H254" s="8">
        <f t="shared" si="26"/>
        <v>0</v>
      </c>
      <c r="I254" s="8">
        <f t="shared" si="26"/>
        <v>0</v>
      </c>
      <c r="J254" s="8">
        <f t="shared" si="20"/>
        <v>0</v>
      </c>
    </row>
    <row r="255" spans="1:10">
      <c r="A255" s="108"/>
      <c r="B255" s="3" t="s">
        <v>265</v>
      </c>
      <c r="C255" s="29" t="s">
        <v>263</v>
      </c>
      <c r="D255" s="15"/>
      <c r="E255" s="16" t="s">
        <v>590</v>
      </c>
      <c r="H255" s="8">
        <f t="shared" si="26"/>
        <v>0</v>
      </c>
      <c r="I255" s="8">
        <f t="shared" si="26"/>
        <v>0</v>
      </c>
      <c r="J255" s="8">
        <f t="shared" si="20"/>
        <v>0</v>
      </c>
    </row>
    <row r="256" spans="1:10" ht="15.75">
      <c r="A256" s="108"/>
      <c r="B256" s="3" t="s">
        <v>266</v>
      </c>
      <c r="C256" s="29" t="s">
        <v>279</v>
      </c>
      <c r="D256" s="15"/>
      <c r="E256" s="16" t="s">
        <v>591</v>
      </c>
      <c r="F256" s="60">
        <v>616.33925827468795</v>
      </c>
      <c r="G256" s="60">
        <v>4167.3214010000002</v>
      </c>
      <c r="H256" s="8">
        <f t="shared" si="26"/>
        <v>0.1032327352805561</v>
      </c>
      <c r="I256" s="8">
        <f t="shared" si="26"/>
        <v>0.16177114256895059</v>
      </c>
      <c r="J256" s="8">
        <f t="shared" si="20"/>
        <v>0.16177114256895059</v>
      </c>
    </row>
    <row r="257" spans="1:12" ht="29.25">
      <c r="A257" s="108"/>
      <c r="B257" s="3" t="s">
        <v>267</v>
      </c>
      <c r="C257" s="29" t="s">
        <v>272</v>
      </c>
      <c r="D257" s="15"/>
      <c r="E257" s="16" t="s">
        <v>592</v>
      </c>
      <c r="F257" s="60">
        <v>729.53593613360101</v>
      </c>
      <c r="G257" s="60">
        <v>2803.4398040000001</v>
      </c>
      <c r="H257" s="8">
        <f t="shared" si="26"/>
        <v>0.12219242756554691</v>
      </c>
      <c r="I257" s="8">
        <f t="shared" si="26"/>
        <v>0.10882665784010041</v>
      </c>
      <c r="J257" s="8">
        <f t="shared" si="20"/>
        <v>0.10882665784010041</v>
      </c>
    </row>
    <row r="258" spans="1:12">
      <c r="A258" s="108"/>
      <c r="B258" s="3" t="s">
        <v>268</v>
      </c>
      <c r="C258" s="29" t="s">
        <v>271</v>
      </c>
      <c r="D258" s="15"/>
      <c r="E258" s="16" t="s">
        <v>593</v>
      </c>
      <c r="H258" s="8">
        <f t="shared" si="26"/>
        <v>0</v>
      </c>
      <c r="I258" s="8">
        <f t="shared" si="26"/>
        <v>0</v>
      </c>
      <c r="J258" s="8">
        <f t="shared" si="20"/>
        <v>0</v>
      </c>
    </row>
    <row r="259" spans="1:12" ht="29.25">
      <c r="A259" s="108"/>
      <c r="B259" s="3" t="s">
        <v>269</v>
      </c>
      <c r="C259" s="29" t="s">
        <v>275</v>
      </c>
      <c r="D259" s="15"/>
      <c r="E259" s="16" t="s">
        <v>594</v>
      </c>
      <c r="F259" s="60">
        <v>1024.3264508567299</v>
      </c>
      <c r="G259" s="60">
        <v>4498.5741159999998</v>
      </c>
      <c r="H259" s="8">
        <f t="shared" si="26"/>
        <v>0.1715678823350836</v>
      </c>
      <c r="I259" s="8">
        <f t="shared" si="26"/>
        <v>0.17463003321553186</v>
      </c>
      <c r="J259" s="8">
        <f t="shared" si="20"/>
        <v>0.17463003321553186</v>
      </c>
    </row>
    <row r="260" spans="1:12" ht="15.75">
      <c r="A260" s="108"/>
      <c r="B260" s="3" t="s">
        <v>270</v>
      </c>
      <c r="C260" s="29" t="s">
        <v>267</v>
      </c>
      <c r="D260" s="15"/>
      <c r="E260" s="16" t="s">
        <v>595</v>
      </c>
      <c r="F260" s="60">
        <v>678.10029585222799</v>
      </c>
      <c r="G260" s="60">
        <v>2605.7843979999998</v>
      </c>
      <c r="H260" s="8">
        <f t="shared" si="26"/>
        <v>0.11357729918314162</v>
      </c>
      <c r="I260" s="8">
        <f t="shared" si="26"/>
        <v>0.10115387770466927</v>
      </c>
      <c r="J260" s="8">
        <f t="shared" ref="J260:J285" si="27">I260</f>
        <v>0.10115387770466927</v>
      </c>
    </row>
    <row r="261" spans="1:12">
      <c r="A261" s="108"/>
      <c r="B261" s="3" t="s">
        <v>271</v>
      </c>
      <c r="C261" s="29" t="s">
        <v>274</v>
      </c>
      <c r="D261" s="15"/>
      <c r="E261" s="16" t="s">
        <v>596</v>
      </c>
      <c r="H261" s="8">
        <f t="shared" si="26"/>
        <v>0</v>
      </c>
      <c r="I261" s="8">
        <f t="shared" si="26"/>
        <v>0</v>
      </c>
      <c r="J261" s="8">
        <f t="shared" si="27"/>
        <v>0</v>
      </c>
    </row>
    <row r="262" spans="1:12">
      <c r="A262" s="108"/>
      <c r="B262" s="3" t="s">
        <v>272</v>
      </c>
      <c r="C262" s="29" t="s">
        <v>282</v>
      </c>
      <c r="D262" s="15"/>
      <c r="E262" s="16" t="s">
        <v>597</v>
      </c>
      <c r="H262" s="8">
        <f t="shared" si="26"/>
        <v>0</v>
      </c>
      <c r="I262" s="8">
        <f t="shared" si="26"/>
        <v>0</v>
      </c>
      <c r="J262" s="8">
        <f t="shared" si="27"/>
        <v>0</v>
      </c>
    </row>
    <row r="263" spans="1:12">
      <c r="A263" s="108"/>
      <c r="B263" s="3" t="s">
        <v>273</v>
      </c>
      <c r="C263" s="29" t="s">
        <v>287</v>
      </c>
      <c r="D263" s="15"/>
      <c r="E263" s="16" t="s">
        <v>598</v>
      </c>
      <c r="H263" s="8">
        <f t="shared" si="26"/>
        <v>0</v>
      </c>
      <c r="I263" s="8">
        <f t="shared" si="26"/>
        <v>0</v>
      </c>
      <c r="J263" s="8">
        <f t="shared" si="27"/>
        <v>0</v>
      </c>
    </row>
    <row r="264" spans="1:12">
      <c r="A264" s="108"/>
      <c r="B264" s="3" t="s">
        <v>274</v>
      </c>
      <c r="C264" s="29" t="s">
        <v>265</v>
      </c>
      <c r="D264" s="15"/>
      <c r="E264" s="16" t="s">
        <v>599</v>
      </c>
      <c r="H264" s="8">
        <f t="shared" si="26"/>
        <v>0</v>
      </c>
      <c r="I264" s="8">
        <f t="shared" si="26"/>
        <v>0</v>
      </c>
      <c r="J264" s="8">
        <f t="shared" si="27"/>
        <v>0</v>
      </c>
    </row>
    <row r="265" spans="1:12">
      <c r="A265" s="108"/>
      <c r="B265" s="3" t="s">
        <v>275</v>
      </c>
      <c r="C265" s="29" t="s">
        <v>293</v>
      </c>
      <c r="D265" s="15"/>
      <c r="E265" s="16" t="s">
        <v>600</v>
      </c>
      <c r="H265" s="8">
        <f t="shared" si="26"/>
        <v>0</v>
      </c>
      <c r="I265" s="8">
        <f t="shared" si="26"/>
        <v>0</v>
      </c>
      <c r="J265" s="8">
        <f t="shared" si="27"/>
        <v>0</v>
      </c>
    </row>
    <row r="266" spans="1:12">
      <c r="A266" s="108"/>
      <c r="B266" s="3" t="s">
        <v>276</v>
      </c>
      <c r="C266" s="29" t="s">
        <v>292</v>
      </c>
      <c r="D266" s="15"/>
      <c r="E266" s="16" t="s">
        <v>601</v>
      </c>
      <c r="H266" s="8">
        <f t="shared" si="26"/>
        <v>0</v>
      </c>
      <c r="I266" s="8">
        <f t="shared" si="26"/>
        <v>0</v>
      </c>
      <c r="J266" s="8">
        <f t="shared" si="27"/>
        <v>0</v>
      </c>
    </row>
    <row r="267" spans="1:12" ht="29.25">
      <c r="A267" s="108"/>
      <c r="B267" s="3" t="s">
        <v>277</v>
      </c>
      <c r="C267" s="29" t="s">
        <v>291</v>
      </c>
      <c r="D267" s="15"/>
      <c r="E267" s="16" t="s">
        <v>602</v>
      </c>
      <c r="H267" s="8">
        <f t="shared" si="26"/>
        <v>0</v>
      </c>
      <c r="I267" s="8">
        <f t="shared" si="26"/>
        <v>0</v>
      </c>
      <c r="J267" s="8">
        <f t="shared" si="27"/>
        <v>0</v>
      </c>
    </row>
    <row r="268" spans="1:12">
      <c r="A268" s="108"/>
      <c r="B268" s="3" t="s">
        <v>278</v>
      </c>
      <c r="C268" s="29" t="s">
        <v>290</v>
      </c>
      <c r="D268" s="15"/>
      <c r="E268" s="16" t="s">
        <v>603</v>
      </c>
      <c r="H268" s="8">
        <f t="shared" si="26"/>
        <v>0</v>
      </c>
      <c r="I268" s="8">
        <f t="shared" si="26"/>
        <v>0</v>
      </c>
      <c r="J268" s="8">
        <f t="shared" si="27"/>
        <v>0</v>
      </c>
    </row>
    <row r="269" spans="1:12" ht="29.25">
      <c r="A269" s="108"/>
      <c r="B269" s="3" t="s">
        <v>279</v>
      </c>
      <c r="C269" s="29" t="s">
        <v>289</v>
      </c>
      <c r="D269" s="15"/>
      <c r="E269" s="16" t="s">
        <v>604</v>
      </c>
      <c r="H269" s="8">
        <f t="shared" si="26"/>
        <v>0</v>
      </c>
      <c r="I269" s="8">
        <f t="shared" si="26"/>
        <v>0</v>
      </c>
      <c r="J269" s="8">
        <f t="shared" si="27"/>
        <v>0</v>
      </c>
    </row>
    <row r="270" spans="1:12" ht="29.25">
      <c r="A270" s="108"/>
      <c r="B270" s="3" t="s">
        <v>280</v>
      </c>
      <c r="C270" s="29" t="s">
        <v>286</v>
      </c>
      <c r="D270" s="15"/>
      <c r="E270" s="16" t="s">
        <v>605</v>
      </c>
      <c r="H270" s="8">
        <f t="shared" si="26"/>
        <v>0</v>
      </c>
      <c r="I270" s="8">
        <f t="shared" si="26"/>
        <v>0</v>
      </c>
      <c r="J270" s="8">
        <f t="shared" si="27"/>
        <v>0</v>
      </c>
    </row>
    <row r="271" spans="1:12" ht="15.75">
      <c r="A271" s="108"/>
      <c r="B271" s="3" t="s">
        <v>281</v>
      </c>
      <c r="C271" s="29" t="s">
        <v>283</v>
      </c>
      <c r="D271" s="15"/>
      <c r="E271" s="16" t="s">
        <v>606</v>
      </c>
      <c r="H271" s="8">
        <f t="shared" si="26"/>
        <v>0</v>
      </c>
      <c r="I271" s="8">
        <f t="shared" si="26"/>
        <v>0</v>
      </c>
      <c r="J271" s="8">
        <f t="shared" si="27"/>
        <v>0</v>
      </c>
      <c r="K271" s="60"/>
      <c r="L271" s="60"/>
    </row>
    <row r="272" spans="1:12" ht="15.75">
      <c r="A272" s="108"/>
      <c r="B272" s="3" t="s">
        <v>282</v>
      </c>
      <c r="C272" s="29" t="s">
        <v>276</v>
      </c>
      <c r="D272" s="15"/>
      <c r="E272" s="16" t="s">
        <v>607</v>
      </c>
      <c r="H272" s="8">
        <f t="shared" si="26"/>
        <v>0</v>
      </c>
      <c r="I272" s="8">
        <f t="shared" si="26"/>
        <v>0</v>
      </c>
      <c r="J272" s="8">
        <f t="shared" si="27"/>
        <v>0</v>
      </c>
      <c r="K272" s="60"/>
      <c r="L272" s="60"/>
    </row>
    <row r="273" spans="1:11">
      <c r="A273" s="108"/>
      <c r="B273" s="3" t="s">
        <v>283</v>
      </c>
      <c r="C273" s="29" t="s">
        <v>273</v>
      </c>
      <c r="D273" s="15"/>
      <c r="E273" s="16" t="s">
        <v>608</v>
      </c>
      <c r="H273" s="8">
        <f t="shared" si="26"/>
        <v>0</v>
      </c>
      <c r="I273" s="8">
        <f t="shared" si="26"/>
        <v>0</v>
      </c>
      <c r="J273" s="8">
        <f t="shared" si="27"/>
        <v>0</v>
      </c>
    </row>
    <row r="274" spans="1:11" ht="29.25">
      <c r="A274" s="108"/>
      <c r="B274" s="3" t="s">
        <v>284</v>
      </c>
      <c r="C274" s="29" t="s">
        <v>288</v>
      </c>
      <c r="D274" s="15"/>
      <c r="E274" s="16" t="s">
        <v>609</v>
      </c>
      <c r="H274" s="8">
        <f t="shared" si="26"/>
        <v>0</v>
      </c>
      <c r="I274" s="8">
        <f t="shared" si="26"/>
        <v>0</v>
      </c>
      <c r="J274" s="8">
        <f t="shared" si="27"/>
        <v>0</v>
      </c>
    </row>
    <row r="275" spans="1:11">
      <c r="A275" s="108"/>
      <c r="B275" s="3" t="s">
        <v>285</v>
      </c>
      <c r="C275" s="29" t="s">
        <v>284</v>
      </c>
      <c r="D275" s="15"/>
      <c r="E275" s="16" t="s">
        <v>610</v>
      </c>
      <c r="H275" s="8">
        <f t="shared" si="26"/>
        <v>0</v>
      </c>
      <c r="I275" s="8">
        <f t="shared" si="26"/>
        <v>0</v>
      </c>
      <c r="J275" s="8">
        <f t="shared" si="27"/>
        <v>0</v>
      </c>
    </row>
    <row r="276" spans="1:11">
      <c r="A276" s="108"/>
      <c r="B276" s="3" t="s">
        <v>286</v>
      </c>
      <c r="C276" s="29" t="s">
        <v>281</v>
      </c>
      <c r="D276" s="15"/>
      <c r="E276" s="16" t="s">
        <v>611</v>
      </c>
      <c r="H276" s="8">
        <f t="shared" si="26"/>
        <v>0</v>
      </c>
      <c r="I276" s="8">
        <f t="shared" si="26"/>
        <v>0</v>
      </c>
      <c r="J276" s="8">
        <f t="shared" si="27"/>
        <v>0</v>
      </c>
    </row>
    <row r="277" spans="1:11">
      <c r="A277" s="108"/>
      <c r="B277" s="3" t="s">
        <v>287</v>
      </c>
      <c r="C277" s="29" t="s">
        <v>278</v>
      </c>
      <c r="D277" s="15"/>
      <c r="E277" s="16" t="s">
        <v>612</v>
      </c>
      <c r="H277" s="8">
        <f t="shared" si="26"/>
        <v>0</v>
      </c>
      <c r="I277" s="8">
        <f t="shared" si="26"/>
        <v>0</v>
      </c>
      <c r="J277" s="8">
        <f t="shared" si="27"/>
        <v>0</v>
      </c>
    </row>
    <row r="278" spans="1:11">
      <c r="A278" s="108"/>
      <c r="B278" s="3" t="s">
        <v>288</v>
      </c>
      <c r="C278" s="29" t="s">
        <v>255</v>
      </c>
      <c r="D278" s="15"/>
      <c r="E278" s="16" t="s">
        <v>613</v>
      </c>
      <c r="H278" s="8">
        <f t="shared" si="26"/>
        <v>0</v>
      </c>
      <c r="I278" s="8">
        <f t="shared" si="26"/>
        <v>0</v>
      </c>
      <c r="J278" s="8">
        <f t="shared" si="27"/>
        <v>0</v>
      </c>
    </row>
    <row r="279" spans="1:11">
      <c r="A279" s="108"/>
      <c r="B279" s="3" t="s">
        <v>289</v>
      </c>
      <c r="C279" s="29" t="s">
        <v>256</v>
      </c>
      <c r="D279" s="15"/>
      <c r="E279" s="16" t="s">
        <v>614</v>
      </c>
      <c r="F279" s="3">
        <v>951.52074199797596</v>
      </c>
      <c r="G279" s="3">
        <v>3656.4766580000005</v>
      </c>
      <c r="H279" s="8">
        <f t="shared" si="26"/>
        <v>0.15937340929345348</v>
      </c>
      <c r="I279" s="8">
        <f t="shared" si="26"/>
        <v>0.14194067359417425</v>
      </c>
      <c r="J279" s="8">
        <f t="shared" si="27"/>
        <v>0.14194067359417425</v>
      </c>
    </row>
    <row r="280" spans="1:11">
      <c r="A280" s="108"/>
      <c r="B280" s="3" t="s">
        <v>290</v>
      </c>
      <c r="C280" s="29" t="s">
        <v>261</v>
      </c>
      <c r="D280" s="15"/>
      <c r="E280" s="16" t="s">
        <v>615</v>
      </c>
      <c r="H280" s="8">
        <f t="shared" si="26"/>
        <v>0</v>
      </c>
      <c r="I280" s="8">
        <f t="shared" si="26"/>
        <v>0</v>
      </c>
      <c r="J280" s="8">
        <f t="shared" si="27"/>
        <v>0</v>
      </c>
    </row>
    <row r="281" spans="1:11">
      <c r="A281" s="108"/>
      <c r="B281" s="3" t="s">
        <v>291</v>
      </c>
      <c r="C281" s="29" t="s">
        <v>259</v>
      </c>
      <c r="D281" s="15"/>
      <c r="E281" s="16" t="s">
        <v>616</v>
      </c>
      <c r="H281" s="8">
        <f t="shared" si="26"/>
        <v>0</v>
      </c>
      <c r="I281" s="8">
        <f t="shared" si="26"/>
        <v>0</v>
      </c>
      <c r="J281" s="8">
        <f t="shared" si="27"/>
        <v>0</v>
      </c>
    </row>
    <row r="282" spans="1:11" ht="15.75">
      <c r="A282" s="108"/>
      <c r="B282" s="3" t="s">
        <v>292</v>
      </c>
      <c r="C282" s="29" t="s">
        <v>260</v>
      </c>
      <c r="D282" s="31"/>
      <c r="E282" s="16" t="s">
        <v>617</v>
      </c>
      <c r="F282" s="60">
        <v>481.74211809109602</v>
      </c>
      <c r="G282" s="60">
        <v>1851.2248159999999</v>
      </c>
      <c r="H282" s="8">
        <f t="shared" si="26"/>
        <v>8.0688607585383307E-2</v>
      </c>
      <c r="I282" s="8">
        <f t="shared" si="26"/>
        <v>7.186264864631095E-2</v>
      </c>
      <c r="J282" s="8">
        <f t="shared" si="27"/>
        <v>7.186264864631095E-2</v>
      </c>
    </row>
    <row r="283" spans="1:11">
      <c r="A283" s="108"/>
      <c r="B283" s="3" t="s">
        <v>293</v>
      </c>
      <c r="C283" s="29" t="s">
        <v>258</v>
      </c>
      <c r="D283" s="15"/>
      <c r="E283" s="16" t="s">
        <v>618</v>
      </c>
      <c r="H283" s="8">
        <f t="shared" si="26"/>
        <v>0</v>
      </c>
      <c r="I283" s="8">
        <f t="shared" si="26"/>
        <v>0</v>
      </c>
      <c r="J283" s="8">
        <f t="shared" si="27"/>
        <v>0</v>
      </c>
    </row>
    <row r="284" spans="1:11">
      <c r="A284" s="108"/>
      <c r="B284" s="3" t="s">
        <v>294</v>
      </c>
      <c r="C284" s="29" t="s">
        <v>257</v>
      </c>
      <c r="D284" s="15"/>
      <c r="E284" s="16" t="s">
        <v>619</v>
      </c>
      <c r="H284" s="8">
        <f t="shared" si="26"/>
        <v>0</v>
      </c>
      <c r="I284" s="8">
        <f t="shared" si="26"/>
        <v>0</v>
      </c>
      <c r="J284" s="8">
        <f t="shared" si="27"/>
        <v>0</v>
      </c>
    </row>
    <row r="285" spans="1:11" ht="15.75">
      <c r="A285" s="108"/>
      <c r="B285" s="3" t="s">
        <v>295</v>
      </c>
      <c r="C285" s="29" t="s">
        <v>262</v>
      </c>
      <c r="D285" s="15"/>
      <c r="E285" s="16" t="s">
        <v>620</v>
      </c>
      <c r="F285" s="60">
        <v>338.96477171737598</v>
      </c>
      <c r="G285" s="60">
        <v>1488.644706</v>
      </c>
      <c r="H285" s="8">
        <f t="shared" si="26"/>
        <v>5.6774349643226481E-2</v>
      </c>
      <c r="I285" s="8">
        <f t="shared" si="26"/>
        <v>5.7787660656807481E-2</v>
      </c>
      <c r="J285" s="8">
        <f t="shared" si="27"/>
        <v>5.7787660656807481E-2</v>
      </c>
    </row>
    <row r="286" spans="1:11">
      <c r="A286" s="108" t="s">
        <v>27</v>
      </c>
      <c r="B286" s="3" t="s">
        <v>296</v>
      </c>
      <c r="C286" s="21" t="s">
        <v>298</v>
      </c>
      <c r="E286" s="19" t="s">
        <v>629</v>
      </c>
      <c r="J286" s="8">
        <f>1/ROWS(C286:C292)</f>
        <v>0.14285714285714285</v>
      </c>
      <c r="K286" s="91" t="s">
        <v>950</v>
      </c>
    </row>
    <row r="287" spans="1:11">
      <c r="A287" s="108"/>
      <c r="B287" s="3" t="s">
        <v>297</v>
      </c>
      <c r="C287" s="19" t="s">
        <v>297</v>
      </c>
      <c r="E287" s="19" t="s">
        <v>630</v>
      </c>
      <c r="J287" s="8">
        <f t="shared" ref="J287:J292" si="28">1/ROWS(C287:C293)</f>
        <v>0.14285714285714285</v>
      </c>
      <c r="K287" s="91" t="s">
        <v>950</v>
      </c>
    </row>
    <row r="288" spans="1:11">
      <c r="A288" s="108"/>
      <c r="B288" s="3" t="s">
        <v>298</v>
      </c>
      <c r="C288" s="19" t="s">
        <v>299</v>
      </c>
      <c r="E288" s="19" t="s">
        <v>631</v>
      </c>
      <c r="J288" s="8">
        <f t="shared" si="28"/>
        <v>0.14285714285714285</v>
      </c>
      <c r="K288" s="91" t="s">
        <v>950</v>
      </c>
    </row>
    <row r="289" spans="1:11">
      <c r="A289" s="108"/>
      <c r="B289" s="3" t="s">
        <v>299</v>
      </c>
      <c r="C289" s="29" t="s">
        <v>625</v>
      </c>
      <c r="E289" s="19" t="s">
        <v>632</v>
      </c>
      <c r="J289" s="8">
        <f t="shared" si="28"/>
        <v>0.14285714285714285</v>
      </c>
      <c r="K289" s="91" t="s">
        <v>950</v>
      </c>
    </row>
    <row r="290" spans="1:11">
      <c r="A290" s="108"/>
      <c r="B290" s="3" t="s">
        <v>300</v>
      </c>
      <c r="C290" s="21" t="s">
        <v>626</v>
      </c>
      <c r="E290" s="19" t="s">
        <v>633</v>
      </c>
      <c r="J290" s="8">
        <f t="shared" si="28"/>
        <v>0.14285714285714285</v>
      </c>
      <c r="K290" s="91" t="s">
        <v>950</v>
      </c>
    </row>
    <row r="291" spans="1:11">
      <c r="A291" s="108"/>
      <c r="B291" s="3" t="s">
        <v>301</v>
      </c>
      <c r="C291" s="21" t="s">
        <v>627</v>
      </c>
      <c r="E291" s="19" t="s">
        <v>634</v>
      </c>
      <c r="J291" s="8">
        <f t="shared" si="28"/>
        <v>0.14285714285714285</v>
      </c>
      <c r="K291" s="91" t="s">
        <v>950</v>
      </c>
    </row>
    <row r="292" spans="1:11">
      <c r="A292" s="108"/>
      <c r="B292" s="3" t="s">
        <v>302</v>
      </c>
      <c r="C292" s="21" t="s">
        <v>628</v>
      </c>
      <c r="E292" s="19" t="s">
        <v>635</v>
      </c>
      <c r="J292" s="8">
        <f t="shared" si="28"/>
        <v>0.14285714285714285</v>
      </c>
      <c r="K292" s="91" t="s">
        <v>950</v>
      </c>
    </row>
    <row r="293" spans="1:11">
      <c r="A293" s="108"/>
      <c r="C293" s="12" t="s">
        <v>302</v>
      </c>
      <c r="E293" s="19"/>
      <c r="J293" s="8">
        <f>J289*1.3/2.3</f>
        <v>8.0745341614906846E-2</v>
      </c>
      <c r="K293" s="91"/>
    </row>
    <row r="294" spans="1:11">
      <c r="A294" s="108"/>
      <c r="C294" s="12" t="s">
        <v>301</v>
      </c>
      <c r="E294" s="19"/>
      <c r="J294" s="8">
        <f>J289*1/2.3</f>
        <v>6.2111801242236024E-2</v>
      </c>
      <c r="K294" s="91"/>
    </row>
    <row r="295" spans="1:11">
      <c r="A295" s="108"/>
      <c r="C295" s="12" t="s">
        <v>300</v>
      </c>
      <c r="E295" s="19"/>
      <c r="J295" s="8">
        <f>J290</f>
        <v>0.14285714285714285</v>
      </c>
      <c r="K295" s="91"/>
    </row>
    <row r="296" spans="1:11">
      <c r="A296" s="108"/>
      <c r="C296" s="12" t="s">
        <v>296</v>
      </c>
      <c r="E296" s="19"/>
      <c r="J296" s="8">
        <f>J291</f>
        <v>0.14285714285714285</v>
      </c>
      <c r="K296" s="91"/>
    </row>
    <row r="297" spans="1:11">
      <c r="A297" s="108" t="s">
        <v>636</v>
      </c>
      <c r="B297" s="3" t="s">
        <v>303</v>
      </c>
      <c r="C297" s="21" t="s">
        <v>305</v>
      </c>
      <c r="D297" s="20"/>
      <c r="E297" s="21" t="s">
        <v>637</v>
      </c>
      <c r="J297" s="8">
        <f t="shared" ref="J297:J303" si="29">1/ROWS(C297:C303)</f>
        <v>0.14285714285714285</v>
      </c>
      <c r="K297" s="91" t="s">
        <v>950</v>
      </c>
    </row>
    <row r="298" spans="1:11">
      <c r="A298" s="108"/>
      <c r="B298" s="3" t="s">
        <v>304</v>
      </c>
      <c r="C298" s="21" t="s">
        <v>307</v>
      </c>
      <c r="D298" s="20"/>
      <c r="E298" s="21" t="s">
        <v>638</v>
      </c>
      <c r="J298" s="8">
        <f t="shared" si="29"/>
        <v>0.14285714285714285</v>
      </c>
      <c r="K298" s="91" t="s">
        <v>950</v>
      </c>
    </row>
    <row r="299" spans="1:11">
      <c r="A299" s="108"/>
      <c r="B299" s="3" t="s">
        <v>305</v>
      </c>
      <c r="C299" s="21" t="s">
        <v>309</v>
      </c>
      <c r="D299" s="20"/>
      <c r="E299" s="21" t="s">
        <v>639</v>
      </c>
      <c r="J299" s="8">
        <f t="shared" si="29"/>
        <v>0.14285714285714285</v>
      </c>
      <c r="K299" s="91" t="s">
        <v>950</v>
      </c>
    </row>
    <row r="300" spans="1:11">
      <c r="A300" s="108"/>
      <c r="B300" s="3" t="s">
        <v>306</v>
      </c>
      <c r="C300" s="21" t="s">
        <v>303</v>
      </c>
      <c r="D300" s="20"/>
      <c r="E300" s="21" t="s">
        <v>640</v>
      </c>
      <c r="J300" s="8">
        <f t="shared" si="29"/>
        <v>0.14285714285714285</v>
      </c>
      <c r="K300" s="91" t="s">
        <v>950</v>
      </c>
    </row>
    <row r="301" spans="1:11">
      <c r="A301" s="108"/>
      <c r="B301" s="3" t="s">
        <v>307</v>
      </c>
      <c r="C301" s="21" t="s">
        <v>308</v>
      </c>
      <c r="D301" s="20"/>
      <c r="E301" s="21" t="s">
        <v>641</v>
      </c>
      <c r="J301" s="8">
        <f t="shared" si="29"/>
        <v>0.14285714285714285</v>
      </c>
      <c r="K301" s="91" t="s">
        <v>950</v>
      </c>
    </row>
    <row r="302" spans="1:11">
      <c r="A302" s="108"/>
      <c r="B302" s="3" t="s">
        <v>308</v>
      </c>
      <c r="C302" s="21" t="s">
        <v>304</v>
      </c>
      <c r="D302" s="20"/>
      <c r="E302" s="21" t="s">
        <v>642</v>
      </c>
      <c r="J302" s="8">
        <f t="shared" si="29"/>
        <v>0.14285714285714285</v>
      </c>
      <c r="K302" s="91" t="s">
        <v>950</v>
      </c>
    </row>
    <row r="303" spans="1:11">
      <c r="A303" s="108"/>
      <c r="B303" s="3" t="s">
        <v>309</v>
      </c>
      <c r="C303" s="21" t="s">
        <v>306</v>
      </c>
      <c r="D303" s="20"/>
      <c r="E303" s="21" t="s">
        <v>643</v>
      </c>
      <c r="J303" s="8">
        <f t="shared" si="29"/>
        <v>0.14285714285714285</v>
      </c>
      <c r="K303" s="91" t="s">
        <v>950</v>
      </c>
    </row>
    <row r="304" spans="1:11">
      <c r="A304" s="26" t="s">
        <v>28</v>
      </c>
      <c r="B304" s="3" t="s">
        <v>310</v>
      </c>
      <c r="C304" s="33" t="s">
        <v>310</v>
      </c>
      <c r="D304" s="34"/>
      <c r="E304" s="33" t="s">
        <v>644</v>
      </c>
      <c r="J304" s="8">
        <v>1</v>
      </c>
      <c r="K304" s="91" t="s">
        <v>950</v>
      </c>
    </row>
    <row r="305" spans="1:11">
      <c r="A305" s="24" t="s">
        <v>29</v>
      </c>
      <c r="B305" s="3" t="s">
        <v>311</v>
      </c>
      <c r="C305" s="19" t="s">
        <v>311</v>
      </c>
      <c r="D305" s="16"/>
      <c r="E305" s="16" t="s">
        <v>645</v>
      </c>
      <c r="J305" s="8">
        <v>1</v>
      </c>
      <c r="K305" s="91" t="s">
        <v>950</v>
      </c>
    </row>
    <row r="306" spans="1:11">
      <c r="A306" s="108" t="s">
        <v>30</v>
      </c>
      <c r="B306" s="3" t="s">
        <v>35</v>
      </c>
      <c r="C306" s="19" t="s">
        <v>33</v>
      </c>
      <c r="D306" s="16"/>
      <c r="E306" s="19" t="s">
        <v>646</v>
      </c>
      <c r="J306" s="8">
        <f>1/ROWS(C306:E308)</f>
        <v>0.33333333333333331</v>
      </c>
      <c r="K306" s="91" t="s">
        <v>950</v>
      </c>
    </row>
    <row r="307" spans="1:11">
      <c r="A307" s="108"/>
      <c r="B307" s="3" t="s">
        <v>34</v>
      </c>
      <c r="C307" s="19" t="s">
        <v>34</v>
      </c>
      <c r="D307" s="16"/>
      <c r="E307" s="19" t="s">
        <v>647</v>
      </c>
      <c r="J307" s="8">
        <f t="shared" ref="J307:J308" si="30">1/ROWS(C307:E309)</f>
        <v>0.33333333333333331</v>
      </c>
      <c r="K307" s="91" t="s">
        <v>950</v>
      </c>
    </row>
    <row r="308" spans="1:11">
      <c r="A308" s="108"/>
      <c r="B308" s="3" t="s">
        <v>33</v>
      </c>
      <c r="C308" s="19" t="s">
        <v>35</v>
      </c>
      <c r="D308" s="16"/>
      <c r="E308" s="19" t="s">
        <v>648</v>
      </c>
      <c r="J308" s="8">
        <f t="shared" si="30"/>
        <v>0.33333333333333331</v>
      </c>
      <c r="K308" s="91" t="s">
        <v>950</v>
      </c>
    </row>
    <row r="309" spans="1:11">
      <c r="A309" s="108" t="s">
        <v>31</v>
      </c>
      <c r="B309" s="3" t="s">
        <v>312</v>
      </c>
      <c r="C309" s="19" t="s">
        <v>315</v>
      </c>
      <c r="D309" s="16"/>
      <c r="E309" s="19" t="s">
        <v>649</v>
      </c>
      <c r="J309" s="8">
        <f>1/ROWS(C309:E312)</f>
        <v>0.25</v>
      </c>
      <c r="K309" s="91" t="s">
        <v>950</v>
      </c>
    </row>
    <row r="310" spans="1:11">
      <c r="A310" s="108"/>
      <c r="B310" s="3" t="s">
        <v>313</v>
      </c>
      <c r="C310" s="19" t="s">
        <v>314</v>
      </c>
      <c r="D310" s="16"/>
      <c r="E310" s="19" t="s">
        <v>650</v>
      </c>
      <c r="J310" s="8">
        <f t="shared" ref="J310:J312" si="31">1/ROWS(C310:E313)</f>
        <v>0.25</v>
      </c>
      <c r="K310" s="91" t="s">
        <v>950</v>
      </c>
    </row>
    <row r="311" spans="1:11" ht="29.25">
      <c r="A311" s="108"/>
      <c r="B311" s="3" t="s">
        <v>314</v>
      </c>
      <c r="C311" s="19" t="s">
        <v>313</v>
      </c>
      <c r="D311" s="16"/>
      <c r="E311" s="16" t="s">
        <v>651</v>
      </c>
      <c r="J311" s="8">
        <f t="shared" si="31"/>
        <v>0.25</v>
      </c>
      <c r="K311" s="91" t="s">
        <v>950</v>
      </c>
    </row>
    <row r="312" spans="1:11">
      <c r="A312" s="108"/>
      <c r="B312" s="3" t="s">
        <v>315</v>
      </c>
      <c r="C312" s="19" t="s">
        <v>312</v>
      </c>
      <c r="D312" s="16"/>
      <c r="E312" s="16" t="s">
        <v>652</v>
      </c>
      <c r="J312" s="8">
        <f t="shared" si="31"/>
        <v>0.25</v>
      </c>
      <c r="K312" s="91" t="s">
        <v>950</v>
      </c>
    </row>
    <row r="313" spans="1:11">
      <c r="A313" s="26" t="s">
        <v>32</v>
      </c>
      <c r="B313" s="3" t="s">
        <v>5018</v>
      </c>
      <c r="C313" s="19" t="s">
        <v>5018</v>
      </c>
      <c r="J313" s="8">
        <v>1</v>
      </c>
      <c r="K313" s="91" t="s">
        <v>950</v>
      </c>
    </row>
    <row r="314" spans="1:11">
      <c r="A314" s="26" t="s">
        <v>654</v>
      </c>
      <c r="B314" s="3" t="s">
        <v>656</v>
      </c>
      <c r="C314" s="19" t="s">
        <v>656</v>
      </c>
      <c r="E314" s="3" t="s">
        <v>654</v>
      </c>
      <c r="J314" s="8">
        <v>1</v>
      </c>
      <c r="K314" s="91" t="s">
        <v>950</v>
      </c>
    </row>
    <row r="315" spans="1:11">
      <c r="A315" s="26" t="s">
        <v>2150</v>
      </c>
      <c r="C315" s="19" t="s">
        <v>655</v>
      </c>
      <c r="E315" s="3" t="s">
        <v>653</v>
      </c>
      <c r="J315" s="8">
        <v>1</v>
      </c>
      <c r="K315" s="91" t="s">
        <v>950</v>
      </c>
    </row>
  </sheetData>
  <mergeCells count="27">
    <mergeCell ref="A71:A73"/>
    <mergeCell ref="A2:A12"/>
    <mergeCell ref="A13:A18"/>
    <mergeCell ref="A19:A26"/>
    <mergeCell ref="A27:A31"/>
    <mergeCell ref="A32:A69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15"/>
  <sheetViews>
    <sheetView zoomScale="70" zoomScaleNormal="70" workbookViewId="0">
      <selection activeCell="H1" sqref="H1"/>
    </sheetView>
  </sheetViews>
  <sheetFormatPr baseColWidth="10" defaultColWidth="10.875" defaultRowHeight="15"/>
  <cols>
    <col min="1" max="1" width="19" style="3" bestFit="1" customWidth="1"/>
    <col min="2" max="2" width="13.5" style="3" hidden="1" customWidth="1"/>
    <col min="3" max="3" width="6.125" style="3" bestFit="1" customWidth="1"/>
    <col min="4" max="4" width="4.125" style="3" hidden="1" customWidth="1"/>
    <col min="5" max="5" width="29.875" style="3" hidden="1" customWidth="1"/>
    <col min="6" max="6" width="13.875" style="3" bestFit="1" customWidth="1"/>
    <col min="7" max="7" width="14.625" style="3" bestFit="1" customWidth="1"/>
    <col min="8" max="8" width="15.5" style="8" bestFit="1" customWidth="1"/>
    <col min="9" max="9" width="16.5" style="8" bestFit="1" customWidth="1"/>
    <col min="10" max="10" width="20.625" style="3" bestFit="1" customWidth="1"/>
    <col min="11" max="11" width="10.875" style="91"/>
    <col min="12" max="16384" width="10.875" style="3"/>
  </cols>
  <sheetData>
    <row r="1" spans="1:11">
      <c r="A1" s="22" t="s">
        <v>0</v>
      </c>
      <c r="B1" s="22" t="s">
        <v>657</v>
      </c>
      <c r="C1" s="22" t="s">
        <v>1</v>
      </c>
      <c r="D1" s="22" t="s">
        <v>2</v>
      </c>
      <c r="E1" s="22" t="s">
        <v>658</v>
      </c>
      <c r="F1" s="22" t="s">
        <v>903</v>
      </c>
      <c r="G1" s="22" t="s">
        <v>907</v>
      </c>
      <c r="H1" s="23" t="s">
        <v>908</v>
      </c>
      <c r="I1" s="61" t="s">
        <v>909</v>
      </c>
      <c r="J1" s="1" t="s">
        <v>954</v>
      </c>
    </row>
    <row r="2" spans="1:11" ht="29.25">
      <c r="A2" s="108" t="s">
        <v>3</v>
      </c>
      <c r="B2" s="3" t="s">
        <v>37</v>
      </c>
      <c r="C2" s="29" t="s">
        <v>36</v>
      </c>
      <c r="D2" s="15"/>
      <c r="E2" s="16" t="s">
        <v>621</v>
      </c>
      <c r="H2" s="8">
        <f t="shared" ref="H2:I11" si="0">F2/SUM(F$2:F$12)</f>
        <v>0</v>
      </c>
      <c r="I2" s="8">
        <f t="shared" si="0"/>
        <v>0</v>
      </c>
      <c r="J2" s="8">
        <f>I2</f>
        <v>0</v>
      </c>
      <c r="K2" s="29"/>
    </row>
    <row r="3" spans="1:11" ht="15.75">
      <c r="A3" s="108"/>
      <c r="B3" s="3" t="s">
        <v>38</v>
      </c>
      <c r="C3" s="29" t="s">
        <v>46</v>
      </c>
      <c r="D3" s="15"/>
      <c r="E3" s="16" t="s">
        <v>316</v>
      </c>
      <c r="F3" s="60">
        <v>641.49412110000003</v>
      </c>
      <c r="G3" s="60">
        <v>1410.36</v>
      </c>
      <c r="H3" s="8">
        <f t="shared" si="0"/>
        <v>0.29075925905445388</v>
      </c>
      <c r="I3" s="8">
        <f t="shared" si="0"/>
        <v>0.2120453089809087</v>
      </c>
      <c r="J3" s="8">
        <f t="shared" ref="J3:J66" si="1">I3</f>
        <v>0.2120453089809087</v>
      </c>
      <c r="K3" s="29"/>
    </row>
    <row r="4" spans="1:11" ht="15.75">
      <c r="A4" s="108"/>
      <c r="B4" s="3" t="s">
        <v>39</v>
      </c>
      <c r="C4" s="29" t="s">
        <v>40</v>
      </c>
      <c r="D4" s="15"/>
      <c r="E4" s="16" t="s">
        <v>317</v>
      </c>
      <c r="F4" s="60">
        <v>119.438147</v>
      </c>
      <c r="G4" s="60">
        <v>459.9</v>
      </c>
      <c r="H4" s="8">
        <f t="shared" si="0"/>
        <v>5.4135721563601621E-2</v>
      </c>
      <c r="I4" s="8">
        <f t="shared" si="0"/>
        <v>6.9145209450296327E-2</v>
      </c>
      <c r="J4" s="8">
        <f t="shared" si="1"/>
        <v>6.9145209450296327E-2</v>
      </c>
      <c r="K4" s="29"/>
    </row>
    <row r="5" spans="1:11">
      <c r="A5" s="108"/>
      <c r="B5" s="3" t="s">
        <v>40</v>
      </c>
      <c r="C5" s="29" t="s">
        <v>44</v>
      </c>
      <c r="D5" s="15"/>
      <c r="E5" s="16" t="s">
        <v>318</v>
      </c>
      <c r="H5" s="8">
        <f t="shared" si="0"/>
        <v>0</v>
      </c>
      <c r="I5" s="8">
        <f t="shared" si="0"/>
        <v>0</v>
      </c>
      <c r="J5" s="8">
        <f t="shared" si="1"/>
        <v>0</v>
      </c>
      <c r="K5" s="29"/>
    </row>
    <row r="6" spans="1:11">
      <c r="A6" s="108"/>
      <c r="B6" s="3" t="s">
        <v>41</v>
      </c>
      <c r="C6" s="29" t="s">
        <v>45</v>
      </c>
      <c r="D6" s="15"/>
      <c r="E6" s="16" t="s">
        <v>319</v>
      </c>
      <c r="H6" s="8">
        <f t="shared" si="0"/>
        <v>0</v>
      </c>
      <c r="I6" s="8">
        <f t="shared" si="0"/>
        <v>0</v>
      </c>
      <c r="J6" s="8">
        <f t="shared" si="1"/>
        <v>0</v>
      </c>
      <c r="K6" s="29"/>
    </row>
    <row r="7" spans="1:11">
      <c r="A7" s="108"/>
      <c r="B7" s="3" t="s">
        <v>42</v>
      </c>
      <c r="C7" s="29" t="s">
        <v>37</v>
      </c>
      <c r="D7" s="15"/>
      <c r="E7" s="16" t="s">
        <v>320</v>
      </c>
      <c r="H7" s="8">
        <f t="shared" si="0"/>
        <v>0</v>
      </c>
      <c r="I7" s="8">
        <f t="shared" si="0"/>
        <v>0</v>
      </c>
      <c r="J7" s="8">
        <f t="shared" si="1"/>
        <v>0</v>
      </c>
      <c r="K7" s="29"/>
    </row>
    <row r="8" spans="1:11">
      <c r="A8" s="108"/>
      <c r="B8" s="3" t="s">
        <v>43</v>
      </c>
      <c r="C8" s="29" t="s">
        <v>43</v>
      </c>
      <c r="D8" s="15"/>
      <c r="E8" s="16" t="s">
        <v>321</v>
      </c>
      <c r="H8" s="8">
        <f t="shared" si="0"/>
        <v>0</v>
      </c>
      <c r="I8" s="8">
        <f t="shared" si="0"/>
        <v>0</v>
      </c>
      <c r="J8" s="8">
        <f t="shared" si="1"/>
        <v>0</v>
      </c>
      <c r="K8" s="29"/>
    </row>
    <row r="9" spans="1:11">
      <c r="A9" s="108"/>
      <c r="B9" s="3" t="s">
        <v>44</v>
      </c>
      <c r="C9" s="29" t="s">
        <v>42</v>
      </c>
      <c r="D9" s="15"/>
      <c r="E9" s="16" t="s">
        <v>322</v>
      </c>
      <c r="F9" s="3">
        <v>437.27791685</v>
      </c>
      <c r="G9" s="3">
        <v>2564.6800000000003</v>
      </c>
      <c r="H9" s="8">
        <f t="shared" si="0"/>
        <v>0.19819761229637414</v>
      </c>
      <c r="I9" s="8">
        <f t="shared" si="0"/>
        <v>0.38559542459879537</v>
      </c>
      <c r="J9" s="8">
        <f t="shared" si="1"/>
        <v>0.38559542459879537</v>
      </c>
      <c r="K9" s="29"/>
    </row>
    <row r="10" spans="1:11">
      <c r="A10" s="108"/>
      <c r="B10" s="3" t="s">
        <v>45</v>
      </c>
      <c r="C10" s="29" t="s">
        <v>41</v>
      </c>
      <c r="D10" s="15"/>
      <c r="E10" s="16" t="s">
        <v>323</v>
      </c>
      <c r="H10" s="8">
        <f t="shared" si="0"/>
        <v>0</v>
      </c>
      <c r="I10" s="8">
        <f t="shared" si="0"/>
        <v>0</v>
      </c>
      <c r="J10" s="8">
        <f t="shared" si="1"/>
        <v>0</v>
      </c>
      <c r="K10" s="29"/>
    </row>
    <row r="11" spans="1:11">
      <c r="A11" s="108"/>
      <c r="B11" s="3" t="s">
        <v>36</v>
      </c>
      <c r="C11" s="29" t="s">
        <v>39</v>
      </c>
      <c r="D11" s="15"/>
      <c r="E11" s="16" t="s">
        <v>324</v>
      </c>
      <c r="H11" s="8">
        <f t="shared" si="0"/>
        <v>0</v>
      </c>
      <c r="I11" s="8">
        <f t="shared" si="0"/>
        <v>0</v>
      </c>
      <c r="J11" s="8">
        <f t="shared" si="1"/>
        <v>0</v>
      </c>
      <c r="K11" s="29"/>
    </row>
    <row r="12" spans="1:11" ht="15.75">
      <c r="A12" s="108"/>
      <c r="B12" s="3" t="s">
        <v>46</v>
      </c>
      <c r="C12" s="29" t="s">
        <v>38</v>
      </c>
      <c r="D12" s="15"/>
      <c r="E12" s="16" t="s">
        <v>325</v>
      </c>
      <c r="F12" s="60">
        <v>1008.0621903</v>
      </c>
      <c r="G12" s="60">
        <v>2216.2800000000002</v>
      </c>
      <c r="H12" s="8">
        <f>F12/SUM(F$2:F$12)</f>
        <v>0.45690740708557032</v>
      </c>
      <c r="I12" s="8">
        <f>G12/SUM(G$2:G$12)</f>
        <v>0.33321405696999945</v>
      </c>
      <c r="J12" s="8">
        <f t="shared" si="1"/>
        <v>0.33321405696999945</v>
      </c>
      <c r="K12" s="29"/>
    </row>
    <row r="13" spans="1:11" ht="15.75">
      <c r="A13" s="108" t="s">
        <v>4</v>
      </c>
      <c r="B13" s="3" t="s">
        <v>47</v>
      </c>
      <c r="C13" s="29" t="s">
        <v>47</v>
      </c>
      <c r="D13" s="15"/>
      <c r="E13" s="16" t="s">
        <v>326</v>
      </c>
      <c r="F13" s="60">
        <v>149.62425289999999</v>
      </c>
      <c r="G13" s="60">
        <v>470.12</v>
      </c>
      <c r="H13" s="8">
        <f>F13/SUM(F$13:F$18)</f>
        <v>0.10313853792195588</v>
      </c>
      <c r="I13" s="8">
        <f>G13/SUM(G$13:G$18)</f>
        <v>0.12605206498336272</v>
      </c>
      <c r="J13" s="8">
        <f t="shared" si="1"/>
        <v>0.12605206498336272</v>
      </c>
      <c r="K13" s="29"/>
    </row>
    <row r="14" spans="1:11">
      <c r="A14" s="108"/>
      <c r="B14" s="3" t="s">
        <v>48</v>
      </c>
      <c r="C14" s="29" t="s">
        <v>49</v>
      </c>
      <c r="D14" s="15"/>
      <c r="E14" s="16" t="s">
        <v>327</v>
      </c>
      <c r="H14" s="8">
        <f t="shared" ref="H14:H18" si="2">F14/SUM(F$13:F$18)</f>
        <v>0</v>
      </c>
      <c r="I14" s="8">
        <f>G14/SUM(G$13:G$18)</f>
        <v>0</v>
      </c>
      <c r="J14" s="8">
        <f t="shared" si="1"/>
        <v>0</v>
      </c>
      <c r="K14" s="29"/>
    </row>
    <row r="15" spans="1:11" ht="15.75">
      <c r="A15" s="108"/>
      <c r="B15" s="3" t="s">
        <v>49</v>
      </c>
      <c r="C15" s="29" t="s">
        <v>50</v>
      </c>
      <c r="D15" s="15"/>
      <c r="E15" s="16" t="s">
        <v>328</v>
      </c>
      <c r="F15" s="60">
        <v>878.23599912500003</v>
      </c>
      <c r="G15" s="60">
        <v>1930.85</v>
      </c>
      <c r="H15" s="8">
        <f t="shared" si="2"/>
        <v>0.60538298534208179</v>
      </c>
      <c r="I15" s="8">
        <f>G15/SUM(G$13:G$18)</f>
        <v>0.51771383832452533</v>
      </c>
      <c r="J15" s="8">
        <f t="shared" si="1"/>
        <v>0.51771383832452533</v>
      </c>
      <c r="K15" s="29"/>
    </row>
    <row r="16" spans="1:11">
      <c r="A16" s="108"/>
      <c r="B16" s="3" t="s">
        <v>50</v>
      </c>
      <c r="C16" s="29" t="s">
        <v>51</v>
      </c>
      <c r="D16" s="15"/>
      <c r="E16" s="16" t="s">
        <v>329</v>
      </c>
      <c r="H16" s="8">
        <f t="shared" si="2"/>
        <v>0</v>
      </c>
      <c r="I16" s="8">
        <f>G16/SUM(G$13:G$18)</f>
        <v>0</v>
      </c>
      <c r="J16" s="8">
        <f t="shared" si="1"/>
        <v>0</v>
      </c>
      <c r="K16" s="29"/>
    </row>
    <row r="17" spans="1:11">
      <c r="A17" s="108"/>
      <c r="B17" s="3" t="s">
        <v>51</v>
      </c>
      <c r="C17" s="29" t="s">
        <v>52</v>
      </c>
      <c r="D17" s="15"/>
      <c r="E17" s="16" t="s">
        <v>330</v>
      </c>
      <c r="H17" s="8">
        <f t="shared" si="2"/>
        <v>0</v>
      </c>
      <c r="I17" s="8">
        <f>G17/SUM(G$13:G$18)</f>
        <v>0</v>
      </c>
      <c r="J17" s="8">
        <f t="shared" si="1"/>
        <v>0</v>
      </c>
      <c r="K17" s="29"/>
    </row>
    <row r="18" spans="1:11" ht="15.75">
      <c r="A18" s="108"/>
      <c r="B18" s="3" t="s">
        <v>52</v>
      </c>
      <c r="C18" s="29" t="s">
        <v>48</v>
      </c>
      <c r="D18" s="15"/>
      <c r="E18" s="16" t="s">
        <v>331</v>
      </c>
      <c r="F18" s="60">
        <f>227.6890805+195.162069</f>
        <v>422.85114950000002</v>
      </c>
      <c r="G18" s="60">
        <f>715.4+613.2</f>
        <v>1328.6</v>
      </c>
      <c r="H18" s="8">
        <f t="shared" si="2"/>
        <v>0.29147847673596228</v>
      </c>
      <c r="I18" s="8">
        <f>G18/SUM(G$13:G$18)</f>
        <v>0.35623409669211198</v>
      </c>
      <c r="J18" s="8">
        <f t="shared" si="1"/>
        <v>0.35623409669211198</v>
      </c>
      <c r="K18" s="29"/>
    </row>
    <row r="19" spans="1:11">
      <c r="A19" s="108" t="s">
        <v>5</v>
      </c>
      <c r="B19" s="3" t="s">
        <v>53</v>
      </c>
      <c r="C19" s="29" t="s">
        <v>54</v>
      </c>
      <c r="D19" s="15"/>
      <c r="E19" s="16" t="s">
        <v>332</v>
      </c>
      <c r="H19" s="8">
        <f>F19/SUM(F$19:F$26)</f>
        <v>0</v>
      </c>
      <c r="I19" s="8">
        <f>G19/SUM(G$19:G$26)</f>
        <v>0</v>
      </c>
      <c r="J19" s="8">
        <f t="shared" si="1"/>
        <v>0</v>
      </c>
      <c r="K19" s="29"/>
    </row>
    <row r="20" spans="1:11">
      <c r="A20" s="108"/>
      <c r="B20" s="3" t="s">
        <v>54</v>
      </c>
      <c r="C20" s="29" t="s">
        <v>53</v>
      </c>
      <c r="D20" s="15"/>
      <c r="E20" s="16" t="s">
        <v>333</v>
      </c>
      <c r="H20" s="8">
        <f t="shared" ref="H20:I26" si="3">F20/SUM(F$19:F$26)</f>
        <v>0</v>
      </c>
      <c r="I20" s="8">
        <f t="shared" si="3"/>
        <v>0</v>
      </c>
      <c r="J20" s="8">
        <f t="shared" si="1"/>
        <v>0</v>
      </c>
      <c r="K20" s="29"/>
    </row>
    <row r="21" spans="1:11" ht="15.75">
      <c r="A21" s="108"/>
      <c r="B21" s="3" t="s">
        <v>55</v>
      </c>
      <c r="C21" s="29" t="s">
        <v>60</v>
      </c>
      <c r="D21" s="15"/>
      <c r="E21" s="16" t="s">
        <v>334</v>
      </c>
      <c r="F21" s="60">
        <v>91.075632200000001</v>
      </c>
      <c r="G21" s="60">
        <v>286.16000000000003</v>
      </c>
      <c r="H21" s="8">
        <f t="shared" si="3"/>
        <v>2.9882983627742631E-2</v>
      </c>
      <c r="I21" s="8">
        <f t="shared" si="3"/>
        <v>2.1689047606715814E-3</v>
      </c>
      <c r="J21" s="8">
        <f t="shared" si="1"/>
        <v>2.1689047606715814E-3</v>
      </c>
      <c r="K21" s="29"/>
    </row>
    <row r="22" spans="1:11" ht="15.75">
      <c r="A22" s="108"/>
      <c r="B22" s="3" t="s">
        <v>56</v>
      </c>
      <c r="C22" s="29" t="s">
        <v>58</v>
      </c>
      <c r="D22" s="18"/>
      <c r="E22" s="16" t="s">
        <v>335</v>
      </c>
      <c r="F22" s="60">
        <f>1084.43053805+1474.756014</f>
        <v>2559.18655205</v>
      </c>
      <c r="G22" s="60">
        <f>2384.18+3459.01908</f>
        <v>5843.1990800000003</v>
      </c>
      <c r="H22" s="8">
        <f t="shared" si="3"/>
        <v>0.83969913782546624</v>
      </c>
      <c r="I22" s="8">
        <f t="shared" si="3"/>
        <v>4.4287609386929702E-2</v>
      </c>
      <c r="J22" s="8">
        <f t="shared" si="1"/>
        <v>4.4287609386929702E-2</v>
      </c>
      <c r="K22" s="29"/>
    </row>
    <row r="23" spans="1:11">
      <c r="A23" s="108"/>
      <c r="B23" s="3" t="s">
        <v>57</v>
      </c>
      <c r="C23" s="29" t="s">
        <v>57</v>
      </c>
      <c r="D23" s="15"/>
      <c r="E23" s="16" t="s">
        <v>336</v>
      </c>
      <c r="H23" s="8">
        <f t="shared" si="3"/>
        <v>0</v>
      </c>
      <c r="I23" s="8">
        <f t="shared" si="3"/>
        <v>0</v>
      </c>
      <c r="J23" s="8">
        <f t="shared" si="1"/>
        <v>0</v>
      </c>
      <c r="K23" s="29"/>
    </row>
    <row r="24" spans="1:11" ht="15.75">
      <c r="A24" s="108"/>
      <c r="B24" s="3" t="s">
        <v>58</v>
      </c>
      <c r="C24" s="29" t="s">
        <v>59</v>
      </c>
      <c r="D24" s="15"/>
      <c r="E24" s="16" t="s">
        <v>337</v>
      </c>
      <c r="F24" s="60">
        <f>357.7971265+39.68295403</f>
        <v>397.48008053000001</v>
      </c>
      <c r="G24" s="60">
        <f>1124.2+124684</f>
        <v>125808.2</v>
      </c>
      <c r="H24" s="8">
        <f t="shared" si="3"/>
        <v>0.13041787854679107</v>
      </c>
      <c r="I24" s="8">
        <f t="shared" si="3"/>
        <v>0.95354348585239868</v>
      </c>
      <c r="J24" s="8">
        <f t="shared" si="1"/>
        <v>0.95354348585239868</v>
      </c>
      <c r="K24" s="29"/>
    </row>
    <row r="25" spans="1:11">
      <c r="A25" s="108"/>
      <c r="B25" s="3" t="s">
        <v>59</v>
      </c>
      <c r="C25" s="29" t="s">
        <v>55</v>
      </c>
      <c r="D25" s="15"/>
      <c r="E25" s="16" t="s">
        <v>338</v>
      </c>
      <c r="H25" s="8">
        <f t="shared" si="3"/>
        <v>0</v>
      </c>
      <c r="I25" s="8">
        <f t="shared" si="3"/>
        <v>0</v>
      </c>
      <c r="J25" s="8">
        <f t="shared" si="1"/>
        <v>0</v>
      </c>
      <c r="K25" s="29"/>
    </row>
    <row r="26" spans="1:11">
      <c r="A26" s="108"/>
      <c r="B26" s="3" t="s">
        <v>60</v>
      </c>
      <c r="C26" s="29" t="s">
        <v>56</v>
      </c>
      <c r="D26" s="15"/>
      <c r="E26" s="16" t="s">
        <v>339</v>
      </c>
      <c r="H26" s="8">
        <f t="shared" si="3"/>
        <v>0</v>
      </c>
      <c r="I26" s="8">
        <f t="shared" si="3"/>
        <v>0</v>
      </c>
      <c r="J26" s="8">
        <f t="shared" si="1"/>
        <v>0</v>
      </c>
      <c r="K26" s="29"/>
    </row>
    <row r="27" spans="1:11">
      <c r="A27" s="108" t="s">
        <v>6</v>
      </c>
      <c r="B27" s="3" t="s">
        <v>61</v>
      </c>
      <c r="C27" s="29" t="s">
        <v>64</v>
      </c>
      <c r="D27" s="15"/>
      <c r="E27" s="16" t="s">
        <v>340</v>
      </c>
      <c r="H27" s="8">
        <f>F27/SUM(F$27:F$31)</f>
        <v>0</v>
      </c>
      <c r="I27" s="8">
        <f>G27/SUM(G$27:G$31)</f>
        <v>0</v>
      </c>
      <c r="J27" s="8">
        <f t="shared" si="1"/>
        <v>0</v>
      </c>
      <c r="K27" s="29"/>
    </row>
    <row r="28" spans="1:11" ht="15.75">
      <c r="A28" s="108"/>
      <c r="B28" s="3" t="s">
        <v>62</v>
      </c>
      <c r="C28" s="29" t="s">
        <v>61</v>
      </c>
      <c r="D28" s="15"/>
      <c r="E28" s="16" t="s">
        <v>341</v>
      </c>
      <c r="F28" s="60">
        <v>130.108046</v>
      </c>
      <c r="G28" s="60">
        <v>408.8</v>
      </c>
      <c r="H28" s="8">
        <f t="shared" ref="H28:I31" si="4">F28/SUM(F$27:F$31)</f>
        <v>1</v>
      </c>
      <c r="I28" s="8">
        <f t="shared" si="4"/>
        <v>1</v>
      </c>
      <c r="J28" s="8">
        <f t="shared" si="1"/>
        <v>1</v>
      </c>
      <c r="K28" s="29"/>
    </row>
    <row r="29" spans="1:11">
      <c r="A29" s="108"/>
      <c r="B29" s="3" t="s">
        <v>63</v>
      </c>
      <c r="C29" s="29" t="s">
        <v>63</v>
      </c>
      <c r="D29" s="15"/>
      <c r="E29" s="16" t="s">
        <v>342</v>
      </c>
      <c r="H29" s="8">
        <f t="shared" si="4"/>
        <v>0</v>
      </c>
      <c r="I29" s="8">
        <f t="shared" si="4"/>
        <v>0</v>
      </c>
      <c r="J29" s="8">
        <f t="shared" si="1"/>
        <v>0</v>
      </c>
      <c r="K29" s="29"/>
    </row>
    <row r="30" spans="1:11">
      <c r="A30" s="108"/>
      <c r="B30" s="3" t="s">
        <v>64</v>
      </c>
      <c r="C30" s="29" t="s">
        <v>65</v>
      </c>
      <c r="D30" s="15"/>
      <c r="E30" s="16" t="s">
        <v>343</v>
      </c>
      <c r="H30" s="8">
        <f t="shared" si="4"/>
        <v>0</v>
      </c>
      <c r="I30" s="8">
        <f t="shared" si="4"/>
        <v>0</v>
      </c>
      <c r="J30" s="8">
        <f t="shared" si="1"/>
        <v>0</v>
      </c>
      <c r="K30" s="29"/>
    </row>
    <row r="31" spans="1:11">
      <c r="A31" s="108"/>
      <c r="B31" s="3" t="s">
        <v>65</v>
      </c>
      <c r="C31" s="29" t="s">
        <v>62</v>
      </c>
      <c r="D31" s="15"/>
      <c r="E31" s="16" t="s">
        <v>344</v>
      </c>
      <c r="H31" s="8">
        <f t="shared" si="4"/>
        <v>0</v>
      </c>
      <c r="I31" s="8">
        <f t="shared" si="4"/>
        <v>0</v>
      </c>
      <c r="J31" s="8">
        <f t="shared" si="1"/>
        <v>0</v>
      </c>
      <c r="K31" s="29"/>
    </row>
    <row r="32" spans="1:11" ht="15.75">
      <c r="A32" s="108" t="s">
        <v>7</v>
      </c>
      <c r="B32" s="3" t="s">
        <v>66</v>
      </c>
      <c r="C32" s="29" t="s">
        <v>101</v>
      </c>
      <c r="D32" s="15"/>
      <c r="E32" s="16" t="s">
        <v>345</v>
      </c>
      <c r="F32" s="60">
        <v>39.0324138</v>
      </c>
      <c r="G32" s="60">
        <v>122.64</v>
      </c>
      <c r="H32" s="8">
        <f>F32/SUM(F$32:F$69)</f>
        <v>2.7911241801618241E-3</v>
      </c>
      <c r="I32" s="8">
        <f>G32/SUM(G$32:G$69)</f>
        <v>3.0707915049185135E-3</v>
      </c>
      <c r="J32" s="8">
        <f t="shared" si="1"/>
        <v>3.0707915049185135E-3</v>
      </c>
      <c r="K32" s="29"/>
    </row>
    <row r="33" spans="1:11" ht="15.75">
      <c r="A33" s="108"/>
      <c r="B33" s="3" t="s">
        <v>67</v>
      </c>
      <c r="C33" s="29" t="s">
        <v>102</v>
      </c>
      <c r="D33" s="15"/>
      <c r="E33" s="16" t="s">
        <v>346</v>
      </c>
      <c r="F33" s="60">
        <v>305.47339099999999</v>
      </c>
      <c r="G33" s="60">
        <v>671.6</v>
      </c>
      <c r="H33" s="8">
        <f t="shared" ref="H33:I69" si="5">F33/SUM(F$32:F$69)</f>
        <v>2.1843746901866655E-2</v>
      </c>
      <c r="I33" s="8">
        <f t="shared" si="5"/>
        <v>1.6816239193601382E-2</v>
      </c>
      <c r="J33" s="8">
        <f t="shared" si="1"/>
        <v>1.6816239193601382E-2</v>
      </c>
      <c r="K33" s="29"/>
    </row>
    <row r="34" spans="1:11" ht="15.75">
      <c r="A34" s="108"/>
      <c r="B34" s="3" t="s">
        <v>68</v>
      </c>
      <c r="C34" s="29" t="s">
        <v>103</v>
      </c>
      <c r="D34" s="15"/>
      <c r="E34" s="16" t="s">
        <v>347</v>
      </c>
      <c r="F34" s="60">
        <v>117.0972414</v>
      </c>
      <c r="G34" s="60">
        <v>367.92</v>
      </c>
      <c r="H34" s="8">
        <f t="shared" si="5"/>
        <v>8.3733725404854728E-3</v>
      </c>
      <c r="I34" s="8">
        <f t="shared" si="5"/>
        <v>9.2123745147555409E-3</v>
      </c>
      <c r="J34" s="8">
        <f t="shared" si="1"/>
        <v>9.2123745147555409E-3</v>
      </c>
      <c r="K34" s="29"/>
    </row>
    <row r="35" spans="1:11" ht="15.75">
      <c r="A35" s="108"/>
      <c r="B35" s="3" t="s">
        <v>69</v>
      </c>
      <c r="C35" s="29" t="s">
        <v>100</v>
      </c>
      <c r="D35" s="15"/>
      <c r="E35" s="16" t="s">
        <v>348</v>
      </c>
      <c r="F35" s="60">
        <v>591.99160930000005</v>
      </c>
      <c r="G35" s="60">
        <v>1860.04</v>
      </c>
      <c r="H35" s="8">
        <f t="shared" si="5"/>
        <v>4.233205006578767E-2</v>
      </c>
      <c r="I35" s="8">
        <f t="shared" si="5"/>
        <v>4.6573671157930784E-2</v>
      </c>
      <c r="J35" s="8">
        <f t="shared" si="1"/>
        <v>4.6573671157930784E-2</v>
      </c>
      <c r="K35" s="29"/>
    </row>
    <row r="36" spans="1:11" ht="15.75">
      <c r="A36" s="108"/>
      <c r="B36" s="3" t="s">
        <v>70</v>
      </c>
      <c r="C36" s="29" t="s">
        <v>97</v>
      </c>
      <c r="D36" s="31"/>
      <c r="E36" s="16" t="s">
        <v>349</v>
      </c>
      <c r="F36" s="60">
        <f>130.108046+149.6242529</f>
        <v>279.73229889999999</v>
      </c>
      <c r="G36" s="60">
        <f>408.8+470.12</f>
        <v>878.92000000000007</v>
      </c>
      <c r="H36" s="8">
        <f t="shared" si="5"/>
        <v>2.0003056624493074E-2</v>
      </c>
      <c r="I36" s="8">
        <f t="shared" si="5"/>
        <v>2.2007339118582679E-2</v>
      </c>
      <c r="J36" s="8">
        <f t="shared" si="1"/>
        <v>2.2007339118582679E-2</v>
      </c>
      <c r="K36" s="29"/>
    </row>
    <row r="37" spans="1:11">
      <c r="A37" s="108"/>
      <c r="B37" s="3" t="s">
        <v>71</v>
      </c>
      <c r="C37" s="29" t="s">
        <v>98</v>
      </c>
      <c r="D37" s="15"/>
      <c r="E37" s="16" t="s">
        <v>350</v>
      </c>
      <c r="H37" s="8">
        <f t="shared" si="5"/>
        <v>0</v>
      </c>
      <c r="I37" s="8">
        <f t="shared" si="5"/>
        <v>0</v>
      </c>
      <c r="J37" s="8">
        <f t="shared" si="1"/>
        <v>0</v>
      </c>
      <c r="K37" s="29"/>
    </row>
    <row r="38" spans="1:11" ht="15.75">
      <c r="A38" s="108"/>
      <c r="B38" s="3" t="s">
        <v>72</v>
      </c>
      <c r="C38" s="29" t="s">
        <v>95</v>
      </c>
      <c r="D38" s="15"/>
      <c r="E38" s="16" t="s">
        <v>351</v>
      </c>
      <c r="F38" s="60">
        <v>1237.16723355</v>
      </c>
      <c r="G38" s="60">
        <v>2719.98</v>
      </c>
      <c r="H38" s="8">
        <f t="shared" si="5"/>
        <v>8.8467174952559957E-2</v>
      </c>
      <c r="I38" s="8">
        <f t="shared" si="5"/>
        <v>6.8105768734085595E-2</v>
      </c>
      <c r="J38" s="8">
        <f t="shared" si="1"/>
        <v>6.8105768734085595E-2</v>
      </c>
      <c r="K38" s="29"/>
    </row>
    <row r="39" spans="1:11" ht="15.75">
      <c r="A39" s="108"/>
      <c r="B39" s="3" t="s">
        <v>73</v>
      </c>
      <c r="C39" s="29" t="s">
        <v>96</v>
      </c>
      <c r="D39" s="15"/>
      <c r="E39" s="16" t="s">
        <v>352</v>
      </c>
      <c r="F39" s="60">
        <f>149.6242529+109.6283121+160.2241522</f>
        <v>419.4767172</v>
      </c>
      <c r="G39" s="60">
        <f>470.12+4638.98356+643.13</f>
        <v>5752.2335599999997</v>
      </c>
      <c r="H39" s="8">
        <f t="shared" si="5"/>
        <v>2.9995880203335601E-2</v>
      </c>
      <c r="I39" s="8">
        <f t="shared" si="5"/>
        <v>0.14403057689461168</v>
      </c>
      <c r="J39" s="8">
        <f t="shared" si="1"/>
        <v>0.14403057689461168</v>
      </c>
      <c r="K39" s="29"/>
    </row>
    <row r="40" spans="1:11">
      <c r="A40" s="108"/>
      <c r="B40" s="3" t="s">
        <v>74</v>
      </c>
      <c r="C40" s="29" t="s">
        <v>99</v>
      </c>
      <c r="D40" s="15"/>
      <c r="E40" s="16" t="s">
        <v>353</v>
      </c>
      <c r="H40" s="8">
        <f t="shared" si="5"/>
        <v>0</v>
      </c>
      <c r="I40" s="8">
        <f t="shared" si="5"/>
        <v>0</v>
      </c>
      <c r="J40" s="8">
        <f t="shared" si="1"/>
        <v>0</v>
      </c>
      <c r="K40" s="29"/>
    </row>
    <row r="41" spans="1:11" ht="15.75">
      <c r="A41" s="108"/>
      <c r="B41" s="3" t="s">
        <v>75</v>
      </c>
      <c r="C41" s="29" t="s">
        <v>93</v>
      </c>
      <c r="D41" s="15"/>
      <c r="E41" s="16" t="s">
        <v>354</v>
      </c>
      <c r="F41" s="60">
        <v>146.37155175000001</v>
      </c>
      <c r="G41" s="60">
        <v>459.9</v>
      </c>
      <c r="H41" s="8">
        <f t="shared" si="5"/>
        <v>1.0466715675606841E-2</v>
      </c>
      <c r="I41" s="8">
        <f t="shared" si="5"/>
        <v>1.1515468143444424E-2</v>
      </c>
      <c r="J41" s="8">
        <f t="shared" si="1"/>
        <v>1.1515468143444424E-2</v>
      </c>
      <c r="K41" s="29"/>
    </row>
    <row r="42" spans="1:11">
      <c r="A42" s="108"/>
      <c r="B42" s="3" t="s">
        <v>76</v>
      </c>
      <c r="C42" s="29" t="s">
        <v>94</v>
      </c>
      <c r="D42" s="15"/>
      <c r="E42" s="16" t="s">
        <v>355</v>
      </c>
      <c r="H42" s="8">
        <f t="shared" si="5"/>
        <v>0</v>
      </c>
      <c r="I42" s="8">
        <f t="shared" si="5"/>
        <v>0</v>
      </c>
      <c r="J42" s="8">
        <f t="shared" si="1"/>
        <v>0</v>
      </c>
      <c r="K42" s="29"/>
    </row>
    <row r="43" spans="1:11">
      <c r="A43" s="108"/>
      <c r="B43" s="3" t="s">
        <v>77</v>
      </c>
      <c r="C43" s="29" t="s">
        <v>92</v>
      </c>
      <c r="D43" s="15"/>
      <c r="E43" s="16" t="s">
        <v>356</v>
      </c>
      <c r="H43" s="8">
        <f t="shared" si="5"/>
        <v>0</v>
      </c>
      <c r="I43" s="8">
        <f t="shared" si="5"/>
        <v>0</v>
      </c>
      <c r="J43" s="8">
        <f t="shared" si="1"/>
        <v>0</v>
      </c>
      <c r="K43" s="29"/>
    </row>
    <row r="44" spans="1:11" ht="15.75">
      <c r="A44" s="108"/>
      <c r="B44" s="3" t="s">
        <v>78</v>
      </c>
      <c r="C44" s="29" t="s">
        <v>91</v>
      </c>
      <c r="D44" s="15"/>
      <c r="E44" s="16" t="s">
        <v>357</v>
      </c>
      <c r="F44" s="60">
        <f>240.6998851+313.851705</f>
        <v>554.5515901</v>
      </c>
      <c r="G44" s="60">
        <f>756.28+1102.4825</f>
        <v>1858.7625</v>
      </c>
      <c r="H44" s="8">
        <f t="shared" si="5"/>
        <v>3.9654794607534585E-2</v>
      </c>
      <c r="I44" s="8">
        <f t="shared" si="5"/>
        <v>4.6541683746421217E-2</v>
      </c>
      <c r="J44" s="8">
        <f t="shared" si="1"/>
        <v>4.6541683746421217E-2</v>
      </c>
      <c r="K44" s="29"/>
    </row>
    <row r="45" spans="1:11">
      <c r="A45" s="108"/>
      <c r="B45" s="3" t="s">
        <v>79</v>
      </c>
      <c r="C45" s="29" t="s">
        <v>90</v>
      </c>
      <c r="D45" s="15"/>
      <c r="E45" s="16" t="s">
        <v>358</v>
      </c>
      <c r="H45" s="8">
        <f t="shared" si="5"/>
        <v>0</v>
      </c>
      <c r="I45" s="8">
        <f t="shared" si="5"/>
        <v>0</v>
      </c>
      <c r="J45" s="8">
        <f t="shared" si="1"/>
        <v>0</v>
      </c>
      <c r="K45" s="29"/>
    </row>
    <row r="46" spans="1:11">
      <c r="A46" s="108"/>
      <c r="B46" s="3" t="s">
        <v>80</v>
      </c>
      <c r="C46" s="29" t="s">
        <v>89</v>
      </c>
      <c r="D46" s="15"/>
      <c r="E46" s="16" t="s">
        <v>359</v>
      </c>
      <c r="H46" s="8">
        <f t="shared" si="5"/>
        <v>0</v>
      </c>
      <c r="I46" s="8">
        <f t="shared" si="5"/>
        <v>0</v>
      </c>
      <c r="J46" s="8">
        <f t="shared" si="1"/>
        <v>0</v>
      </c>
      <c r="K46" s="29"/>
    </row>
    <row r="47" spans="1:11">
      <c r="A47" s="108"/>
      <c r="B47" s="3" t="s">
        <v>81</v>
      </c>
      <c r="C47" s="29" t="s">
        <v>88</v>
      </c>
      <c r="D47" s="15"/>
      <c r="E47" s="16" t="s">
        <v>360</v>
      </c>
      <c r="H47" s="8">
        <f t="shared" si="5"/>
        <v>0</v>
      </c>
      <c r="I47" s="8">
        <f t="shared" si="5"/>
        <v>0</v>
      </c>
      <c r="J47" s="8">
        <f t="shared" si="1"/>
        <v>0</v>
      </c>
      <c r="K47" s="29"/>
    </row>
    <row r="48" spans="1:11">
      <c r="A48" s="108"/>
      <c r="B48" s="3" t="s">
        <v>82</v>
      </c>
      <c r="C48" s="29" t="s">
        <v>87</v>
      </c>
      <c r="D48" s="15"/>
      <c r="E48" s="16" t="s">
        <v>361</v>
      </c>
      <c r="H48" s="8">
        <f t="shared" si="5"/>
        <v>0</v>
      </c>
      <c r="I48" s="8">
        <f t="shared" si="5"/>
        <v>0</v>
      </c>
      <c r="J48" s="8">
        <f t="shared" si="1"/>
        <v>0</v>
      </c>
      <c r="K48" s="29"/>
    </row>
    <row r="49" spans="1:11">
      <c r="A49" s="108"/>
      <c r="B49" s="3" t="s">
        <v>83</v>
      </c>
      <c r="C49" s="29" t="s">
        <v>86</v>
      </c>
      <c r="D49" s="15"/>
      <c r="E49" s="16" t="s">
        <v>362</v>
      </c>
      <c r="H49" s="8">
        <f t="shared" si="5"/>
        <v>0</v>
      </c>
      <c r="I49" s="8">
        <f t="shared" si="5"/>
        <v>0</v>
      </c>
      <c r="J49" s="8">
        <f t="shared" si="1"/>
        <v>0</v>
      </c>
      <c r="K49" s="29"/>
    </row>
    <row r="50" spans="1:11">
      <c r="A50" s="108"/>
      <c r="B50" s="3" t="s">
        <v>84</v>
      </c>
      <c r="C50" s="29" t="s">
        <v>85</v>
      </c>
      <c r="D50" s="15"/>
      <c r="E50" s="16" t="s">
        <v>363</v>
      </c>
      <c r="H50" s="8">
        <f t="shared" si="5"/>
        <v>0</v>
      </c>
      <c r="I50" s="8">
        <f t="shared" si="5"/>
        <v>0</v>
      </c>
      <c r="J50" s="8">
        <f t="shared" si="1"/>
        <v>0</v>
      </c>
      <c r="K50" s="29"/>
    </row>
    <row r="51" spans="1:11">
      <c r="A51" s="108"/>
      <c r="B51" s="3" t="s">
        <v>85</v>
      </c>
      <c r="C51" s="29" t="s">
        <v>84</v>
      </c>
      <c r="D51" s="15"/>
      <c r="E51" s="16" t="s">
        <v>364</v>
      </c>
      <c r="H51" s="8">
        <f t="shared" si="5"/>
        <v>0</v>
      </c>
      <c r="I51" s="8">
        <f t="shared" si="5"/>
        <v>0</v>
      </c>
      <c r="J51" s="8">
        <f t="shared" si="1"/>
        <v>0</v>
      </c>
      <c r="K51" s="29"/>
    </row>
    <row r="52" spans="1:11" ht="15.75">
      <c r="A52" s="108"/>
      <c r="B52" s="3" t="s">
        <v>86</v>
      </c>
      <c r="C52" s="29" t="s">
        <v>83</v>
      </c>
      <c r="D52" s="15"/>
      <c r="E52" s="16" t="s">
        <v>365</v>
      </c>
      <c r="F52" s="60">
        <f>169.1404598+130.108046+162.6350575+162.6350575+149.6242529</f>
        <v>774.1428737</v>
      </c>
      <c r="G52" s="60">
        <f>531.44+408.8+511+511+470.12</f>
        <v>2432.36</v>
      </c>
      <c r="H52" s="8">
        <f t="shared" si="5"/>
        <v>5.5357296239876175E-2</v>
      </c>
      <c r="I52" s="8">
        <f t="shared" si="5"/>
        <v>6.0904031514217187E-2</v>
      </c>
      <c r="J52" s="8">
        <f t="shared" si="1"/>
        <v>6.0904031514217187E-2</v>
      </c>
      <c r="K52" s="29"/>
    </row>
    <row r="53" spans="1:11">
      <c r="A53" s="108"/>
      <c r="B53" s="3" t="s">
        <v>87</v>
      </c>
      <c r="C53" s="29" t="s">
        <v>82</v>
      </c>
      <c r="D53" s="15"/>
      <c r="E53" s="16" t="s">
        <v>366</v>
      </c>
      <c r="H53" s="8">
        <f t="shared" si="5"/>
        <v>0</v>
      </c>
      <c r="I53" s="8">
        <f t="shared" si="5"/>
        <v>0</v>
      </c>
      <c r="J53" s="8">
        <f t="shared" si="1"/>
        <v>0</v>
      </c>
      <c r="K53" s="29"/>
    </row>
    <row r="54" spans="1:11">
      <c r="A54" s="108"/>
      <c r="B54" s="3" t="s">
        <v>88</v>
      </c>
      <c r="C54" s="29" t="s">
        <v>81</v>
      </c>
      <c r="D54" s="15"/>
      <c r="E54" s="16" t="s">
        <v>367</v>
      </c>
      <c r="H54" s="8">
        <f t="shared" si="5"/>
        <v>0</v>
      </c>
      <c r="I54" s="8">
        <f t="shared" si="5"/>
        <v>0</v>
      </c>
      <c r="J54" s="8">
        <f t="shared" si="1"/>
        <v>0</v>
      </c>
      <c r="K54" s="29"/>
    </row>
    <row r="55" spans="1:11" ht="15.75">
      <c r="A55" s="108"/>
      <c r="B55" s="3" t="s">
        <v>89</v>
      </c>
      <c r="C55" s="29" t="s">
        <v>78</v>
      </c>
      <c r="D55" s="32"/>
      <c r="E55" s="16" t="s">
        <v>368</v>
      </c>
      <c r="F55" s="60">
        <f>149.6242529+104.0864368</f>
        <v>253.71068969999999</v>
      </c>
      <c r="G55" s="60">
        <f>470.12+327.04</f>
        <v>797.16000000000008</v>
      </c>
      <c r="H55" s="8">
        <f t="shared" si="5"/>
        <v>1.8142307171051857E-2</v>
      </c>
      <c r="I55" s="8">
        <f t="shared" si="5"/>
        <v>1.9960144781970338E-2</v>
      </c>
      <c r="J55" s="8">
        <f t="shared" si="1"/>
        <v>1.9960144781970338E-2</v>
      </c>
      <c r="K55" s="29"/>
    </row>
    <row r="56" spans="1:11" ht="15.75">
      <c r="A56" s="108"/>
      <c r="B56" s="3" t="s">
        <v>90</v>
      </c>
      <c r="C56" s="29" t="s">
        <v>77</v>
      </c>
      <c r="D56" s="31"/>
      <c r="E56" s="16" t="s">
        <v>369</v>
      </c>
      <c r="F56" s="60">
        <f>381.84173875+763.6834775</f>
        <v>1145.5252162500001</v>
      </c>
      <c r="G56" s="60">
        <f>839.5+1679</f>
        <v>2518.5</v>
      </c>
      <c r="H56" s="8">
        <f t="shared" si="5"/>
        <v>8.1914050881999975E-2</v>
      </c>
      <c r="I56" s="8">
        <f t="shared" si="5"/>
        <v>6.3060896976005185E-2</v>
      </c>
      <c r="J56" s="8">
        <f t="shared" si="1"/>
        <v>6.3060896976005185E-2</v>
      </c>
      <c r="K56" s="29"/>
    </row>
    <row r="57" spans="1:11" ht="15.75">
      <c r="A57" s="108"/>
      <c r="B57" s="3" t="s">
        <v>91</v>
      </c>
      <c r="C57" s="29" t="s">
        <v>76</v>
      </c>
      <c r="D57" s="15"/>
      <c r="E57" s="16" t="s">
        <v>370</v>
      </c>
      <c r="F57" s="60">
        <v>1145.5252162500001</v>
      </c>
      <c r="G57" s="60">
        <v>2518.5</v>
      </c>
      <c r="H57" s="8">
        <f t="shared" si="5"/>
        <v>8.1914050881999975E-2</v>
      </c>
      <c r="I57" s="8">
        <f t="shared" si="5"/>
        <v>6.3060896976005185E-2</v>
      </c>
      <c r="J57" s="8">
        <f t="shared" si="1"/>
        <v>6.3060896976005185E-2</v>
      </c>
      <c r="K57" s="29"/>
    </row>
    <row r="58" spans="1:11" ht="15.75">
      <c r="A58" s="108"/>
      <c r="B58" s="3" t="s">
        <v>92</v>
      </c>
      <c r="C58" s="29" t="s">
        <v>79</v>
      </c>
      <c r="D58" s="15"/>
      <c r="E58" s="16" t="s">
        <v>371</v>
      </c>
      <c r="F58" s="60">
        <v>78.064827600000001</v>
      </c>
      <c r="G58" s="60">
        <v>245.28</v>
      </c>
      <c r="H58" s="8">
        <f t="shared" si="5"/>
        <v>5.5822483603236482E-3</v>
      </c>
      <c r="I58" s="8">
        <f t="shared" si="5"/>
        <v>6.141583009837027E-3</v>
      </c>
      <c r="J58" s="8">
        <f t="shared" si="1"/>
        <v>6.141583009837027E-3</v>
      </c>
      <c r="K58" s="29"/>
    </row>
    <row r="59" spans="1:11" ht="15.75">
      <c r="A59" s="108"/>
      <c r="B59" s="3" t="s">
        <v>93</v>
      </c>
      <c r="C59" s="29" t="s">
        <v>80</v>
      </c>
      <c r="D59" s="15"/>
      <c r="E59" s="16" t="s">
        <v>372</v>
      </c>
      <c r="F59" s="60">
        <v>182.1512644</v>
      </c>
      <c r="G59" s="60">
        <v>572.32000000000005</v>
      </c>
      <c r="H59" s="8">
        <f t="shared" si="5"/>
        <v>1.3025246174088513E-2</v>
      </c>
      <c r="I59" s="8">
        <f t="shared" si="5"/>
        <v>1.4330360356286397E-2</v>
      </c>
      <c r="J59" s="8">
        <f t="shared" si="1"/>
        <v>1.4330360356286397E-2</v>
      </c>
      <c r="K59" s="29"/>
    </row>
    <row r="60" spans="1:11" ht="15.75">
      <c r="A60" s="108"/>
      <c r="B60" s="3" t="s">
        <v>94</v>
      </c>
      <c r="C60" s="29" t="s">
        <v>75</v>
      </c>
      <c r="D60" s="15"/>
      <c r="E60" s="16" t="s">
        <v>373</v>
      </c>
      <c r="F60" s="60">
        <v>149.62425289999999</v>
      </c>
      <c r="G60" s="60">
        <v>470.12</v>
      </c>
      <c r="H60" s="8">
        <f t="shared" si="5"/>
        <v>1.0699309357286992E-2</v>
      </c>
      <c r="I60" s="8">
        <f t="shared" si="5"/>
        <v>1.1771367435520968E-2</v>
      </c>
      <c r="J60" s="8">
        <f t="shared" si="1"/>
        <v>1.1771367435520968E-2</v>
      </c>
      <c r="K60" s="29"/>
    </row>
    <row r="61" spans="1:11">
      <c r="A61" s="108"/>
      <c r="B61" s="3" t="s">
        <v>95</v>
      </c>
      <c r="C61" s="29" t="s">
        <v>73</v>
      </c>
      <c r="D61" s="15"/>
      <c r="E61" s="16" t="s">
        <v>374</v>
      </c>
      <c r="H61" s="8">
        <f t="shared" si="5"/>
        <v>0</v>
      </c>
      <c r="I61" s="8">
        <f t="shared" si="5"/>
        <v>0</v>
      </c>
      <c r="J61" s="8">
        <f t="shared" si="1"/>
        <v>0</v>
      </c>
      <c r="K61" s="29"/>
    </row>
    <row r="62" spans="1:11" ht="15.75">
      <c r="A62" s="108"/>
      <c r="B62" s="3" t="s">
        <v>96</v>
      </c>
      <c r="C62" s="29" t="s">
        <v>74</v>
      </c>
      <c r="D62" s="32"/>
      <c r="E62" s="16" t="s">
        <v>375</v>
      </c>
      <c r="F62" s="60">
        <v>149.62425289999999</v>
      </c>
      <c r="G62" s="60">
        <v>470.12</v>
      </c>
      <c r="H62" s="8">
        <f t="shared" si="5"/>
        <v>1.0699309357286992E-2</v>
      </c>
      <c r="I62" s="8">
        <f t="shared" si="5"/>
        <v>1.1771367435520968E-2</v>
      </c>
      <c r="J62" s="8">
        <f t="shared" si="1"/>
        <v>1.1771367435520968E-2</v>
      </c>
      <c r="K62" s="29"/>
    </row>
    <row r="63" spans="1:11">
      <c r="A63" s="108"/>
      <c r="B63" s="3" t="s">
        <v>97</v>
      </c>
      <c r="C63" s="29" t="s">
        <v>72</v>
      </c>
      <c r="D63" s="15"/>
      <c r="E63" s="16" t="s">
        <v>376</v>
      </c>
      <c r="H63" s="8">
        <f t="shared" si="5"/>
        <v>0</v>
      </c>
      <c r="I63" s="8">
        <f t="shared" si="5"/>
        <v>0</v>
      </c>
      <c r="J63" s="8">
        <f t="shared" si="1"/>
        <v>0</v>
      </c>
      <c r="K63" s="29"/>
    </row>
    <row r="64" spans="1:11" ht="15.75">
      <c r="A64" s="108"/>
      <c r="B64" s="3" t="s">
        <v>98</v>
      </c>
      <c r="C64" s="29" t="s">
        <v>69</v>
      </c>
      <c r="D64" s="15"/>
      <c r="E64" s="16" t="s">
        <v>377</v>
      </c>
      <c r="F64" s="60">
        <f>52.0432184+117.0972414</f>
        <v>169.1404598</v>
      </c>
      <c r="G64" s="60">
        <f>163.52+367.92</f>
        <v>531.44000000000005</v>
      </c>
      <c r="H64" s="8">
        <f t="shared" si="5"/>
        <v>1.2094871447367905E-2</v>
      </c>
      <c r="I64" s="8">
        <f t="shared" si="5"/>
        <v>1.3306763187980226E-2</v>
      </c>
      <c r="J64" s="8">
        <f t="shared" si="1"/>
        <v>1.3306763187980226E-2</v>
      </c>
      <c r="K64" s="29"/>
    </row>
    <row r="65" spans="1:11">
      <c r="A65" s="108"/>
      <c r="B65" s="3" t="s">
        <v>99</v>
      </c>
      <c r="C65" s="29" t="s">
        <v>70</v>
      </c>
      <c r="D65" s="15"/>
      <c r="E65" s="16" t="s">
        <v>378</v>
      </c>
      <c r="H65" s="8">
        <f t="shared" si="5"/>
        <v>0</v>
      </c>
      <c r="I65" s="8">
        <f t="shared" si="5"/>
        <v>0</v>
      </c>
      <c r="J65" s="8">
        <f t="shared" si="1"/>
        <v>0</v>
      </c>
      <c r="K65" s="29"/>
    </row>
    <row r="66" spans="1:11" ht="15.75">
      <c r="A66" s="108"/>
      <c r="B66" s="3" t="s">
        <v>100</v>
      </c>
      <c r="C66" s="29" t="s">
        <v>68</v>
      </c>
      <c r="D66" s="32"/>
      <c r="E66" s="16" t="s">
        <v>379</v>
      </c>
      <c r="F66" s="60">
        <v>1069.1568685</v>
      </c>
      <c r="G66" s="60">
        <v>2350.6</v>
      </c>
      <c r="H66" s="8">
        <f t="shared" si="5"/>
        <v>7.6453114156533303E-2</v>
      </c>
      <c r="I66" s="8">
        <f t="shared" si="5"/>
        <v>5.8856837177604836E-2</v>
      </c>
      <c r="J66" s="8">
        <f t="shared" si="1"/>
        <v>5.8856837177604836E-2</v>
      </c>
      <c r="K66" s="29"/>
    </row>
    <row r="67" spans="1:11" ht="15.75">
      <c r="A67" s="108"/>
      <c r="B67" s="3" t="s">
        <v>101</v>
      </c>
      <c r="C67" s="29" t="s">
        <v>71</v>
      </c>
      <c r="D67" s="15"/>
      <c r="E67" s="16" t="s">
        <v>380</v>
      </c>
      <c r="F67" s="60">
        <f>1603.73530275+763.6834775+878.2359991+916.420173+364.3025288</f>
        <v>4526.3774811499998</v>
      </c>
      <c r="G67" s="60">
        <f>3525.9+1679+1930.85+2014.8+1144.64</f>
        <v>10295.189999999999</v>
      </c>
      <c r="H67" s="8">
        <f t="shared" si="5"/>
        <v>0.32367154388432251</v>
      </c>
      <c r="I67" s="8">
        <f t="shared" si="5"/>
        <v>0.25778197972539157</v>
      </c>
      <c r="J67" s="8">
        <f t="shared" ref="J67:J130" si="6">I67</f>
        <v>0.25778197972539157</v>
      </c>
      <c r="K67" s="29"/>
    </row>
    <row r="68" spans="1:11" ht="15.75">
      <c r="A68" s="108"/>
      <c r="B68" s="3" t="s">
        <v>102</v>
      </c>
      <c r="C68" s="29" t="s">
        <v>67</v>
      </c>
      <c r="D68" s="32"/>
      <c r="E68" s="16" t="s">
        <v>381</v>
      </c>
      <c r="F68" s="60">
        <v>149.62425289999999</v>
      </c>
      <c r="G68" s="60">
        <v>470.12</v>
      </c>
      <c r="H68" s="8">
        <f t="shared" si="5"/>
        <v>1.0699309357286992E-2</v>
      </c>
      <c r="I68" s="8">
        <f t="shared" si="5"/>
        <v>1.1771367435520968E-2</v>
      </c>
      <c r="J68" s="8">
        <f t="shared" si="6"/>
        <v>1.1771367435520968E-2</v>
      </c>
      <c r="K68" s="29"/>
    </row>
    <row r="69" spans="1:11">
      <c r="A69" s="108"/>
      <c r="B69" s="3" t="s">
        <v>103</v>
      </c>
      <c r="C69" s="29" t="s">
        <v>66</v>
      </c>
      <c r="D69" s="15"/>
      <c r="E69" s="16" t="s">
        <v>382</v>
      </c>
      <c r="F69" s="3">
        <f>169.1404598+78.0648276+162.6350575+91.0756322</f>
        <v>500.91597709999996</v>
      </c>
      <c r="G69" s="3">
        <f>531.44+245.28+511+286.16</f>
        <v>1573.88</v>
      </c>
      <c r="H69" s="8">
        <f t="shared" si="5"/>
        <v>3.5819426978743407E-2</v>
      </c>
      <c r="I69" s="8">
        <f t="shared" si="5"/>
        <v>3.9408490979787589E-2</v>
      </c>
      <c r="J69" s="8">
        <f t="shared" si="6"/>
        <v>3.9408490979787589E-2</v>
      </c>
      <c r="K69" s="29"/>
    </row>
    <row r="70" spans="1:11" ht="15.75">
      <c r="A70" s="24" t="s">
        <v>622</v>
      </c>
      <c r="B70" s="3" t="s">
        <v>383</v>
      </c>
      <c r="C70" s="29" t="s">
        <v>383</v>
      </c>
      <c r="D70" s="15"/>
      <c r="E70" s="16" t="s">
        <v>384</v>
      </c>
      <c r="F70" s="60">
        <v>149.62425289999999</v>
      </c>
      <c r="G70" s="60">
        <v>470.12</v>
      </c>
      <c r="H70" s="8">
        <v>1</v>
      </c>
      <c r="I70" s="8">
        <v>1</v>
      </c>
      <c r="J70" s="8">
        <f t="shared" si="6"/>
        <v>1</v>
      </c>
      <c r="K70" s="29"/>
    </row>
    <row r="71" spans="1:11">
      <c r="A71" s="108" t="s">
        <v>8</v>
      </c>
      <c r="B71" s="3" t="s">
        <v>104</v>
      </c>
      <c r="C71" s="29" t="s">
        <v>106</v>
      </c>
      <c r="D71" s="15"/>
      <c r="E71" s="16" t="s">
        <v>385</v>
      </c>
      <c r="J71" s="8">
        <v>0.33329999999999999</v>
      </c>
      <c r="K71" s="29" t="s">
        <v>950</v>
      </c>
    </row>
    <row r="72" spans="1:11">
      <c r="A72" s="108"/>
      <c r="B72" s="3" t="s">
        <v>105</v>
      </c>
      <c r="C72" s="29" t="s">
        <v>105</v>
      </c>
      <c r="D72" s="15"/>
      <c r="E72" s="16" t="s">
        <v>386</v>
      </c>
      <c r="J72" s="8">
        <v>0.33329999999999999</v>
      </c>
      <c r="K72" s="29" t="s">
        <v>950</v>
      </c>
    </row>
    <row r="73" spans="1:11">
      <c r="A73" s="108"/>
      <c r="B73" s="3" t="s">
        <v>106</v>
      </c>
      <c r="C73" s="29" t="s">
        <v>104</v>
      </c>
      <c r="D73" s="15"/>
      <c r="E73" s="16" t="s">
        <v>387</v>
      </c>
      <c r="J73" s="8">
        <v>0.33329999999999999</v>
      </c>
      <c r="K73" s="29" t="s">
        <v>950</v>
      </c>
    </row>
    <row r="74" spans="1:11" ht="15.75">
      <c r="A74" s="108" t="s">
        <v>9</v>
      </c>
      <c r="B74" s="3" t="s">
        <v>107</v>
      </c>
      <c r="C74" s="29" t="s">
        <v>114</v>
      </c>
      <c r="D74" s="15"/>
      <c r="E74" s="16" t="s">
        <v>388</v>
      </c>
      <c r="F74" s="65">
        <v>227.68908049999999</v>
      </c>
      <c r="G74" s="65">
        <v>715.4</v>
      </c>
      <c r="H74" s="8">
        <f>F74/SUM(F$74:F$86)</f>
        <v>0.60344827586206895</v>
      </c>
      <c r="I74" s="8">
        <f>G74/SUM(G$74:G$86)</f>
        <v>0.60344827586206895</v>
      </c>
      <c r="J74" s="8">
        <f t="shared" si="6"/>
        <v>0.60344827586206895</v>
      </c>
      <c r="K74" s="29"/>
    </row>
    <row r="75" spans="1:11">
      <c r="A75" s="108"/>
      <c r="B75" s="3" t="s">
        <v>108</v>
      </c>
      <c r="C75" s="29" t="s">
        <v>389</v>
      </c>
      <c r="D75" s="15"/>
      <c r="E75" s="16" t="s">
        <v>390</v>
      </c>
      <c r="H75" s="8">
        <f t="shared" ref="H75:I86" si="7">F75/SUM(F$74:F$86)</f>
        <v>0</v>
      </c>
      <c r="I75" s="8">
        <f t="shared" si="7"/>
        <v>0</v>
      </c>
      <c r="J75" s="8">
        <f t="shared" si="6"/>
        <v>0</v>
      </c>
      <c r="K75" s="29"/>
    </row>
    <row r="76" spans="1:11">
      <c r="A76" s="108"/>
      <c r="B76" s="3" t="s">
        <v>109</v>
      </c>
      <c r="C76" s="29" t="s">
        <v>391</v>
      </c>
      <c r="D76" s="15"/>
      <c r="E76" s="16" t="s">
        <v>392</v>
      </c>
      <c r="H76" s="8">
        <f t="shared" si="7"/>
        <v>0</v>
      </c>
      <c r="I76" s="8">
        <f t="shared" si="7"/>
        <v>0</v>
      </c>
      <c r="J76" s="8">
        <f t="shared" si="6"/>
        <v>0</v>
      </c>
    </row>
    <row r="77" spans="1:11">
      <c r="A77" s="108"/>
      <c r="B77" s="3" t="s">
        <v>110</v>
      </c>
      <c r="C77" s="29" t="s">
        <v>393</v>
      </c>
      <c r="D77" s="15"/>
      <c r="E77" s="16" t="s">
        <v>394</v>
      </c>
      <c r="H77" s="8">
        <f t="shared" si="7"/>
        <v>0</v>
      </c>
      <c r="I77" s="8">
        <f t="shared" si="7"/>
        <v>0</v>
      </c>
      <c r="J77" s="8">
        <f t="shared" si="6"/>
        <v>0</v>
      </c>
    </row>
    <row r="78" spans="1:11">
      <c r="A78" s="108"/>
      <c r="B78" s="3" t="s">
        <v>111</v>
      </c>
      <c r="C78" s="29" t="s">
        <v>115</v>
      </c>
      <c r="D78" s="15"/>
      <c r="E78" s="16" t="s">
        <v>395</v>
      </c>
      <c r="H78" s="8">
        <f t="shared" si="7"/>
        <v>0</v>
      </c>
      <c r="I78" s="8">
        <f t="shared" si="7"/>
        <v>0</v>
      </c>
      <c r="J78" s="8">
        <f t="shared" si="6"/>
        <v>0</v>
      </c>
    </row>
    <row r="79" spans="1:11">
      <c r="A79" s="108"/>
      <c r="B79" s="3" t="s">
        <v>112</v>
      </c>
      <c r="C79" s="29" t="s">
        <v>110</v>
      </c>
      <c r="D79" s="15"/>
      <c r="E79" s="16" t="s">
        <v>396</v>
      </c>
      <c r="H79" s="8">
        <f t="shared" si="7"/>
        <v>0</v>
      </c>
      <c r="I79" s="8">
        <f t="shared" si="7"/>
        <v>0</v>
      </c>
      <c r="J79" s="8">
        <f t="shared" si="6"/>
        <v>0</v>
      </c>
    </row>
    <row r="80" spans="1:11">
      <c r="A80" s="108"/>
      <c r="B80" s="3" t="s">
        <v>113</v>
      </c>
      <c r="C80" s="29" t="s">
        <v>112</v>
      </c>
      <c r="D80" s="15"/>
      <c r="E80" s="16" t="s">
        <v>397</v>
      </c>
      <c r="H80" s="8">
        <f t="shared" si="7"/>
        <v>0</v>
      </c>
      <c r="I80" s="8">
        <f t="shared" si="7"/>
        <v>0</v>
      </c>
      <c r="J80" s="8">
        <f t="shared" si="6"/>
        <v>0</v>
      </c>
    </row>
    <row r="81" spans="1:10">
      <c r="A81" s="108"/>
      <c r="B81" s="3" t="s">
        <v>114</v>
      </c>
      <c r="C81" s="29" t="s">
        <v>111</v>
      </c>
      <c r="D81" s="15"/>
      <c r="E81" s="16" t="s">
        <v>398</v>
      </c>
      <c r="H81" s="8">
        <f t="shared" si="7"/>
        <v>0</v>
      </c>
      <c r="I81" s="8">
        <f t="shared" si="7"/>
        <v>0</v>
      </c>
      <c r="J81" s="8">
        <f t="shared" si="6"/>
        <v>0</v>
      </c>
    </row>
    <row r="82" spans="1:10" ht="15.75">
      <c r="A82" s="108"/>
      <c r="B82" s="3" t="s">
        <v>115</v>
      </c>
      <c r="C82" s="29" t="s">
        <v>107</v>
      </c>
      <c r="D82" s="15"/>
      <c r="E82" s="16" t="s">
        <v>399</v>
      </c>
      <c r="F82" s="60">
        <v>149.62425289999999</v>
      </c>
      <c r="G82" s="60">
        <v>470.12</v>
      </c>
      <c r="H82" s="8">
        <f t="shared" si="7"/>
        <v>0.39655172413793105</v>
      </c>
      <c r="I82" s="8">
        <f t="shared" si="7"/>
        <v>0.39655172413793105</v>
      </c>
      <c r="J82" s="8">
        <f t="shared" si="6"/>
        <v>0.39655172413793105</v>
      </c>
    </row>
    <row r="83" spans="1:10">
      <c r="A83" s="108"/>
      <c r="C83" s="29" t="s">
        <v>400</v>
      </c>
      <c r="D83" s="15"/>
      <c r="E83" s="16" t="s">
        <v>401</v>
      </c>
      <c r="H83" s="8">
        <f t="shared" si="7"/>
        <v>0</v>
      </c>
      <c r="I83" s="8">
        <f t="shared" si="7"/>
        <v>0</v>
      </c>
      <c r="J83" s="8">
        <f t="shared" si="6"/>
        <v>0</v>
      </c>
    </row>
    <row r="84" spans="1:10">
      <c r="A84" s="108"/>
      <c r="C84" s="29" t="s">
        <v>113</v>
      </c>
      <c r="D84" s="15"/>
      <c r="E84" s="16" t="s">
        <v>402</v>
      </c>
      <c r="H84" s="8">
        <f t="shared" si="7"/>
        <v>0</v>
      </c>
      <c r="I84" s="8">
        <f t="shared" si="7"/>
        <v>0</v>
      </c>
      <c r="J84" s="8">
        <f t="shared" si="6"/>
        <v>0</v>
      </c>
    </row>
    <row r="85" spans="1:10">
      <c r="A85" s="108"/>
      <c r="C85" s="29" t="s">
        <v>108</v>
      </c>
      <c r="D85" s="15"/>
      <c r="E85" s="16" t="s">
        <v>403</v>
      </c>
      <c r="H85" s="8">
        <f t="shared" si="7"/>
        <v>0</v>
      </c>
      <c r="I85" s="8">
        <f t="shared" si="7"/>
        <v>0</v>
      </c>
      <c r="J85" s="8">
        <f t="shared" si="6"/>
        <v>0</v>
      </c>
    </row>
    <row r="86" spans="1:10">
      <c r="A86" s="108"/>
      <c r="C86" s="29" t="s">
        <v>109</v>
      </c>
      <c r="D86" s="15"/>
      <c r="E86" s="16" t="s">
        <v>404</v>
      </c>
      <c r="H86" s="8">
        <f t="shared" si="7"/>
        <v>0</v>
      </c>
      <c r="I86" s="8">
        <f t="shared" si="7"/>
        <v>0</v>
      </c>
      <c r="J86" s="8">
        <f t="shared" si="6"/>
        <v>0</v>
      </c>
    </row>
    <row r="87" spans="1:10">
      <c r="A87" s="108" t="s">
        <v>10</v>
      </c>
      <c r="B87" s="3" t="s">
        <v>116</v>
      </c>
      <c r="C87" s="29" t="s">
        <v>120</v>
      </c>
      <c r="D87" s="15"/>
      <c r="E87" s="16" t="s">
        <v>405</v>
      </c>
      <c r="H87" s="8">
        <f>F87/SUM(F$87:F$105)</f>
        <v>0</v>
      </c>
      <c r="I87" s="8">
        <f>G87/SUM(G$87:G$105)</f>
        <v>0</v>
      </c>
      <c r="J87" s="8">
        <f t="shared" si="6"/>
        <v>0</v>
      </c>
    </row>
    <row r="88" spans="1:10" ht="15.75">
      <c r="A88" s="108"/>
      <c r="B88" s="3" t="s">
        <v>117</v>
      </c>
      <c r="C88" s="29" t="s">
        <v>117</v>
      </c>
      <c r="D88" s="15"/>
      <c r="E88" s="16" t="s">
        <v>406</v>
      </c>
      <c r="F88" s="60">
        <v>878.23599912500003</v>
      </c>
      <c r="G88" s="60">
        <v>1930.85</v>
      </c>
      <c r="H88" s="8">
        <f t="shared" ref="H88:I105" si="8">F88/SUM(F$87:F$105)</f>
        <v>0.12230792566242552</v>
      </c>
      <c r="I88" s="8">
        <f t="shared" si="8"/>
        <v>0.1064278132968926</v>
      </c>
      <c r="J88" s="8">
        <f t="shared" si="6"/>
        <v>0.1064278132968926</v>
      </c>
    </row>
    <row r="89" spans="1:10" ht="15.75">
      <c r="A89" s="108"/>
      <c r="B89" s="3" t="s">
        <v>118</v>
      </c>
      <c r="C89" s="29" t="s">
        <v>128</v>
      </c>
      <c r="D89" s="15"/>
      <c r="E89" s="16" t="s">
        <v>407</v>
      </c>
      <c r="F89" s="60">
        <v>305.47339099999999</v>
      </c>
      <c r="G89" s="60">
        <v>671.6</v>
      </c>
      <c r="H89" s="8">
        <f t="shared" si="8"/>
        <v>4.254188718693061E-2</v>
      </c>
      <c r="I89" s="8">
        <f t="shared" si="8"/>
        <v>3.7018369842397432E-2</v>
      </c>
      <c r="J89" s="8">
        <f t="shared" si="6"/>
        <v>3.7018369842397432E-2</v>
      </c>
    </row>
    <row r="90" spans="1:10" ht="15.75">
      <c r="A90" s="108"/>
      <c r="B90" s="3" t="s">
        <v>119</v>
      </c>
      <c r="C90" s="29" t="s">
        <v>118</v>
      </c>
      <c r="D90" s="15"/>
      <c r="E90" s="16" t="s">
        <v>408</v>
      </c>
      <c r="F90" s="60">
        <f>1397.540763825+149.6242529</f>
        <v>1547.165016725</v>
      </c>
      <c r="G90" s="60">
        <v>3072.57</v>
      </c>
      <c r="H90" s="8">
        <f t="shared" si="8"/>
        <v>0.21546662177551354</v>
      </c>
      <c r="I90" s="8">
        <f t="shared" si="8"/>
        <v>0.16935904202896826</v>
      </c>
      <c r="J90" s="8">
        <f t="shared" si="6"/>
        <v>0.16935904202896826</v>
      </c>
    </row>
    <row r="91" spans="1:10" ht="15.75">
      <c r="A91" s="108"/>
      <c r="B91" s="3" t="s">
        <v>120</v>
      </c>
      <c r="C91" s="29" t="s">
        <v>123</v>
      </c>
      <c r="D91" s="15"/>
      <c r="E91" s="16" t="s">
        <v>409</v>
      </c>
      <c r="F91" s="60">
        <v>916.42017299999998</v>
      </c>
      <c r="G91" s="60">
        <f>2014.8+470.12</f>
        <v>2484.92</v>
      </c>
      <c r="H91" s="8">
        <f t="shared" si="8"/>
        <v>0.12762566156079183</v>
      </c>
      <c r="I91" s="8">
        <f t="shared" si="8"/>
        <v>0.13696796841687051</v>
      </c>
      <c r="J91" s="8">
        <f t="shared" si="6"/>
        <v>0.13696796841687051</v>
      </c>
    </row>
    <row r="92" spans="1:10">
      <c r="A92" s="108"/>
      <c r="B92" s="3" t="s">
        <v>121</v>
      </c>
      <c r="C92" s="29" t="s">
        <v>119</v>
      </c>
      <c r="D92" s="15"/>
      <c r="E92" s="16" t="s">
        <v>410</v>
      </c>
      <c r="H92" s="8">
        <f t="shared" si="8"/>
        <v>0</v>
      </c>
      <c r="I92" s="8">
        <f t="shared" si="8"/>
        <v>0</v>
      </c>
      <c r="J92" s="8">
        <f t="shared" si="6"/>
        <v>0</v>
      </c>
    </row>
    <row r="93" spans="1:10" ht="15.75">
      <c r="A93" s="108"/>
      <c r="B93" s="3" t="s">
        <v>122</v>
      </c>
      <c r="C93" s="29" t="s">
        <v>129</v>
      </c>
      <c r="D93" s="15"/>
      <c r="E93" s="16" t="s">
        <v>411</v>
      </c>
      <c r="F93" s="60">
        <v>149.62425289999999</v>
      </c>
      <c r="G93" s="60">
        <v>470.12</v>
      </c>
      <c r="H93" s="8">
        <f t="shared" si="8"/>
        <v>2.0837487895305994E-2</v>
      </c>
      <c r="I93" s="8">
        <f t="shared" si="8"/>
        <v>2.5912858889678203E-2</v>
      </c>
      <c r="J93" s="8">
        <f t="shared" si="6"/>
        <v>2.5912858889678203E-2</v>
      </c>
    </row>
    <row r="94" spans="1:10">
      <c r="A94" s="108"/>
      <c r="B94" s="3" t="s">
        <v>123</v>
      </c>
      <c r="C94" s="29" t="s">
        <v>124</v>
      </c>
      <c r="D94" s="15"/>
      <c r="E94" s="16" t="s">
        <v>412</v>
      </c>
      <c r="H94" s="8">
        <f t="shared" si="8"/>
        <v>0</v>
      </c>
      <c r="I94" s="8">
        <f t="shared" si="8"/>
        <v>0</v>
      </c>
      <c r="J94" s="8">
        <f t="shared" si="6"/>
        <v>0</v>
      </c>
    </row>
    <row r="95" spans="1:10" ht="15.75">
      <c r="A95" s="108"/>
      <c r="B95" s="3" t="s">
        <v>124</v>
      </c>
      <c r="C95" s="29" t="s">
        <v>126</v>
      </c>
      <c r="D95" s="15"/>
      <c r="E95" s="16" t="s">
        <v>413</v>
      </c>
      <c r="F95" s="60">
        <f>173.94938225+149.6242529+169.1404598</f>
        <v>492.71409495</v>
      </c>
      <c r="G95" s="60">
        <f>474.5+470.12+531.44</f>
        <v>1476.06</v>
      </c>
      <c r="H95" s="8">
        <f t="shared" si="8"/>
        <v>6.8618046809758027E-2</v>
      </c>
      <c r="I95" s="8">
        <f t="shared" si="8"/>
        <v>8.1359938936225659E-2</v>
      </c>
      <c r="J95" s="8">
        <f t="shared" si="6"/>
        <v>8.1359938936225659E-2</v>
      </c>
    </row>
    <row r="96" spans="1:10" ht="15.75">
      <c r="A96" s="108"/>
      <c r="B96" s="3" t="s">
        <v>125</v>
      </c>
      <c r="C96" s="29" t="s">
        <v>127</v>
      </c>
      <c r="D96" s="15"/>
      <c r="E96" s="16" t="s">
        <v>414</v>
      </c>
      <c r="F96" s="60">
        <f>195.81260923+656.7677907</f>
        <v>852.58039993</v>
      </c>
      <c r="G96" s="60">
        <f>615.244+1443.94</f>
        <v>2059.1840000000002</v>
      </c>
      <c r="H96" s="8">
        <f t="shared" si="8"/>
        <v>0.11873498726967759</v>
      </c>
      <c r="I96" s="8">
        <f t="shared" si="8"/>
        <v>0.11350154092547247</v>
      </c>
      <c r="J96" s="8">
        <f t="shared" si="6"/>
        <v>0.11350154092547247</v>
      </c>
    </row>
    <row r="97" spans="1:10" ht="15.75">
      <c r="A97" s="108"/>
      <c r="B97" s="3" t="s">
        <v>126</v>
      </c>
      <c r="C97" s="29" t="s">
        <v>121</v>
      </c>
      <c r="D97" s="15"/>
      <c r="E97" s="16" t="s">
        <v>415</v>
      </c>
      <c r="F97" s="60">
        <v>263.46879315000001</v>
      </c>
      <c r="G97" s="60">
        <v>827.82</v>
      </c>
      <c r="H97" s="8">
        <f t="shared" si="8"/>
        <v>3.669209825043012E-2</v>
      </c>
      <c r="I97" s="8">
        <f t="shared" si="8"/>
        <v>4.5629164566607268E-2</v>
      </c>
      <c r="J97" s="8">
        <f t="shared" si="6"/>
        <v>4.5629164566607268E-2</v>
      </c>
    </row>
    <row r="98" spans="1:10" ht="15.75">
      <c r="A98" s="108"/>
      <c r="B98" s="3" t="s">
        <v>127</v>
      </c>
      <c r="C98" s="29" t="s">
        <v>125</v>
      </c>
      <c r="D98" s="15"/>
      <c r="E98" s="16" t="s">
        <v>416</v>
      </c>
      <c r="F98" s="60">
        <f>149.6242529+188.6566667+149.6242529</f>
        <v>487.90517249999994</v>
      </c>
      <c r="G98" s="60">
        <f>470.12+986.76+470.12</f>
        <v>1927</v>
      </c>
      <c r="H98" s="8">
        <f t="shared" si="8"/>
        <v>6.7948330093389103E-2</v>
      </c>
      <c r="I98" s="8">
        <f t="shared" si="8"/>
        <v>0.1062156025704286</v>
      </c>
      <c r="J98" s="8">
        <f t="shared" si="6"/>
        <v>0.1062156025704286</v>
      </c>
    </row>
    <row r="99" spans="1:10" ht="15.75">
      <c r="A99" s="108"/>
      <c r="B99" s="3" t="s">
        <v>128</v>
      </c>
      <c r="C99" s="29" t="s">
        <v>122</v>
      </c>
      <c r="D99" s="15"/>
      <c r="E99" s="16" t="s">
        <v>417</v>
      </c>
      <c r="F99" s="60">
        <v>870.59916435000002</v>
      </c>
      <c r="G99" s="60">
        <v>1914.06</v>
      </c>
      <c r="H99" s="8">
        <f t="shared" si="8"/>
        <v>0.12124437848275224</v>
      </c>
      <c r="I99" s="8">
        <f t="shared" si="8"/>
        <v>0.10550235405083268</v>
      </c>
      <c r="J99" s="8">
        <f t="shared" si="6"/>
        <v>0.10550235405083268</v>
      </c>
    </row>
    <row r="100" spans="1:10">
      <c r="A100" s="108"/>
      <c r="B100" s="3" t="s">
        <v>129</v>
      </c>
      <c r="C100" s="29" t="s">
        <v>418</v>
      </c>
      <c r="D100" s="15"/>
      <c r="E100" s="16" t="s">
        <v>419</v>
      </c>
      <c r="H100" s="8">
        <f t="shared" si="8"/>
        <v>0</v>
      </c>
      <c r="I100" s="8">
        <f t="shared" si="8"/>
        <v>0</v>
      </c>
      <c r="J100" s="8">
        <f t="shared" si="6"/>
        <v>0</v>
      </c>
    </row>
    <row r="101" spans="1:10" ht="15.75">
      <c r="A101" s="108"/>
      <c r="B101" s="3" t="s">
        <v>130</v>
      </c>
      <c r="C101" s="29" t="s">
        <v>130</v>
      </c>
      <c r="D101" s="15"/>
      <c r="E101" s="16" t="s">
        <v>420</v>
      </c>
      <c r="F101" s="60">
        <f>149.6242529+117.0972414</f>
        <v>266.72149430000002</v>
      </c>
      <c r="G101" s="60">
        <f>470.12+367.92</f>
        <v>838.04</v>
      </c>
      <c r="H101" s="8">
        <f t="shared" si="8"/>
        <v>3.7145087117719383E-2</v>
      </c>
      <c r="I101" s="8">
        <f t="shared" si="8"/>
        <v>4.6192487585948093E-2</v>
      </c>
      <c r="J101" s="8">
        <f t="shared" si="6"/>
        <v>4.6192487585948093E-2</v>
      </c>
    </row>
    <row r="102" spans="1:10">
      <c r="A102" s="108"/>
      <c r="C102" s="29" t="s">
        <v>116</v>
      </c>
      <c r="D102" s="15"/>
      <c r="E102" s="16" t="s">
        <v>421</v>
      </c>
      <c r="H102" s="8">
        <f t="shared" si="8"/>
        <v>0</v>
      </c>
      <c r="I102" s="8">
        <f t="shared" si="8"/>
        <v>0</v>
      </c>
      <c r="J102" s="8">
        <f t="shared" si="6"/>
        <v>0</v>
      </c>
    </row>
    <row r="103" spans="1:10">
      <c r="A103" s="108"/>
      <c r="C103" s="29" t="s">
        <v>422</v>
      </c>
      <c r="D103" s="15"/>
      <c r="E103" s="16" t="s">
        <v>423</v>
      </c>
      <c r="H103" s="8">
        <f t="shared" si="8"/>
        <v>0</v>
      </c>
      <c r="I103" s="8">
        <f t="shared" si="8"/>
        <v>0</v>
      </c>
      <c r="J103" s="8">
        <f t="shared" si="6"/>
        <v>0</v>
      </c>
    </row>
    <row r="104" spans="1:10">
      <c r="A104" s="108"/>
      <c r="C104" s="29" t="s">
        <v>424</v>
      </c>
      <c r="D104" s="15"/>
      <c r="E104" s="16" t="s">
        <v>425</v>
      </c>
      <c r="H104" s="8">
        <f t="shared" si="8"/>
        <v>0</v>
      </c>
      <c r="I104" s="8">
        <f t="shared" si="8"/>
        <v>0</v>
      </c>
      <c r="J104" s="8">
        <f t="shared" si="6"/>
        <v>0</v>
      </c>
    </row>
    <row r="105" spans="1:10" ht="15.75">
      <c r="A105" s="108"/>
      <c r="C105" s="29" t="s">
        <v>426</v>
      </c>
      <c r="D105" s="15"/>
      <c r="E105" s="16" t="s">
        <v>427</v>
      </c>
      <c r="F105" s="60">
        <v>149.62425289999999</v>
      </c>
      <c r="G105" s="60">
        <v>470.12</v>
      </c>
      <c r="H105" s="8">
        <f t="shared" si="8"/>
        <v>2.0837487895305994E-2</v>
      </c>
      <c r="I105" s="8">
        <f t="shared" si="8"/>
        <v>2.5912858889678203E-2</v>
      </c>
      <c r="J105" s="8">
        <f t="shared" si="6"/>
        <v>2.5912858889678203E-2</v>
      </c>
    </row>
    <row r="106" spans="1:10" ht="15.75">
      <c r="A106" s="108" t="s">
        <v>11</v>
      </c>
      <c r="B106" s="3" t="s">
        <v>131</v>
      </c>
      <c r="C106" s="29" t="s">
        <v>132</v>
      </c>
      <c r="D106" s="15"/>
      <c r="E106" s="16" t="s">
        <v>428</v>
      </c>
      <c r="F106" s="60">
        <v>32.5270115</v>
      </c>
      <c r="G106" s="60">
        <v>102.2</v>
      </c>
      <c r="H106" s="8">
        <f>F106/SUM(F$106:F$132)</f>
        <v>3.4914912914666366E-3</v>
      </c>
      <c r="I106" s="8">
        <f>G106/SUM(G$106:G$132)</f>
        <v>4.2742422195968877E-3</v>
      </c>
      <c r="J106" s="8">
        <f t="shared" si="6"/>
        <v>4.2742422195968877E-3</v>
      </c>
    </row>
    <row r="107" spans="1:10">
      <c r="A107" s="108"/>
      <c r="B107" s="3" t="s">
        <v>132</v>
      </c>
      <c r="C107" s="29" t="s">
        <v>143</v>
      </c>
      <c r="D107" s="15"/>
      <c r="E107" s="16" t="s">
        <v>429</v>
      </c>
      <c r="H107" s="8">
        <f t="shared" ref="H107:I132" si="9">F107/SUM(F$106:F$132)</f>
        <v>0</v>
      </c>
      <c r="I107" s="8">
        <f t="shared" si="9"/>
        <v>0</v>
      </c>
      <c r="J107" s="8">
        <f t="shared" si="6"/>
        <v>0</v>
      </c>
    </row>
    <row r="108" spans="1:10" ht="15.75">
      <c r="A108" s="108"/>
      <c r="B108" s="3" t="s">
        <v>133</v>
      </c>
      <c r="C108" s="29" t="s">
        <v>141</v>
      </c>
      <c r="D108" s="15"/>
      <c r="E108" s="16" t="s">
        <v>430</v>
      </c>
      <c r="F108" s="60">
        <f>149.6242529+78.0648276</f>
        <v>227.68908049999999</v>
      </c>
      <c r="G108" s="60">
        <f>470.12+245.28</f>
        <v>715.4</v>
      </c>
      <c r="H108" s="8">
        <f t="shared" si="9"/>
        <v>2.4440439040266455E-2</v>
      </c>
      <c r="I108" s="8">
        <f t="shared" si="9"/>
        <v>2.9919695537178208E-2</v>
      </c>
      <c r="J108" s="8">
        <f t="shared" si="6"/>
        <v>2.9919695537178208E-2</v>
      </c>
    </row>
    <row r="109" spans="1:10">
      <c r="A109" s="108"/>
      <c r="B109" s="3" t="s">
        <v>134</v>
      </c>
      <c r="C109" s="29" t="s">
        <v>138</v>
      </c>
      <c r="D109" s="15"/>
      <c r="E109" s="16" t="s">
        <v>431</v>
      </c>
      <c r="H109" s="8">
        <f t="shared" si="9"/>
        <v>0</v>
      </c>
      <c r="I109" s="8">
        <f t="shared" si="9"/>
        <v>0</v>
      </c>
      <c r="J109" s="8">
        <f t="shared" si="6"/>
        <v>0</v>
      </c>
    </row>
    <row r="110" spans="1:10" ht="15.75">
      <c r="A110" s="108"/>
      <c r="B110" s="3" t="s">
        <v>135</v>
      </c>
      <c r="C110" s="30" t="s">
        <v>145</v>
      </c>
      <c r="D110" s="16"/>
      <c r="E110" s="19" t="s">
        <v>432</v>
      </c>
      <c r="F110"/>
      <c r="G110"/>
      <c r="H110" s="8">
        <f t="shared" si="9"/>
        <v>0</v>
      </c>
      <c r="I110" s="8">
        <f t="shared" si="9"/>
        <v>0</v>
      </c>
      <c r="J110" s="8">
        <f t="shared" si="6"/>
        <v>0</v>
      </c>
    </row>
    <row r="111" spans="1:10" ht="15.75">
      <c r="A111" s="108"/>
      <c r="B111" s="3" t="s">
        <v>136</v>
      </c>
      <c r="C111" s="30" t="s">
        <v>137</v>
      </c>
      <c r="D111" s="31"/>
      <c r="E111" s="19" t="s">
        <v>433</v>
      </c>
      <c r="F111" s="60">
        <f>32.5270115+279.7322989</f>
        <v>312.2593104</v>
      </c>
      <c r="G111" s="60">
        <f>102.2+878.92</f>
        <v>981.12</v>
      </c>
      <c r="H111" s="8">
        <f t="shared" si="9"/>
        <v>3.3518316398079714E-2</v>
      </c>
      <c r="I111" s="8">
        <f t="shared" si="9"/>
        <v>4.1032725308130118E-2</v>
      </c>
      <c r="J111" s="8">
        <f t="shared" si="6"/>
        <v>4.1032725308130118E-2</v>
      </c>
    </row>
    <row r="112" spans="1:10" ht="15.75">
      <c r="A112" s="108"/>
      <c r="B112" s="3" t="s">
        <v>137</v>
      </c>
      <c r="C112" s="29" t="s">
        <v>134</v>
      </c>
      <c r="D112" s="32"/>
      <c r="E112" s="16" t="s">
        <v>434</v>
      </c>
      <c r="F112">
        <f>1264.3189375+916.420173+204.2696322</f>
        <v>2385.0087426999999</v>
      </c>
      <c r="G112">
        <f>2963.8+2014.8+641.816</f>
        <v>5620.4160000000002</v>
      </c>
      <c r="H112" s="8">
        <f t="shared" si="9"/>
        <v>0.25600990903233894</v>
      </c>
      <c r="I112" s="8">
        <f t="shared" si="9"/>
        <v>0.23505889783657397</v>
      </c>
      <c r="J112" s="8">
        <f t="shared" si="6"/>
        <v>0.23505889783657397</v>
      </c>
    </row>
    <row r="113" spans="1:13" ht="15.75">
      <c r="A113" s="108"/>
      <c r="B113" s="3" t="s">
        <v>138</v>
      </c>
      <c r="C113" s="29" t="s">
        <v>151</v>
      </c>
      <c r="D113" s="15"/>
      <c r="E113" s="16" t="s">
        <v>435</v>
      </c>
      <c r="F113" s="60">
        <f>149.6242529+913.3077304</f>
        <v>1062.9319833</v>
      </c>
      <c r="G113" s="60">
        <f>470.12+2149.12</f>
        <v>2619.2399999999998</v>
      </c>
      <c r="H113" s="8">
        <f t="shared" si="9"/>
        <v>0.1140964875642913</v>
      </c>
      <c r="I113" s="8">
        <f t="shared" si="9"/>
        <v>0.10954272202795449</v>
      </c>
      <c r="J113" s="8">
        <f t="shared" si="6"/>
        <v>0.10954272202795449</v>
      </c>
    </row>
    <row r="114" spans="1:13" ht="15.75">
      <c r="A114" s="108"/>
      <c r="B114" s="3" t="s">
        <v>139</v>
      </c>
      <c r="C114" s="29" t="s">
        <v>133</v>
      </c>
      <c r="D114" s="15"/>
      <c r="E114" s="16" t="s">
        <v>436</v>
      </c>
      <c r="F114" s="60">
        <v>885.87283390000005</v>
      </c>
      <c r="G114" s="60">
        <v>1947.64</v>
      </c>
      <c r="H114" s="8">
        <f t="shared" si="9"/>
        <v>9.5090730512045987E-2</v>
      </c>
      <c r="I114" s="8">
        <f t="shared" si="9"/>
        <v>8.145484458488926E-2</v>
      </c>
      <c r="J114" s="8">
        <f t="shared" si="6"/>
        <v>8.145484458488926E-2</v>
      </c>
    </row>
    <row r="115" spans="1:13" ht="15.75">
      <c r="A115" s="108"/>
      <c r="B115" s="3" t="s">
        <v>140</v>
      </c>
      <c r="C115" s="29" t="s">
        <v>148</v>
      </c>
      <c r="D115" s="15"/>
      <c r="E115" s="16" t="s">
        <v>437</v>
      </c>
      <c r="F115" s="60">
        <f>149.6242529+442.3673564</f>
        <v>591.99160929999994</v>
      </c>
      <c r="G115" s="60">
        <f>470.12+1389.92</f>
        <v>1860.04</v>
      </c>
      <c r="H115" s="8">
        <f t="shared" si="9"/>
        <v>6.3545141504692787E-2</v>
      </c>
      <c r="I115" s="8">
        <f t="shared" si="9"/>
        <v>7.7791208396663342E-2</v>
      </c>
      <c r="J115" s="8">
        <f t="shared" si="6"/>
        <v>7.7791208396663342E-2</v>
      </c>
    </row>
    <row r="116" spans="1:13" ht="15.75">
      <c r="A116" s="108"/>
      <c r="B116" s="3" t="s">
        <v>141</v>
      </c>
      <c r="C116" s="29" t="s">
        <v>135</v>
      </c>
      <c r="D116" s="15"/>
      <c r="E116" s="16" t="s">
        <v>438</v>
      </c>
      <c r="F116">
        <v>1371.5178169000001</v>
      </c>
      <c r="G116">
        <v>3156.52</v>
      </c>
      <c r="H116" s="8">
        <f t="shared" si="9"/>
        <v>0.14722048823322376</v>
      </c>
      <c r="I116" s="8">
        <f t="shared" si="9"/>
        <v>0.13201302398240672</v>
      </c>
      <c r="J116" s="8">
        <f t="shared" si="6"/>
        <v>0.13201302398240672</v>
      </c>
    </row>
    <row r="117" spans="1:13" ht="15.75">
      <c r="A117" s="108"/>
      <c r="B117" s="3" t="s">
        <v>142</v>
      </c>
      <c r="C117" s="29" t="s">
        <v>136</v>
      </c>
      <c r="D117" s="15"/>
      <c r="E117" s="16" t="s">
        <v>439</v>
      </c>
      <c r="F117"/>
      <c r="G117"/>
      <c r="H117" s="8">
        <f t="shared" si="9"/>
        <v>0</v>
      </c>
      <c r="I117" s="8">
        <f t="shared" si="9"/>
        <v>0</v>
      </c>
      <c r="J117" s="8">
        <f t="shared" si="6"/>
        <v>0</v>
      </c>
    </row>
    <row r="118" spans="1:13" ht="15.75">
      <c r="A118" s="108"/>
      <c r="B118" s="3" t="s">
        <v>143</v>
      </c>
      <c r="C118" s="29" t="s">
        <v>140</v>
      </c>
      <c r="D118" s="15"/>
      <c r="E118" s="16" t="s">
        <v>440</v>
      </c>
      <c r="F118"/>
      <c r="G118"/>
      <c r="H118" s="8">
        <f t="shared" si="9"/>
        <v>0</v>
      </c>
      <c r="I118" s="8">
        <f t="shared" si="9"/>
        <v>0</v>
      </c>
      <c r="J118" s="8">
        <f t="shared" si="6"/>
        <v>0</v>
      </c>
    </row>
    <row r="119" spans="1:13" ht="15.75">
      <c r="A119" s="108"/>
      <c r="B119" s="3" t="s">
        <v>144</v>
      </c>
      <c r="C119" s="29" t="s">
        <v>139</v>
      </c>
      <c r="D119" s="15"/>
      <c r="E119" s="16" t="s">
        <v>441</v>
      </c>
      <c r="F119" s="65">
        <v>0.14962425300000001</v>
      </c>
      <c r="G119" s="65">
        <v>0.47011999999999998</v>
      </c>
      <c r="H119" s="8">
        <f t="shared" si="9"/>
        <v>1.606085995148066E-5</v>
      </c>
      <c r="I119" s="8">
        <f t="shared" si="9"/>
        <v>1.9661514210145679E-5</v>
      </c>
      <c r="J119" s="8">
        <f t="shared" si="6"/>
        <v>1.9661514210145679E-5</v>
      </c>
    </row>
    <row r="120" spans="1:13" ht="15.75">
      <c r="A120" s="108"/>
      <c r="B120" s="3" t="s">
        <v>145</v>
      </c>
      <c r="C120" s="29" t="s">
        <v>142</v>
      </c>
      <c r="D120" s="15"/>
      <c r="E120" s="16" t="s">
        <v>442</v>
      </c>
      <c r="F120"/>
      <c r="G120"/>
      <c r="H120" s="8">
        <f t="shared" si="9"/>
        <v>0</v>
      </c>
      <c r="I120" s="8">
        <f t="shared" si="9"/>
        <v>0</v>
      </c>
      <c r="J120" s="8">
        <f t="shared" si="6"/>
        <v>0</v>
      </c>
    </row>
    <row r="121" spans="1:13" ht="15.75">
      <c r="A121" s="108"/>
      <c r="B121" s="3" t="s">
        <v>146</v>
      </c>
      <c r="C121" s="29" t="s">
        <v>144</v>
      </c>
      <c r="D121" s="15"/>
      <c r="E121" s="16" t="s">
        <v>443</v>
      </c>
      <c r="F121" s="60">
        <v>79.092736950000003</v>
      </c>
      <c r="G121" s="60">
        <v>394.565</v>
      </c>
      <c r="H121" s="8">
        <f t="shared" si="9"/>
        <v>8.4899162125357409E-3</v>
      </c>
      <c r="I121" s="8">
        <f t="shared" si="9"/>
        <v>1.650162799780084E-2</v>
      </c>
      <c r="J121" s="8">
        <f t="shared" si="6"/>
        <v>1.650162799780084E-2</v>
      </c>
    </row>
    <row r="122" spans="1:13" ht="15.75">
      <c r="A122" s="108"/>
      <c r="B122" s="3" t="s">
        <v>147</v>
      </c>
      <c r="C122" s="29" t="s">
        <v>146</v>
      </c>
      <c r="D122" s="15"/>
      <c r="E122" s="16" t="s">
        <v>444</v>
      </c>
      <c r="F122" s="60">
        <f>123.7973274+149.6242529</f>
        <v>273.42158029999996</v>
      </c>
      <c r="G122" s="60">
        <f>617.58+470.12</f>
        <v>1087.7</v>
      </c>
      <c r="H122" s="8">
        <f t="shared" si="9"/>
        <v>2.9349424447324204E-2</v>
      </c>
      <c r="I122" s="8">
        <f t="shared" si="9"/>
        <v>4.5490149337138304E-2</v>
      </c>
      <c r="J122" s="8">
        <f t="shared" si="6"/>
        <v>4.5490149337138304E-2</v>
      </c>
      <c r="L122" s="60"/>
      <c r="M122" s="60"/>
    </row>
    <row r="123" spans="1:13" ht="15.75">
      <c r="A123" s="108"/>
      <c r="B123" s="3" t="s">
        <v>148</v>
      </c>
      <c r="C123" s="29" t="s">
        <v>147</v>
      </c>
      <c r="D123" s="15"/>
      <c r="E123" s="16" t="s">
        <v>445</v>
      </c>
      <c r="F123" s="60">
        <v>162.63505749999999</v>
      </c>
      <c r="G123" s="60">
        <v>511</v>
      </c>
      <c r="H123" s="8">
        <f t="shared" si="9"/>
        <v>1.7457456457333181E-2</v>
      </c>
      <c r="I123" s="8">
        <f t="shared" si="9"/>
        <v>2.1371211097984438E-2</v>
      </c>
      <c r="J123" s="8">
        <f t="shared" si="6"/>
        <v>2.1371211097984438E-2</v>
      </c>
      <c r="L123" s="60"/>
      <c r="M123" s="60"/>
    </row>
    <row r="124" spans="1:13" ht="15.75">
      <c r="A124" s="108"/>
      <c r="B124" s="3" t="s">
        <v>149</v>
      </c>
      <c r="C124" s="29" t="s">
        <v>150</v>
      </c>
      <c r="D124" s="15"/>
      <c r="E124" s="16" t="s">
        <v>446</v>
      </c>
      <c r="F124" s="60">
        <v>110.5918391</v>
      </c>
      <c r="G124" s="60">
        <v>347.48</v>
      </c>
      <c r="H124" s="8">
        <f t="shared" si="9"/>
        <v>1.1871070390986565E-2</v>
      </c>
      <c r="I124" s="8">
        <f t="shared" si="9"/>
        <v>1.4532423546629418E-2</v>
      </c>
      <c r="J124" s="8">
        <f t="shared" si="6"/>
        <v>1.4532423546629418E-2</v>
      </c>
      <c r="L124" s="60"/>
      <c r="M124" s="60"/>
    </row>
    <row r="125" spans="1:13">
      <c r="A125" s="108"/>
      <c r="B125" s="3" t="s">
        <v>150</v>
      </c>
      <c r="C125" s="29" t="s">
        <v>152</v>
      </c>
      <c r="D125" s="15"/>
      <c r="E125" s="16" t="s">
        <v>447</v>
      </c>
      <c r="F125" s="3">
        <f>1215.6686788+299.2485058+305.473391</f>
        <v>1820.3905755999999</v>
      </c>
      <c r="G125" s="3">
        <f>2955.04+940.24+671.6</f>
        <v>4566.88</v>
      </c>
      <c r="H125" s="8">
        <f t="shared" si="9"/>
        <v>0.19540306805546331</v>
      </c>
      <c r="I125" s="8">
        <f t="shared" si="9"/>
        <v>0.19099756661284376</v>
      </c>
      <c r="J125" s="8">
        <f t="shared" si="6"/>
        <v>0.19099756661284376</v>
      </c>
    </row>
    <row r="126" spans="1:13">
      <c r="A126" s="108"/>
      <c r="B126" s="3" t="s">
        <v>151</v>
      </c>
      <c r="C126" s="29" t="s">
        <v>149</v>
      </c>
      <c r="D126" s="15"/>
      <c r="E126" s="16" t="s">
        <v>448</v>
      </c>
      <c r="H126" s="8">
        <f t="shared" si="9"/>
        <v>0</v>
      </c>
      <c r="I126" s="8">
        <f t="shared" si="9"/>
        <v>0</v>
      </c>
      <c r="J126" s="8">
        <f t="shared" si="6"/>
        <v>0</v>
      </c>
    </row>
    <row r="127" spans="1:13">
      <c r="A127" s="108"/>
      <c r="B127" s="3" t="s">
        <v>152</v>
      </c>
      <c r="C127" s="29" t="s">
        <v>131</v>
      </c>
      <c r="D127" s="15"/>
      <c r="E127" s="16" t="s">
        <v>449</v>
      </c>
      <c r="H127" s="8">
        <f t="shared" si="9"/>
        <v>0</v>
      </c>
      <c r="I127" s="8">
        <f t="shared" si="9"/>
        <v>0</v>
      </c>
      <c r="J127" s="8">
        <f t="shared" si="6"/>
        <v>0</v>
      </c>
    </row>
    <row r="128" spans="1:13">
      <c r="A128" s="108"/>
      <c r="C128" s="29" t="s">
        <v>450</v>
      </c>
      <c r="D128" s="15"/>
      <c r="E128" s="16" t="s">
        <v>451</v>
      </c>
      <c r="H128" s="8">
        <f t="shared" si="9"/>
        <v>0</v>
      </c>
      <c r="I128" s="8">
        <f t="shared" si="9"/>
        <v>0</v>
      </c>
      <c r="J128" s="8">
        <f t="shared" si="6"/>
        <v>0</v>
      </c>
    </row>
    <row r="129" spans="1:10">
      <c r="A129" s="108"/>
      <c r="C129" s="29" t="s">
        <v>452</v>
      </c>
      <c r="D129" s="15"/>
      <c r="E129" s="16" t="s">
        <v>453</v>
      </c>
      <c r="H129" s="8">
        <f t="shared" si="9"/>
        <v>0</v>
      </c>
      <c r="I129" s="8">
        <f t="shared" si="9"/>
        <v>0</v>
      </c>
      <c r="J129" s="8">
        <f t="shared" si="6"/>
        <v>0</v>
      </c>
    </row>
    <row r="130" spans="1:10">
      <c r="A130" s="108"/>
      <c r="C130" s="29" t="s">
        <v>454</v>
      </c>
      <c r="D130" s="15"/>
      <c r="E130" s="16" t="s">
        <v>455</v>
      </c>
      <c r="H130" s="8">
        <f t="shared" si="9"/>
        <v>0</v>
      </c>
      <c r="I130" s="8">
        <f t="shared" si="9"/>
        <v>0</v>
      </c>
      <c r="J130" s="8">
        <f t="shared" si="6"/>
        <v>0</v>
      </c>
    </row>
    <row r="131" spans="1:10">
      <c r="A131" s="108"/>
      <c r="C131" s="29" t="s">
        <v>456</v>
      </c>
      <c r="D131" s="15"/>
      <c r="E131" s="16" t="s">
        <v>457</v>
      </c>
      <c r="H131" s="8">
        <f t="shared" si="9"/>
        <v>0</v>
      </c>
      <c r="I131" s="8">
        <f t="shared" si="9"/>
        <v>0</v>
      </c>
      <c r="J131" s="8">
        <f t="shared" ref="J131:J195" si="10">I131</f>
        <v>0</v>
      </c>
    </row>
    <row r="132" spans="1:10">
      <c r="A132" s="108"/>
      <c r="C132" s="29" t="s">
        <v>458</v>
      </c>
      <c r="D132" s="15"/>
      <c r="E132" s="16" t="s">
        <v>459</v>
      </c>
      <c r="H132" s="8">
        <f t="shared" si="9"/>
        <v>0</v>
      </c>
      <c r="I132" s="8">
        <f t="shared" si="9"/>
        <v>0</v>
      </c>
      <c r="J132" s="8">
        <f t="shared" si="10"/>
        <v>0</v>
      </c>
    </row>
    <row r="133" spans="1:10">
      <c r="A133" s="108" t="s">
        <v>12</v>
      </c>
      <c r="B133" s="3" t="s">
        <v>153</v>
      </c>
      <c r="C133" s="19" t="s">
        <v>460</v>
      </c>
      <c r="D133" s="16"/>
      <c r="E133" s="19" t="s">
        <v>461</v>
      </c>
      <c r="H133" s="8">
        <f>F133/SUM(F$133:F$137)</f>
        <v>0</v>
      </c>
      <c r="I133" s="8">
        <f>G133/SUM(G$133:G$137)</f>
        <v>0</v>
      </c>
      <c r="J133" s="8">
        <f t="shared" si="10"/>
        <v>0</v>
      </c>
    </row>
    <row r="134" spans="1:10">
      <c r="A134" s="108"/>
      <c r="B134" s="3" t="s">
        <v>154</v>
      </c>
      <c r="C134" s="29" t="s">
        <v>154</v>
      </c>
      <c r="D134" s="15"/>
      <c r="E134" s="16" t="s">
        <v>462</v>
      </c>
      <c r="H134" s="8">
        <f>F134/SUM(F$133:F$137)</f>
        <v>0</v>
      </c>
      <c r="I134" s="8">
        <f>G134/SUM(G$133:G$137)</f>
        <v>0</v>
      </c>
      <c r="J134" s="8">
        <f t="shared" si="10"/>
        <v>0</v>
      </c>
    </row>
    <row r="135" spans="1:10">
      <c r="A135" s="108"/>
      <c r="C135" s="29" t="s">
        <v>153</v>
      </c>
      <c r="D135" s="15"/>
      <c r="E135" s="16"/>
      <c r="F135" s="3">
        <f>F133+F136+F137</f>
        <v>318.76471270000002</v>
      </c>
      <c r="G135" s="3">
        <f t="shared" ref="G135:I135" si="11">G133+G136+G137</f>
        <v>1001.56</v>
      </c>
      <c r="H135" s="84">
        <f t="shared" si="11"/>
        <v>1</v>
      </c>
      <c r="I135" s="84">
        <f t="shared" si="11"/>
        <v>1</v>
      </c>
      <c r="J135" s="8">
        <f t="shared" si="10"/>
        <v>1</v>
      </c>
    </row>
    <row r="136" spans="1:10" ht="15.75">
      <c r="A136" s="108"/>
      <c r="C136" s="29" t="s">
        <v>463</v>
      </c>
      <c r="D136" s="15"/>
      <c r="E136" s="16" t="s">
        <v>464</v>
      </c>
      <c r="F136" s="60">
        <v>318.76471270000002</v>
      </c>
      <c r="G136" s="60">
        <v>1001.56</v>
      </c>
      <c r="H136" s="8">
        <f>F136/(SUM(F$133:F$134)+SUM(F136:F137))</f>
        <v>1</v>
      </c>
      <c r="I136" s="8">
        <f>G136/(SUM(G$133:G$134)+SUM(G136:G137))</f>
        <v>1</v>
      </c>
      <c r="J136" s="8">
        <f t="shared" si="10"/>
        <v>1</v>
      </c>
    </row>
    <row r="137" spans="1:10" ht="15.75">
      <c r="A137" s="108"/>
      <c r="C137" s="29" t="s">
        <v>465</v>
      </c>
      <c r="D137" s="15"/>
      <c r="E137" s="16" t="s">
        <v>466</v>
      </c>
      <c r="F137"/>
      <c r="G137"/>
      <c r="H137" s="8">
        <f>F137/SUM(F$133:F$137)</f>
        <v>0</v>
      </c>
      <c r="I137" s="8">
        <f>G137/SUM(G$133:G$137)</f>
        <v>0</v>
      </c>
      <c r="J137" s="8">
        <f t="shared" si="10"/>
        <v>0</v>
      </c>
    </row>
    <row r="138" spans="1:10" ht="15.75">
      <c r="A138" s="108" t="s">
        <v>13</v>
      </c>
      <c r="B138" s="3" t="s">
        <v>155</v>
      </c>
      <c r="C138" s="29" t="s">
        <v>163</v>
      </c>
      <c r="D138" s="15"/>
      <c r="E138" s="16" t="s">
        <v>467</v>
      </c>
      <c r="F138" s="60">
        <f>916.420173+189.1348058</f>
        <v>1105.5549788000001</v>
      </c>
      <c r="G138" s="60">
        <f>2014.8+943.525</f>
        <v>2958.3249999999998</v>
      </c>
      <c r="H138" s="67">
        <f>F138/SUM(F$138:F$158)</f>
        <v>9.6234834266230612E-2</v>
      </c>
      <c r="I138" s="67">
        <f>G138/SUM(G$138:G$158)</f>
        <v>8.3373936343336646E-2</v>
      </c>
      <c r="J138" s="8">
        <f t="shared" si="10"/>
        <v>8.3373936343336646E-2</v>
      </c>
    </row>
    <row r="139" spans="1:10" ht="15.75">
      <c r="A139" s="108"/>
      <c r="B139" s="3" t="s">
        <v>156</v>
      </c>
      <c r="C139" s="29" t="s">
        <v>156</v>
      </c>
      <c r="D139" s="15"/>
      <c r="E139" s="16" t="s">
        <v>468</v>
      </c>
      <c r="F139"/>
      <c r="G139"/>
      <c r="H139" s="67">
        <f t="shared" ref="H139:I158" si="12">F139/SUM(F$138:F$158)</f>
        <v>0</v>
      </c>
      <c r="I139" s="67">
        <f t="shared" si="12"/>
        <v>0</v>
      </c>
      <c r="J139" s="8">
        <f t="shared" si="10"/>
        <v>0</v>
      </c>
    </row>
    <row r="140" spans="1:10" ht="15.75">
      <c r="A140" s="108"/>
      <c r="B140" s="3" t="s">
        <v>157</v>
      </c>
      <c r="C140" s="29" t="s">
        <v>167</v>
      </c>
      <c r="D140" s="15"/>
      <c r="E140" s="16" t="s">
        <v>469</v>
      </c>
      <c r="F140" s="60">
        <f>149.6242529+117.0972414+149.6242529</f>
        <v>416.34574720000001</v>
      </c>
      <c r="G140" s="60">
        <f>470.12+367.92+470.12</f>
        <v>1308.1599999999999</v>
      </c>
      <c r="H140" s="67">
        <f t="shared" si="12"/>
        <v>3.6241493862866722E-2</v>
      </c>
      <c r="I140" s="67">
        <f t="shared" si="12"/>
        <v>3.6867635762432883E-2</v>
      </c>
      <c r="J140" s="8">
        <f t="shared" si="10"/>
        <v>3.6867635762432883E-2</v>
      </c>
    </row>
    <row r="141" spans="1:10" ht="15.75">
      <c r="A141" s="108"/>
      <c r="B141" s="3" t="s">
        <v>158</v>
      </c>
      <c r="C141" s="29" t="s">
        <v>166</v>
      </c>
      <c r="D141" s="15"/>
      <c r="E141" s="16" t="s">
        <v>470</v>
      </c>
      <c r="F141" s="65">
        <f>149.6242529+137.552586+260.216092+367.55523</f>
        <v>914.94816089999995</v>
      </c>
      <c r="G141" s="65">
        <f>470.12+686.2+817.6+5801.32259</f>
        <v>7775.2425899999998</v>
      </c>
      <c r="H141" s="67">
        <f t="shared" si="12"/>
        <v>7.9643153271288042E-2</v>
      </c>
      <c r="I141" s="67">
        <f t="shared" si="12"/>
        <v>0.21912825019315321</v>
      </c>
      <c r="J141" s="8">
        <f t="shared" si="10"/>
        <v>0.21912825019315321</v>
      </c>
    </row>
    <row r="142" spans="1:10" ht="15.75">
      <c r="A142" s="108"/>
      <c r="B142" s="3" t="s">
        <v>159</v>
      </c>
      <c r="C142" s="29" t="s">
        <v>175</v>
      </c>
      <c r="D142" s="15"/>
      <c r="E142" s="16" t="s">
        <v>471</v>
      </c>
      <c r="F142" s="60">
        <f>878.235999125+65.054023+878.2359991</f>
        <v>1821.526021225</v>
      </c>
      <c r="G142" s="60">
        <f>1930.85+204.4+1930.85</f>
        <v>4066.1</v>
      </c>
      <c r="H142" s="67">
        <f t="shared" si="12"/>
        <v>0.15855770009238579</v>
      </c>
      <c r="I142" s="67">
        <f t="shared" si="12"/>
        <v>0.11459415803390133</v>
      </c>
      <c r="J142" s="8">
        <f t="shared" si="10"/>
        <v>0.11459415803390133</v>
      </c>
    </row>
    <row r="143" spans="1:10" ht="15.75">
      <c r="A143" s="108"/>
      <c r="B143" s="3" t="s">
        <v>160</v>
      </c>
      <c r="C143" s="29" t="s">
        <v>164</v>
      </c>
      <c r="D143" s="15"/>
      <c r="E143" s="16" t="s">
        <v>472</v>
      </c>
      <c r="F143"/>
      <c r="G143"/>
      <c r="H143" s="67">
        <f t="shared" si="12"/>
        <v>0</v>
      </c>
      <c r="I143" s="67">
        <f t="shared" si="12"/>
        <v>0</v>
      </c>
      <c r="J143" s="8">
        <f t="shared" si="10"/>
        <v>0</v>
      </c>
    </row>
    <row r="144" spans="1:10" ht="15.75">
      <c r="A144" s="108"/>
      <c r="B144" s="3" t="s">
        <v>161</v>
      </c>
      <c r="C144" s="29" t="s">
        <v>171</v>
      </c>
      <c r="D144" s="15"/>
      <c r="E144" s="16" t="s">
        <v>473</v>
      </c>
      <c r="F144" s="60">
        <f>149.6242529+763.6834775</f>
        <v>913.30773039999997</v>
      </c>
      <c r="G144" s="60">
        <f>470.12+1679</f>
        <v>2149.12</v>
      </c>
      <c r="H144" s="67">
        <f t="shared" si="12"/>
        <v>7.9500359325875999E-2</v>
      </c>
      <c r="I144" s="67">
        <f t="shared" si="12"/>
        <v>6.0568258752568313E-2</v>
      </c>
      <c r="J144" s="8">
        <f t="shared" si="10"/>
        <v>6.0568258752568313E-2</v>
      </c>
    </row>
    <row r="145" spans="1:12" ht="15.75">
      <c r="A145" s="108"/>
      <c r="B145" s="3" t="s">
        <v>162</v>
      </c>
      <c r="C145" s="29" t="s">
        <v>174</v>
      </c>
      <c r="D145" s="32"/>
      <c r="E145" s="16" t="s">
        <v>474</v>
      </c>
      <c r="F145" s="60">
        <f>878.235999125+149.6242529+149.6242529</f>
        <v>1177.4845049250002</v>
      </c>
      <c r="G145" s="60">
        <f>1930.85+470.12+470.12</f>
        <v>2871.0899999999997</v>
      </c>
      <c r="H145" s="67">
        <f t="shared" si="12"/>
        <v>0.10249605705317999</v>
      </c>
      <c r="I145" s="67">
        <f t="shared" si="12"/>
        <v>8.0915408177259229E-2</v>
      </c>
      <c r="J145" s="8">
        <f t="shared" si="10"/>
        <v>8.0915408177259229E-2</v>
      </c>
    </row>
    <row r="146" spans="1:12" ht="15.75">
      <c r="A146" s="108"/>
      <c r="B146" s="3" t="s">
        <v>163</v>
      </c>
      <c r="C146" s="29" t="s">
        <v>173</v>
      </c>
      <c r="D146" s="15"/>
      <c r="E146" s="16" t="s">
        <v>475</v>
      </c>
      <c r="F146"/>
      <c r="G146"/>
      <c r="H146" s="67">
        <f t="shared" si="12"/>
        <v>0</v>
      </c>
      <c r="I146" s="67">
        <f t="shared" si="12"/>
        <v>0</v>
      </c>
      <c r="J146" s="8">
        <f t="shared" si="10"/>
        <v>0</v>
      </c>
    </row>
    <row r="147" spans="1:12" ht="15.75">
      <c r="A147" s="108"/>
      <c r="B147" s="3" t="s">
        <v>164</v>
      </c>
      <c r="C147" s="29" t="s">
        <v>172</v>
      </c>
      <c r="D147" s="15"/>
      <c r="E147" s="16" t="s">
        <v>476</v>
      </c>
      <c r="F147"/>
      <c r="G147"/>
      <c r="H147" s="67">
        <f t="shared" si="12"/>
        <v>0</v>
      </c>
      <c r="I147" s="67">
        <f t="shared" si="12"/>
        <v>0</v>
      </c>
      <c r="J147" s="8">
        <f t="shared" si="10"/>
        <v>0</v>
      </c>
    </row>
    <row r="148" spans="1:12" ht="15.75">
      <c r="A148" s="108"/>
      <c r="B148" s="3" t="s">
        <v>165</v>
      </c>
      <c r="C148" s="29" t="s">
        <v>161</v>
      </c>
      <c r="D148" s="32"/>
      <c r="E148" s="16" t="s">
        <v>477</v>
      </c>
      <c r="F148" s="60">
        <v>149.62425289999999</v>
      </c>
      <c r="G148" s="60">
        <v>470.12</v>
      </c>
      <c r="H148" s="67">
        <f t="shared" si="12"/>
        <v>1.3024286856967727E-2</v>
      </c>
      <c r="I148" s="67">
        <f t="shared" si="12"/>
        <v>1.324930660212432E-2</v>
      </c>
      <c r="J148" s="8">
        <f t="shared" si="10"/>
        <v>1.324930660212432E-2</v>
      </c>
    </row>
    <row r="149" spans="1:12" ht="15.75">
      <c r="A149" s="108"/>
      <c r="B149" s="3" t="s">
        <v>166</v>
      </c>
      <c r="C149" s="29" t="s">
        <v>162</v>
      </c>
      <c r="D149" s="15"/>
      <c r="E149" s="16" t="s">
        <v>478</v>
      </c>
      <c r="F149"/>
      <c r="G149"/>
      <c r="H149" s="67">
        <f t="shared" si="12"/>
        <v>0</v>
      </c>
      <c r="I149" s="67">
        <f t="shared" si="12"/>
        <v>0</v>
      </c>
      <c r="J149" s="8">
        <f t="shared" si="10"/>
        <v>0</v>
      </c>
    </row>
    <row r="150" spans="1:12" ht="29.25">
      <c r="A150" s="108"/>
      <c r="B150" s="3" t="s">
        <v>167</v>
      </c>
      <c r="C150" s="29" t="s">
        <v>158</v>
      </c>
      <c r="D150" s="15"/>
      <c r="E150" s="16" t="s">
        <v>479</v>
      </c>
      <c r="F150"/>
      <c r="G150"/>
      <c r="H150" s="67">
        <f t="shared" si="12"/>
        <v>0</v>
      </c>
      <c r="I150" s="67">
        <f t="shared" si="12"/>
        <v>0</v>
      </c>
      <c r="J150" s="8">
        <f t="shared" si="10"/>
        <v>0</v>
      </c>
      <c r="K150" s="66"/>
      <c r="L150" s="66"/>
    </row>
    <row r="151" spans="1:12" ht="15.75">
      <c r="A151" s="108"/>
      <c r="B151" s="3" t="s">
        <v>168</v>
      </c>
      <c r="C151" s="29" t="s">
        <v>159</v>
      </c>
      <c r="D151" s="15"/>
      <c r="E151" s="16" t="s">
        <v>480</v>
      </c>
      <c r="F151" s="60">
        <f>149.6242529+149.6242529+149.6242529+149.6242529</f>
        <v>598.49701159999995</v>
      </c>
      <c r="G151" s="60">
        <f>470.12+470.12+470.12+470.12</f>
        <v>1880.48</v>
      </c>
      <c r="H151" s="67">
        <f t="shared" si="12"/>
        <v>5.2097147427870909E-2</v>
      </c>
      <c r="I151" s="67">
        <f t="shared" si="12"/>
        <v>5.2997226408497279E-2</v>
      </c>
      <c r="J151" s="8">
        <f t="shared" si="10"/>
        <v>5.2997226408497279E-2</v>
      </c>
      <c r="K151" s="60"/>
      <c r="L151" s="60"/>
    </row>
    <row r="152" spans="1:12" ht="15.75">
      <c r="A152" s="108"/>
      <c r="B152" s="3" t="s">
        <v>169</v>
      </c>
      <c r="C152" s="29" t="s">
        <v>155</v>
      </c>
      <c r="D152" s="32"/>
      <c r="E152" s="16" t="s">
        <v>481</v>
      </c>
      <c r="F152">
        <f>1501.90638+149.6242529+396.8295403+153.5274943+149.6242529</f>
        <v>2351.5119204000002</v>
      </c>
      <c r="G152">
        <f>3854.4+470.12+1246.84+482.384+470.12</f>
        <v>6523.8640000000005</v>
      </c>
      <c r="H152" s="67">
        <f t="shared" si="12"/>
        <v>0.20469118612299961</v>
      </c>
      <c r="I152" s="67">
        <f t="shared" si="12"/>
        <v>0.18386087459916867</v>
      </c>
      <c r="J152" s="8">
        <f t="shared" si="10"/>
        <v>0.18386087459916867</v>
      </c>
      <c r="K152" s="60"/>
      <c r="L152" s="60"/>
    </row>
    <row r="153" spans="1:12" ht="15.75">
      <c r="A153" s="108"/>
      <c r="B153" s="3" t="s">
        <v>170</v>
      </c>
      <c r="C153" s="29" t="s">
        <v>169</v>
      </c>
      <c r="D153" s="15"/>
      <c r="E153" s="16" t="s">
        <v>482</v>
      </c>
      <c r="F153" s="65">
        <f>840.0518253+149.6242529+149.6242529</f>
        <v>1139.3003311</v>
      </c>
      <c r="G153" s="65">
        <f>1846.9+470.12+470.12</f>
        <v>2787.14</v>
      </c>
      <c r="H153" s="67">
        <f t="shared" si="12"/>
        <v>9.9172253434086893E-2</v>
      </c>
      <c r="I153" s="67">
        <f t="shared" si="12"/>
        <v>7.8549460569737037E-2</v>
      </c>
      <c r="J153" s="8">
        <f t="shared" si="10"/>
        <v>7.8549460569737037E-2</v>
      </c>
    </row>
    <row r="154" spans="1:12" ht="15.75">
      <c r="A154" s="108"/>
      <c r="B154" s="3" t="s">
        <v>171</v>
      </c>
      <c r="C154" s="29" t="s">
        <v>170</v>
      </c>
      <c r="D154" s="15"/>
      <c r="E154" s="16" t="s">
        <v>483</v>
      </c>
      <c r="F154" s="60">
        <v>149.62425289999999</v>
      </c>
      <c r="G154" s="60">
        <v>470.12</v>
      </c>
      <c r="H154" s="67">
        <f t="shared" si="12"/>
        <v>1.3024286856967727E-2</v>
      </c>
      <c r="I154" s="67">
        <f t="shared" si="12"/>
        <v>1.324930660212432E-2</v>
      </c>
      <c r="J154" s="8">
        <f t="shared" si="10"/>
        <v>1.324930660212432E-2</v>
      </c>
    </row>
    <row r="155" spans="1:12" ht="15.75">
      <c r="A155" s="108"/>
      <c r="B155" s="3" t="s">
        <v>172</v>
      </c>
      <c r="C155" s="29" t="s">
        <v>160</v>
      </c>
      <c r="D155" s="15"/>
      <c r="E155" s="16" t="s">
        <v>484</v>
      </c>
      <c r="F155" s="60">
        <f>183.2840346+247.2052874+20.6328879</f>
        <v>451.12220990000003</v>
      </c>
      <c r="G155" s="60">
        <f>402.96+776.72+102.93</f>
        <v>1282.6100000000001</v>
      </c>
      <c r="H155" s="67">
        <f t="shared" si="12"/>
        <v>3.9268667715344742E-2</v>
      </c>
      <c r="I155" s="67">
        <f t="shared" si="12"/>
        <v>3.6147564751447876E-2</v>
      </c>
      <c r="J155" s="8">
        <f t="shared" si="10"/>
        <v>3.6147564751447876E-2</v>
      </c>
    </row>
    <row r="156" spans="1:12" ht="15.75">
      <c r="A156" s="108"/>
      <c r="B156" s="3" t="s">
        <v>173</v>
      </c>
      <c r="C156" s="29" t="s">
        <v>157</v>
      </c>
      <c r="D156" s="15"/>
      <c r="E156" s="16" t="s">
        <v>485</v>
      </c>
      <c r="F156" s="60">
        <v>149.62425289999999</v>
      </c>
      <c r="G156" s="60">
        <v>470.12</v>
      </c>
      <c r="H156" s="67">
        <f t="shared" si="12"/>
        <v>1.3024286856967727E-2</v>
      </c>
      <c r="I156" s="67">
        <f t="shared" si="12"/>
        <v>1.324930660212432E-2</v>
      </c>
      <c r="J156" s="8">
        <f t="shared" si="10"/>
        <v>1.324930660212432E-2</v>
      </c>
    </row>
    <row r="157" spans="1:12" ht="15.75">
      <c r="A157" s="108"/>
      <c r="B157" s="3" t="s">
        <v>174</v>
      </c>
      <c r="C157" s="29" t="s">
        <v>165</v>
      </c>
      <c r="D157" s="15"/>
      <c r="E157" s="16" t="s">
        <v>486</v>
      </c>
      <c r="F157"/>
      <c r="G157"/>
      <c r="H157" s="67">
        <f t="shared" si="12"/>
        <v>0</v>
      </c>
      <c r="I157" s="67">
        <f t="shared" si="12"/>
        <v>0</v>
      </c>
      <c r="J157" s="8">
        <f t="shared" si="10"/>
        <v>0</v>
      </c>
    </row>
    <row r="158" spans="1:12" ht="15.75">
      <c r="A158" s="108"/>
      <c r="B158" s="3" t="s">
        <v>175</v>
      </c>
      <c r="C158" s="29" t="s">
        <v>168</v>
      </c>
      <c r="D158" s="15"/>
      <c r="E158" s="16" t="s">
        <v>487</v>
      </c>
      <c r="F158" s="60">
        <v>149.62425289999999</v>
      </c>
      <c r="G158" s="60">
        <v>470.12</v>
      </c>
      <c r="H158" s="67">
        <f t="shared" si="12"/>
        <v>1.3024286856967727E-2</v>
      </c>
      <c r="I158" s="67">
        <f t="shared" si="12"/>
        <v>1.324930660212432E-2</v>
      </c>
      <c r="J158" s="8">
        <f t="shared" si="10"/>
        <v>1.324930660212432E-2</v>
      </c>
    </row>
    <row r="159" spans="1:12">
      <c r="A159" s="26" t="s">
        <v>624</v>
      </c>
      <c r="C159" s="29" t="s">
        <v>488</v>
      </c>
      <c r="D159" s="15"/>
      <c r="E159" s="16" t="s">
        <v>489</v>
      </c>
      <c r="J159" s="8">
        <v>1</v>
      </c>
      <c r="K159" s="91" t="s">
        <v>950</v>
      </c>
    </row>
    <row r="160" spans="1:12">
      <c r="A160" s="26" t="s">
        <v>14</v>
      </c>
      <c r="B160" s="3" t="s">
        <v>176</v>
      </c>
      <c r="C160" s="29" t="s">
        <v>176</v>
      </c>
      <c r="D160" s="15"/>
      <c r="E160" s="16" t="s">
        <v>490</v>
      </c>
      <c r="J160" s="8">
        <v>1</v>
      </c>
      <c r="K160" s="91" t="s">
        <v>950</v>
      </c>
    </row>
    <row r="161" spans="1:11">
      <c r="A161" s="108" t="s">
        <v>623</v>
      </c>
      <c r="B161" s="3" t="s">
        <v>491</v>
      </c>
      <c r="C161" s="29" t="s">
        <v>491</v>
      </c>
      <c r="D161" s="15"/>
      <c r="E161" s="16" t="s">
        <v>492</v>
      </c>
      <c r="H161" s="8">
        <f>F161/SUM(F$161:F$162)</f>
        <v>0</v>
      </c>
      <c r="I161" s="8">
        <f>G161/SUM(G$161:G$162)</f>
        <v>0</v>
      </c>
      <c r="J161" s="8">
        <f t="shared" si="10"/>
        <v>0</v>
      </c>
    </row>
    <row r="162" spans="1:11">
      <c r="A162" s="108"/>
      <c r="B162" s="3" t="s">
        <v>493</v>
      </c>
      <c r="C162" s="29" t="s">
        <v>493</v>
      </c>
      <c r="D162" s="15"/>
      <c r="E162" s="16" t="s">
        <v>494</v>
      </c>
      <c r="F162" s="3">
        <v>299.24850579999998</v>
      </c>
      <c r="G162" s="3">
        <v>1632.2399999999998</v>
      </c>
      <c r="H162" s="8">
        <f>F162/SUM(F$161:F$162)</f>
        <v>1</v>
      </c>
      <c r="I162" s="8">
        <f>G162/SUM(G$161:G$162)</f>
        <v>1</v>
      </c>
      <c r="J162" s="8">
        <f t="shared" si="10"/>
        <v>1</v>
      </c>
    </row>
    <row r="163" spans="1:11">
      <c r="A163" s="26" t="s">
        <v>15</v>
      </c>
      <c r="B163" s="3" t="s">
        <v>177</v>
      </c>
      <c r="C163" s="29" t="s">
        <v>177</v>
      </c>
      <c r="D163" s="15"/>
      <c r="E163" s="16" t="s">
        <v>15</v>
      </c>
      <c r="F163" s="3">
        <v>1832.840346</v>
      </c>
      <c r="G163" s="3">
        <v>4029.6</v>
      </c>
      <c r="H163" s="8">
        <v>1</v>
      </c>
      <c r="I163" s="8">
        <v>1</v>
      </c>
      <c r="J163" s="8">
        <f t="shared" si="10"/>
        <v>1</v>
      </c>
    </row>
    <row r="164" spans="1:11">
      <c r="A164" s="108" t="s">
        <v>16</v>
      </c>
      <c r="B164" s="3" t="s">
        <v>178</v>
      </c>
      <c r="C164" s="29" t="s">
        <v>182</v>
      </c>
      <c r="D164" s="15"/>
      <c r="E164" s="16" t="s">
        <v>495</v>
      </c>
      <c r="H164" s="8">
        <f t="shared" ref="H164:I170" si="13">F164/SUM(F$164:F$171)</f>
        <v>0</v>
      </c>
      <c r="I164" s="8">
        <f t="shared" si="13"/>
        <v>0</v>
      </c>
      <c r="J164" s="8">
        <f t="shared" si="10"/>
        <v>0</v>
      </c>
    </row>
    <row r="165" spans="1:11">
      <c r="A165" s="108"/>
      <c r="B165" s="3" t="s">
        <v>179</v>
      </c>
      <c r="C165" s="29" t="s">
        <v>181</v>
      </c>
      <c r="D165" s="15"/>
      <c r="E165" s="16" t="s">
        <v>496</v>
      </c>
      <c r="H165" s="8">
        <f t="shared" si="13"/>
        <v>0</v>
      </c>
      <c r="I165" s="8">
        <f t="shared" si="13"/>
        <v>0</v>
      </c>
      <c r="J165" s="8">
        <f t="shared" si="10"/>
        <v>0</v>
      </c>
    </row>
    <row r="166" spans="1:11">
      <c r="A166" s="108"/>
      <c r="B166" s="3" t="s">
        <v>180</v>
      </c>
      <c r="C166" s="29" t="s">
        <v>180</v>
      </c>
      <c r="D166" s="15"/>
      <c r="E166" s="16" t="s">
        <v>497</v>
      </c>
      <c r="H166" s="8">
        <f t="shared" si="13"/>
        <v>0</v>
      </c>
      <c r="I166" s="8">
        <f t="shared" si="13"/>
        <v>0</v>
      </c>
      <c r="J166" s="8">
        <f t="shared" si="10"/>
        <v>0</v>
      </c>
    </row>
    <row r="167" spans="1:11">
      <c r="A167" s="108"/>
      <c r="B167" s="3" t="s">
        <v>181</v>
      </c>
      <c r="C167" s="29" t="s">
        <v>179</v>
      </c>
      <c r="D167" s="15"/>
      <c r="E167" s="16" t="s">
        <v>498</v>
      </c>
      <c r="H167" s="8">
        <f t="shared" si="13"/>
        <v>0</v>
      </c>
      <c r="I167" s="8">
        <f t="shared" si="13"/>
        <v>0</v>
      </c>
      <c r="J167" s="8">
        <f t="shared" si="10"/>
        <v>0</v>
      </c>
    </row>
    <row r="168" spans="1:11">
      <c r="A168" s="108"/>
      <c r="B168" s="3" t="s">
        <v>182</v>
      </c>
      <c r="C168" s="29" t="s">
        <v>184</v>
      </c>
      <c r="D168" s="15"/>
      <c r="E168" s="16" t="s">
        <v>499</v>
      </c>
      <c r="H168" s="8">
        <f t="shared" si="13"/>
        <v>0</v>
      </c>
      <c r="I168" s="8">
        <f t="shared" si="13"/>
        <v>0</v>
      </c>
      <c r="J168" s="8">
        <f t="shared" si="10"/>
        <v>0</v>
      </c>
    </row>
    <row r="169" spans="1:11">
      <c r="A169" s="108"/>
      <c r="B169" s="3" t="s">
        <v>183</v>
      </c>
      <c r="C169" s="29" t="s">
        <v>183</v>
      </c>
      <c r="D169" s="32"/>
      <c r="E169" s="16" t="s">
        <v>500</v>
      </c>
      <c r="H169" s="8">
        <f t="shared" si="13"/>
        <v>0</v>
      </c>
      <c r="I169" s="8">
        <f t="shared" si="13"/>
        <v>0</v>
      </c>
      <c r="J169" s="8">
        <f t="shared" si="10"/>
        <v>0</v>
      </c>
    </row>
    <row r="170" spans="1:11">
      <c r="A170" s="108"/>
      <c r="B170" s="3" t="s">
        <v>184</v>
      </c>
      <c r="C170" s="29" t="s">
        <v>178</v>
      </c>
      <c r="D170" s="15"/>
      <c r="E170" s="16" t="s">
        <v>501</v>
      </c>
      <c r="H170" s="8">
        <f t="shared" si="13"/>
        <v>0</v>
      </c>
      <c r="I170" s="8">
        <f t="shared" si="13"/>
        <v>0</v>
      </c>
      <c r="J170" s="8">
        <f t="shared" si="10"/>
        <v>0</v>
      </c>
    </row>
    <row r="171" spans="1:11" ht="15.75">
      <c r="A171" s="108"/>
      <c r="B171" s="3" t="s">
        <v>185</v>
      </c>
      <c r="C171" s="29" t="s">
        <v>185</v>
      </c>
      <c r="D171" s="15"/>
      <c r="E171" s="16" t="s">
        <v>502</v>
      </c>
      <c r="F171" s="60">
        <f>878.235999125+149.6242529</f>
        <v>1027.8602520250001</v>
      </c>
      <c r="G171" s="60">
        <f>1930.85+470.12</f>
        <v>2400.9699999999998</v>
      </c>
      <c r="H171" s="8">
        <f>F171/SUM(F$164:F$171)</f>
        <v>1</v>
      </c>
      <c r="I171" s="8">
        <f>G171/SUM(G$164:G$171)</f>
        <v>1</v>
      </c>
      <c r="J171" s="8">
        <f t="shared" si="10"/>
        <v>1</v>
      </c>
    </row>
    <row r="172" spans="1:11">
      <c r="A172" s="26" t="s">
        <v>504</v>
      </c>
      <c r="C172" s="29" t="s">
        <v>503</v>
      </c>
      <c r="D172" s="15"/>
      <c r="E172" s="16" t="s">
        <v>504</v>
      </c>
      <c r="J172" s="8">
        <v>1</v>
      </c>
      <c r="K172" s="91" t="s">
        <v>950</v>
      </c>
    </row>
    <row r="173" spans="1:11">
      <c r="A173" s="108" t="s">
        <v>17</v>
      </c>
      <c r="B173" s="3" t="s">
        <v>186</v>
      </c>
      <c r="C173" s="29" t="s">
        <v>193</v>
      </c>
      <c r="D173" s="15"/>
      <c r="E173" s="16" t="s">
        <v>505</v>
      </c>
      <c r="H173" s="8">
        <f>F173/SUM(F$173:F$184)</f>
        <v>0</v>
      </c>
      <c r="I173" s="8">
        <f>G173/SUM(G$173:G$184)</f>
        <v>0</v>
      </c>
      <c r="J173" s="8">
        <f t="shared" si="10"/>
        <v>0</v>
      </c>
    </row>
    <row r="174" spans="1:11">
      <c r="A174" s="108"/>
      <c r="B174" s="3" t="s">
        <v>187</v>
      </c>
      <c r="C174" s="29" t="s">
        <v>195</v>
      </c>
      <c r="D174" s="15"/>
      <c r="E174" s="16" t="s">
        <v>506</v>
      </c>
      <c r="H174" s="8">
        <f t="shared" ref="H174:I184" si="14">F174/SUM(F$173:F$184)</f>
        <v>0</v>
      </c>
      <c r="I174" s="8">
        <f t="shared" si="14"/>
        <v>0</v>
      </c>
      <c r="J174" s="8">
        <f t="shared" si="10"/>
        <v>0</v>
      </c>
    </row>
    <row r="175" spans="1:11">
      <c r="A175" s="108"/>
      <c r="B175" s="3" t="s">
        <v>188</v>
      </c>
      <c r="C175" s="29" t="s">
        <v>197</v>
      </c>
      <c r="D175" s="15"/>
      <c r="E175" s="16" t="s">
        <v>507</v>
      </c>
      <c r="H175" s="8">
        <f t="shared" si="14"/>
        <v>0</v>
      </c>
      <c r="I175" s="8">
        <f t="shared" si="14"/>
        <v>0</v>
      </c>
      <c r="J175" s="8">
        <f t="shared" si="10"/>
        <v>0</v>
      </c>
    </row>
    <row r="176" spans="1:11">
      <c r="A176" s="108"/>
      <c r="B176" s="3" t="s">
        <v>189</v>
      </c>
      <c r="C176" s="29" t="s">
        <v>188</v>
      </c>
      <c r="D176" s="15"/>
      <c r="E176" s="16" t="s">
        <v>508</v>
      </c>
      <c r="H176" s="8">
        <f t="shared" si="14"/>
        <v>0</v>
      </c>
      <c r="I176" s="8">
        <f t="shared" si="14"/>
        <v>0</v>
      </c>
      <c r="J176" s="8">
        <f t="shared" si="10"/>
        <v>0</v>
      </c>
    </row>
    <row r="177" spans="1:10" ht="15.75">
      <c r="A177" s="108"/>
      <c r="B177" s="3" t="s">
        <v>190</v>
      </c>
      <c r="C177" s="29" t="s">
        <v>194</v>
      </c>
      <c r="D177" s="15"/>
      <c r="E177" s="16" t="s">
        <v>509</v>
      </c>
      <c r="F177" s="60">
        <v>824.77815569999996</v>
      </c>
      <c r="G177" s="60">
        <v>1813.32</v>
      </c>
      <c r="H177" s="8">
        <f t="shared" si="14"/>
        <v>0.3849091844654412</v>
      </c>
      <c r="I177" s="8">
        <f t="shared" si="14"/>
        <v>3.1663579168521279E-3</v>
      </c>
      <c r="J177" s="8">
        <f t="shared" si="10"/>
        <v>3.1663579168521279E-3</v>
      </c>
    </row>
    <row r="178" spans="1:10">
      <c r="A178" s="108"/>
      <c r="B178" s="3" t="s">
        <v>191</v>
      </c>
      <c r="C178" s="29" t="s">
        <v>196</v>
      </c>
      <c r="D178" s="15"/>
      <c r="E178" s="16" t="s">
        <v>510</v>
      </c>
      <c r="H178" s="8">
        <f t="shared" si="14"/>
        <v>0</v>
      </c>
      <c r="I178" s="8">
        <f t="shared" si="14"/>
        <v>0</v>
      </c>
      <c r="J178" s="8">
        <f t="shared" si="10"/>
        <v>0</v>
      </c>
    </row>
    <row r="179" spans="1:10">
      <c r="A179" s="108"/>
      <c r="B179" s="3" t="s">
        <v>192</v>
      </c>
      <c r="C179" s="29" t="s">
        <v>190</v>
      </c>
      <c r="D179" s="15"/>
      <c r="E179" s="16" t="s">
        <v>511</v>
      </c>
      <c r="H179" s="8">
        <f t="shared" si="14"/>
        <v>0</v>
      </c>
      <c r="I179" s="8">
        <f t="shared" si="14"/>
        <v>0</v>
      </c>
      <c r="J179" s="8">
        <f t="shared" si="10"/>
        <v>0</v>
      </c>
    </row>
    <row r="180" spans="1:10">
      <c r="A180" s="108"/>
      <c r="B180" s="3" t="s">
        <v>193</v>
      </c>
      <c r="C180" s="29" t="s">
        <v>189</v>
      </c>
      <c r="D180" s="15"/>
      <c r="E180" s="16" t="s">
        <v>512</v>
      </c>
      <c r="H180" s="8">
        <f t="shared" si="14"/>
        <v>0</v>
      </c>
      <c r="I180" s="8">
        <f t="shared" si="14"/>
        <v>0</v>
      </c>
      <c r="J180" s="8">
        <f t="shared" si="10"/>
        <v>0</v>
      </c>
    </row>
    <row r="181" spans="1:10" ht="15.75">
      <c r="A181" s="108"/>
      <c r="B181" s="3" t="s">
        <v>194</v>
      </c>
      <c r="C181" s="29" t="s">
        <v>186</v>
      </c>
      <c r="D181" s="15"/>
      <c r="E181" s="16" t="s">
        <v>513</v>
      </c>
      <c r="F181" s="60">
        <f>423.87905885+149.6242529</f>
        <v>573.50331174999997</v>
      </c>
      <c r="G181" s="60">
        <f>1477.885+470.12</f>
        <v>1948.0050000000001</v>
      </c>
      <c r="H181" s="8">
        <f t="shared" si="14"/>
        <v>0.26764371787534985</v>
      </c>
      <c r="I181" s="8">
        <f t="shared" si="14"/>
        <v>3.4015402983574492E-3</v>
      </c>
      <c r="J181" s="8">
        <f t="shared" si="10"/>
        <v>3.4015402983574492E-3</v>
      </c>
    </row>
    <row r="182" spans="1:10">
      <c r="A182" s="108"/>
      <c r="B182" s="3" t="s">
        <v>195</v>
      </c>
      <c r="C182" s="29" t="s">
        <v>187</v>
      </c>
      <c r="D182" s="32"/>
      <c r="E182" s="16" t="s">
        <v>514</v>
      </c>
      <c r="H182" s="8">
        <f t="shared" si="14"/>
        <v>0</v>
      </c>
      <c r="I182" s="8">
        <f t="shared" si="14"/>
        <v>0</v>
      </c>
      <c r="J182" s="8">
        <f t="shared" si="10"/>
        <v>0</v>
      </c>
    </row>
    <row r="183" spans="1:10">
      <c r="A183" s="108"/>
      <c r="B183" s="3" t="s">
        <v>196</v>
      </c>
      <c r="C183" s="29" t="s">
        <v>191</v>
      </c>
      <c r="D183" s="32"/>
      <c r="E183" s="16" t="s">
        <v>515</v>
      </c>
      <c r="F183" s="3">
        <v>594.88065365</v>
      </c>
      <c r="G183" s="3">
        <v>568451.76</v>
      </c>
      <c r="H183" s="8">
        <f t="shared" si="14"/>
        <v>0.27762014023802073</v>
      </c>
      <c r="I183" s="8">
        <f t="shared" si="14"/>
        <v>0.99261119417671773</v>
      </c>
      <c r="J183" s="8">
        <f t="shared" si="10"/>
        <v>0.99261119417671773</v>
      </c>
    </row>
    <row r="184" spans="1:10" ht="15.75">
      <c r="A184" s="108"/>
      <c r="B184" s="3" t="s">
        <v>197</v>
      </c>
      <c r="C184" s="29" t="s">
        <v>192</v>
      </c>
      <c r="D184" s="32"/>
      <c r="E184" s="16" t="s">
        <v>516</v>
      </c>
      <c r="F184" s="60">
        <v>149.62425289999999</v>
      </c>
      <c r="G184" s="60">
        <v>470.12</v>
      </c>
      <c r="H184" s="8">
        <f t="shared" si="14"/>
        <v>6.9826957421188066E-2</v>
      </c>
      <c r="I184" s="8">
        <f t="shared" si="14"/>
        <v>8.2090760807277394E-4</v>
      </c>
      <c r="J184" s="8">
        <f t="shared" si="10"/>
        <v>8.2090760807277394E-4</v>
      </c>
    </row>
    <row r="185" spans="1:10">
      <c r="A185" s="108" t="s">
        <v>18</v>
      </c>
      <c r="B185" s="3" t="s">
        <v>198</v>
      </c>
      <c r="C185" s="5" t="s">
        <v>206</v>
      </c>
      <c r="D185" s="6"/>
      <c r="E185" s="7" t="s">
        <v>517</v>
      </c>
      <c r="H185" s="8">
        <f>F185/SUM(F$185:F$193)</f>
        <v>0</v>
      </c>
      <c r="I185" s="8">
        <f>G185/SUM(G$185:G$193)</f>
        <v>0</v>
      </c>
      <c r="J185" s="8">
        <f t="shared" si="10"/>
        <v>0</v>
      </c>
    </row>
    <row r="186" spans="1:10">
      <c r="A186" s="108"/>
      <c r="B186" s="3" t="s">
        <v>199</v>
      </c>
      <c r="C186" s="5" t="s">
        <v>204</v>
      </c>
      <c r="D186" s="6"/>
      <c r="E186" s="7" t="s">
        <v>518</v>
      </c>
      <c r="F186" s="64">
        <v>182.1512644</v>
      </c>
      <c r="G186" s="64">
        <v>572.32000000000005</v>
      </c>
      <c r="H186" s="8">
        <f t="shared" ref="H186:I193" si="15">F186/SUM(F$185:F$193)</f>
        <v>0.32941176470588229</v>
      </c>
      <c r="I186" s="8">
        <f t="shared" si="15"/>
        <v>0.32941176470588235</v>
      </c>
      <c r="J186" s="8">
        <f t="shared" si="10"/>
        <v>0.32941176470588235</v>
      </c>
    </row>
    <row r="187" spans="1:10">
      <c r="A187" s="108"/>
      <c r="B187" s="3" t="s">
        <v>200</v>
      </c>
      <c r="C187" s="5" t="s">
        <v>203</v>
      </c>
      <c r="D187" s="6"/>
      <c r="E187" s="7" t="s">
        <v>519</v>
      </c>
      <c r="H187" s="8">
        <f t="shared" si="15"/>
        <v>0</v>
      </c>
      <c r="I187" s="8">
        <f t="shared" si="15"/>
        <v>0</v>
      </c>
      <c r="J187" s="8">
        <f t="shared" si="10"/>
        <v>0</v>
      </c>
    </row>
    <row r="188" spans="1:10">
      <c r="A188" s="108"/>
      <c r="B188" s="3" t="s">
        <v>201</v>
      </c>
      <c r="C188" s="5" t="s">
        <v>205</v>
      </c>
      <c r="D188" s="6"/>
      <c r="E188" s="7" t="s">
        <v>520</v>
      </c>
      <c r="H188" s="8">
        <f t="shared" si="15"/>
        <v>0</v>
      </c>
      <c r="I188" s="8">
        <f t="shared" si="15"/>
        <v>0</v>
      </c>
      <c r="J188" s="8">
        <f t="shared" si="10"/>
        <v>0</v>
      </c>
    </row>
    <row r="189" spans="1:10">
      <c r="A189" s="108"/>
      <c r="B189" s="3" t="s">
        <v>202</v>
      </c>
      <c r="C189" s="5" t="s">
        <v>200</v>
      </c>
      <c r="D189" s="6"/>
      <c r="E189" s="7" t="s">
        <v>521</v>
      </c>
      <c r="F189" s="63">
        <v>247.2052874</v>
      </c>
      <c r="G189" s="63">
        <v>776.72</v>
      </c>
      <c r="H189" s="8">
        <f t="shared" si="15"/>
        <v>0.44705882352941173</v>
      </c>
      <c r="I189" s="8">
        <f t="shared" si="15"/>
        <v>0.44705882352941173</v>
      </c>
      <c r="J189" s="8">
        <f t="shared" si="10"/>
        <v>0.44705882352941173</v>
      </c>
    </row>
    <row r="190" spans="1:10" ht="15.75">
      <c r="A190" s="108"/>
      <c r="B190" s="3" t="s">
        <v>203</v>
      </c>
      <c r="C190" s="29" t="s">
        <v>202</v>
      </c>
      <c r="D190" s="15"/>
      <c r="E190" s="16" t="s">
        <v>522</v>
      </c>
      <c r="F190" s="60">
        <v>123.6026437</v>
      </c>
      <c r="G190" s="60">
        <v>388.36</v>
      </c>
      <c r="H190" s="8">
        <f t="shared" si="15"/>
        <v>0.22352941176470587</v>
      </c>
      <c r="I190" s="8">
        <f t="shared" si="15"/>
        <v>0.22352941176470587</v>
      </c>
      <c r="J190" s="8">
        <f t="shared" si="10"/>
        <v>0.22352941176470587</v>
      </c>
    </row>
    <row r="191" spans="1:10">
      <c r="A191" s="108"/>
      <c r="B191" s="3" t="s">
        <v>204</v>
      </c>
      <c r="C191" s="29" t="s">
        <v>201</v>
      </c>
      <c r="D191" s="15"/>
      <c r="E191" s="16" t="s">
        <v>523</v>
      </c>
      <c r="H191" s="8">
        <f t="shared" si="15"/>
        <v>0</v>
      </c>
      <c r="I191" s="8">
        <f t="shared" si="15"/>
        <v>0</v>
      </c>
      <c r="J191" s="8">
        <f t="shared" si="10"/>
        <v>0</v>
      </c>
    </row>
    <row r="192" spans="1:10">
      <c r="A192" s="108"/>
      <c r="B192" s="3" t="s">
        <v>205</v>
      </c>
      <c r="C192" s="29" t="s">
        <v>199</v>
      </c>
      <c r="D192" s="15"/>
      <c r="E192" s="16" t="s">
        <v>524</v>
      </c>
      <c r="H192" s="8">
        <f t="shared" si="15"/>
        <v>0</v>
      </c>
      <c r="I192" s="8">
        <f t="shared" si="15"/>
        <v>0</v>
      </c>
      <c r="J192" s="8">
        <f t="shared" si="10"/>
        <v>0</v>
      </c>
    </row>
    <row r="193" spans="1:10">
      <c r="A193" s="108"/>
      <c r="B193" s="3" t="s">
        <v>206</v>
      </c>
      <c r="C193" s="29" t="s">
        <v>198</v>
      </c>
      <c r="D193" s="15"/>
      <c r="E193" s="16" t="s">
        <v>525</v>
      </c>
      <c r="H193" s="8">
        <f t="shared" si="15"/>
        <v>0</v>
      </c>
      <c r="I193" s="8">
        <f t="shared" si="15"/>
        <v>0</v>
      </c>
      <c r="J193" s="8">
        <f t="shared" si="10"/>
        <v>0</v>
      </c>
    </row>
    <row r="194" spans="1:10" ht="15.75">
      <c r="A194" s="108" t="s">
        <v>19</v>
      </c>
      <c r="B194" s="3" t="s">
        <v>207</v>
      </c>
      <c r="C194" s="29" t="s">
        <v>219</v>
      </c>
      <c r="D194" s="15"/>
      <c r="E194" s="16" t="s">
        <v>526</v>
      </c>
      <c r="F194" s="60">
        <v>213.8313737</v>
      </c>
      <c r="G194" s="60">
        <v>470.12</v>
      </c>
      <c r="H194" s="8">
        <f>F194/SUM(F$194:F$210)</f>
        <v>3.1358940725567053E-2</v>
      </c>
      <c r="I194" s="8">
        <f>G194/SUM(G$194:G$210)</f>
        <v>2.7110196212149912E-2</v>
      </c>
      <c r="J194" s="8">
        <f t="shared" si="10"/>
        <v>2.7110196212149912E-2</v>
      </c>
    </row>
    <row r="195" spans="1:10" ht="15.75">
      <c r="A195" s="108"/>
      <c r="B195" s="3" t="s">
        <v>208</v>
      </c>
      <c r="C195" s="29" t="s">
        <v>210</v>
      </c>
      <c r="D195" s="15"/>
      <c r="E195" s="16" t="s">
        <v>527</v>
      </c>
      <c r="F195">
        <f>1832.840346+195.162069+117.0972414</f>
        <v>2145.0996563999997</v>
      </c>
      <c r="G195">
        <f>4029.6+613.2+367.92</f>
        <v>5010.72</v>
      </c>
      <c r="H195" s="8">
        <f t="shared" ref="H195:I210" si="16">F195/SUM(F$194:F$210)</f>
        <v>0.31458458041735826</v>
      </c>
      <c r="I195" s="8">
        <f t="shared" si="16"/>
        <v>0.28895091118043015</v>
      </c>
      <c r="J195" s="8">
        <f t="shared" si="10"/>
        <v>0.28895091118043015</v>
      </c>
    </row>
    <row r="196" spans="1:10" ht="15.75">
      <c r="A196" s="108"/>
      <c r="B196" s="3" t="s">
        <v>209</v>
      </c>
      <c r="C196" s="29" t="s">
        <v>221</v>
      </c>
      <c r="D196" s="15"/>
      <c r="E196" s="16" t="s">
        <v>528</v>
      </c>
      <c r="F196" s="60">
        <f>97.5810345+703.7162186</f>
        <v>801.29725310000003</v>
      </c>
      <c r="G196" s="60">
        <f>306.6+2038.16</f>
        <v>2344.7600000000002</v>
      </c>
      <c r="H196" s="8">
        <f t="shared" si="16"/>
        <v>0.11751237729397143</v>
      </c>
      <c r="I196" s="8">
        <f t="shared" si="16"/>
        <v>0.13521420843699616</v>
      </c>
      <c r="J196" s="8">
        <f t="shared" ref="J196:J259" si="17">I196</f>
        <v>0.13521420843699616</v>
      </c>
    </row>
    <row r="197" spans="1:10">
      <c r="A197" s="108"/>
      <c r="B197" s="3" t="s">
        <v>210</v>
      </c>
      <c r="C197" s="29" t="s">
        <v>207</v>
      </c>
      <c r="D197" s="15"/>
      <c r="E197" s="16" t="s">
        <v>529</v>
      </c>
      <c r="H197" s="8">
        <f t="shared" si="16"/>
        <v>0</v>
      </c>
      <c r="I197" s="8">
        <f t="shared" si="16"/>
        <v>0</v>
      </c>
      <c r="J197" s="8">
        <f t="shared" si="17"/>
        <v>0</v>
      </c>
    </row>
    <row r="198" spans="1:10" ht="15.75">
      <c r="A198" s="108"/>
      <c r="B198" s="3" t="s">
        <v>211</v>
      </c>
      <c r="C198" s="29" t="s">
        <v>216</v>
      </c>
      <c r="D198" s="15"/>
      <c r="E198" s="16" t="s">
        <v>530</v>
      </c>
      <c r="F198" s="60">
        <v>149.62425289999999</v>
      </c>
      <c r="G198" s="60">
        <v>470.12</v>
      </c>
      <c r="H198" s="8">
        <f t="shared" si="16"/>
        <v>2.1942795374738564E-2</v>
      </c>
      <c r="I198" s="8">
        <f t="shared" si="16"/>
        <v>2.7110196212149912E-2</v>
      </c>
      <c r="J198" s="8">
        <f t="shared" si="17"/>
        <v>2.7110196212149912E-2</v>
      </c>
    </row>
    <row r="199" spans="1:10" ht="15.75">
      <c r="A199" s="108"/>
      <c r="B199" s="3" t="s">
        <v>212</v>
      </c>
      <c r="C199" s="29" t="s">
        <v>218</v>
      </c>
      <c r="D199" s="15"/>
      <c r="E199" s="16" t="s">
        <v>531</v>
      </c>
      <c r="F199" s="60">
        <v>78.064827600000001</v>
      </c>
      <c r="G199" s="60">
        <v>245.28</v>
      </c>
      <c r="H199" s="8">
        <f t="shared" si="16"/>
        <v>1.1448414978124469E-2</v>
      </c>
      <c r="I199" s="8">
        <f t="shared" si="16"/>
        <v>1.4144450197643432E-2</v>
      </c>
      <c r="J199" s="8">
        <f t="shared" si="17"/>
        <v>1.4144450197643432E-2</v>
      </c>
    </row>
    <row r="200" spans="1:10" ht="15.75">
      <c r="A200" s="108"/>
      <c r="B200" s="3" t="s">
        <v>213</v>
      </c>
      <c r="C200" s="29" t="s">
        <v>213</v>
      </c>
      <c r="D200" s="15"/>
      <c r="E200" s="16" t="s">
        <v>532</v>
      </c>
      <c r="F200" s="60">
        <v>91.075632200000001</v>
      </c>
      <c r="G200" s="60">
        <v>286.16000000000003</v>
      </c>
      <c r="H200" s="8">
        <f t="shared" si="16"/>
        <v>1.3356484141145215E-2</v>
      </c>
      <c r="I200" s="8">
        <f t="shared" si="16"/>
        <v>1.6501858563917341E-2</v>
      </c>
      <c r="J200" s="8">
        <f t="shared" si="17"/>
        <v>1.6501858563917341E-2</v>
      </c>
    </row>
    <row r="201" spans="1:10" ht="15.75">
      <c r="A201" s="108"/>
      <c r="B201" s="3" t="s">
        <v>214</v>
      </c>
      <c r="C201" s="29" t="s">
        <v>220</v>
      </c>
      <c r="D201" s="15"/>
      <c r="E201" s="16" t="s">
        <v>533</v>
      </c>
      <c r="F201" s="60">
        <v>300.66811052000003</v>
      </c>
      <c r="G201" s="60">
        <v>1126.317</v>
      </c>
      <c r="H201" s="8">
        <f t="shared" si="16"/>
        <v>4.4093779564326509E-2</v>
      </c>
      <c r="I201" s="8">
        <f t="shared" si="16"/>
        <v>6.4950810148643012E-2</v>
      </c>
      <c r="J201" s="8">
        <f t="shared" si="17"/>
        <v>6.4950810148643012E-2</v>
      </c>
    </row>
    <row r="202" spans="1:10" ht="15.75">
      <c r="A202" s="108"/>
      <c r="B202" s="3" t="s">
        <v>215</v>
      </c>
      <c r="C202" s="29" t="s">
        <v>208</v>
      </c>
      <c r="D202" s="15"/>
      <c r="E202" s="16" t="s">
        <v>534</v>
      </c>
      <c r="F202" s="65">
        <v>65.054023000000001</v>
      </c>
      <c r="G202" s="65">
        <v>204.4</v>
      </c>
      <c r="H202" s="8">
        <f t="shared" si="16"/>
        <v>9.5403458151037245E-3</v>
      </c>
      <c r="I202" s="8">
        <f t="shared" si="16"/>
        <v>1.1787041831369527E-2</v>
      </c>
      <c r="J202" s="8">
        <f t="shared" si="17"/>
        <v>1.1787041831369527E-2</v>
      </c>
    </row>
    <row r="203" spans="1:10">
      <c r="A203" s="108"/>
      <c r="B203" s="3" t="s">
        <v>216</v>
      </c>
      <c r="C203" s="29" t="s">
        <v>211</v>
      </c>
      <c r="D203" s="15"/>
      <c r="E203" s="16" t="s">
        <v>535</v>
      </c>
      <c r="H203" s="8">
        <f t="shared" si="16"/>
        <v>0</v>
      </c>
      <c r="I203" s="8">
        <f t="shared" si="16"/>
        <v>0</v>
      </c>
      <c r="J203" s="8">
        <f t="shared" si="17"/>
        <v>0</v>
      </c>
    </row>
    <row r="204" spans="1:10" ht="15.75">
      <c r="A204" s="108"/>
      <c r="B204" s="3" t="s">
        <v>217</v>
      </c>
      <c r="C204" s="29" t="s">
        <v>223</v>
      </c>
      <c r="D204" s="15"/>
      <c r="E204" s="16" t="s">
        <v>536</v>
      </c>
      <c r="F204" s="60">
        <v>1527.366955</v>
      </c>
      <c r="G204" s="60">
        <v>3358</v>
      </c>
      <c r="H204" s="8">
        <f t="shared" si="16"/>
        <v>0.22399243375405037</v>
      </c>
      <c r="I204" s="8">
        <f t="shared" si="16"/>
        <v>0.19364425865821366</v>
      </c>
      <c r="J204" s="8">
        <f t="shared" si="17"/>
        <v>0.19364425865821366</v>
      </c>
    </row>
    <row r="205" spans="1:10" ht="15.75">
      <c r="A205" s="108"/>
      <c r="B205" s="3" t="s">
        <v>218</v>
      </c>
      <c r="C205" s="29" t="s">
        <v>222</v>
      </c>
      <c r="D205" s="15"/>
      <c r="E205" s="16" t="s">
        <v>537</v>
      </c>
      <c r="F205" s="60">
        <v>763.68347749999998</v>
      </c>
      <c r="G205" s="60">
        <v>1679</v>
      </c>
      <c r="H205" s="8">
        <f t="shared" si="16"/>
        <v>0.11199621687702518</v>
      </c>
      <c r="I205" s="8">
        <f t="shared" si="16"/>
        <v>9.6822129329106832E-2</v>
      </c>
      <c r="J205" s="8">
        <f t="shared" si="17"/>
        <v>9.6822129329106832E-2</v>
      </c>
    </row>
    <row r="206" spans="1:10">
      <c r="A206" s="108"/>
      <c r="B206" s="3" t="s">
        <v>219</v>
      </c>
      <c r="C206" s="29" t="s">
        <v>217</v>
      </c>
      <c r="D206" s="15"/>
      <c r="E206" s="16" t="s">
        <v>538</v>
      </c>
      <c r="H206" s="8">
        <f t="shared" si="16"/>
        <v>0</v>
      </c>
      <c r="I206" s="8">
        <f t="shared" si="16"/>
        <v>0</v>
      </c>
      <c r="J206" s="8">
        <f t="shared" si="17"/>
        <v>0</v>
      </c>
    </row>
    <row r="207" spans="1:10" ht="15.75">
      <c r="A207" s="108"/>
      <c r="B207" s="3" t="s">
        <v>220</v>
      </c>
      <c r="C207" s="29" t="s">
        <v>209</v>
      </c>
      <c r="D207" s="15"/>
      <c r="E207" s="16" t="s">
        <v>539</v>
      </c>
      <c r="F207" s="60">
        <v>162.63505749999999</v>
      </c>
      <c r="G207" s="60">
        <v>511</v>
      </c>
      <c r="H207" s="8">
        <f t="shared" si="16"/>
        <v>2.3850864537759309E-2</v>
      </c>
      <c r="I207" s="8">
        <f t="shared" si="16"/>
        <v>2.9467604578423817E-2</v>
      </c>
      <c r="J207" s="8">
        <f t="shared" si="17"/>
        <v>2.9467604578423817E-2</v>
      </c>
    </row>
    <row r="208" spans="1:10">
      <c r="A208" s="108"/>
      <c r="B208" s="3" t="s">
        <v>221</v>
      </c>
      <c r="C208" s="29" t="s">
        <v>212</v>
      </c>
      <c r="D208" s="15"/>
      <c r="E208" s="16" t="s">
        <v>540</v>
      </c>
      <c r="H208" s="8">
        <f t="shared" si="16"/>
        <v>0</v>
      </c>
      <c r="I208" s="8">
        <f t="shared" si="16"/>
        <v>0</v>
      </c>
      <c r="J208" s="8">
        <f t="shared" si="17"/>
        <v>0</v>
      </c>
    </row>
    <row r="209" spans="1:10">
      <c r="A209" s="108"/>
      <c r="B209" s="3" t="s">
        <v>222</v>
      </c>
      <c r="C209" s="29" t="s">
        <v>214</v>
      </c>
      <c r="D209" s="15"/>
      <c r="E209" s="16" t="s">
        <v>541</v>
      </c>
      <c r="H209" s="8">
        <f t="shared" si="16"/>
        <v>0</v>
      </c>
      <c r="I209" s="8">
        <f t="shared" si="16"/>
        <v>0</v>
      </c>
      <c r="J209" s="8">
        <f t="shared" si="17"/>
        <v>0</v>
      </c>
    </row>
    <row r="210" spans="1:10" ht="15.75">
      <c r="A210" s="108"/>
      <c r="B210" s="3" t="s">
        <v>223</v>
      </c>
      <c r="C210" s="29" t="s">
        <v>215</v>
      </c>
      <c r="D210" s="32"/>
      <c r="E210" s="16" t="s">
        <v>542</v>
      </c>
      <c r="F210" s="60">
        <f>357.7971265+162.6350575</f>
        <v>520.43218400000001</v>
      </c>
      <c r="G210" s="60">
        <f>1124.2+511</f>
        <v>1635.2</v>
      </c>
      <c r="H210" s="8">
        <f t="shared" si="16"/>
        <v>7.6322766520829796E-2</v>
      </c>
      <c r="I210" s="8">
        <f t="shared" si="16"/>
        <v>9.4296334650956215E-2</v>
      </c>
      <c r="J210" s="8">
        <f t="shared" si="17"/>
        <v>9.4296334650956215E-2</v>
      </c>
    </row>
    <row r="211" spans="1:10" ht="15.75">
      <c r="A211" s="108" t="s">
        <v>20</v>
      </c>
      <c r="B211" s="3" t="s">
        <v>224</v>
      </c>
      <c r="C211" s="29" t="s">
        <v>226</v>
      </c>
      <c r="D211" s="15"/>
      <c r="E211" s="16" t="s">
        <v>543</v>
      </c>
      <c r="F211" s="60">
        <f>263.46879315+184.7534253</f>
        <v>448.22221845000001</v>
      </c>
      <c r="G211" s="60">
        <f>827.82+580.496</f>
        <v>1408.316</v>
      </c>
      <c r="H211" s="8">
        <f>F211/SUM(F$211:F$217)</f>
        <v>0.35424164523400881</v>
      </c>
      <c r="I211" s="8">
        <f>G211/SUM(G$211:G$217)</f>
        <v>0.35424164524421597</v>
      </c>
      <c r="J211" s="8">
        <f t="shared" si="17"/>
        <v>0.35424164524421597</v>
      </c>
    </row>
    <row r="212" spans="1:10">
      <c r="A212" s="108"/>
      <c r="B212" s="3" t="s">
        <v>225</v>
      </c>
      <c r="C212" s="29" t="s">
        <v>225</v>
      </c>
      <c r="D212" s="15"/>
      <c r="E212" s="16" t="s">
        <v>544</v>
      </c>
      <c r="H212" s="8">
        <f t="shared" ref="H212:I217" si="18">F212/SUM(F$211:F$217)</f>
        <v>0</v>
      </c>
      <c r="I212" s="8">
        <f t="shared" si="18"/>
        <v>0</v>
      </c>
      <c r="J212" s="8">
        <f t="shared" si="17"/>
        <v>0</v>
      </c>
    </row>
    <row r="213" spans="1:10" ht="15.75">
      <c r="A213" s="108"/>
      <c r="B213" s="3" t="s">
        <v>226</v>
      </c>
      <c r="C213" s="29" t="s">
        <v>228</v>
      </c>
      <c r="D213" s="15"/>
      <c r="E213" s="16" t="s">
        <v>545</v>
      </c>
      <c r="F213" s="60">
        <f>149.6242529+494.4105748</f>
        <v>644.03482770000005</v>
      </c>
      <c r="G213" s="60">
        <f>470.12+1553.44</f>
        <v>2023.56</v>
      </c>
      <c r="H213" s="8">
        <f t="shared" si="18"/>
        <v>0.50899742931395819</v>
      </c>
      <c r="I213" s="8">
        <f t="shared" si="18"/>
        <v>0.50899742930591263</v>
      </c>
      <c r="J213" s="8">
        <f t="shared" si="17"/>
        <v>0.50899742930591263</v>
      </c>
    </row>
    <row r="214" spans="1:10" ht="15.75">
      <c r="A214" s="108"/>
      <c r="B214" s="3" t="s">
        <v>227</v>
      </c>
      <c r="C214" s="29" t="s">
        <v>224</v>
      </c>
      <c r="D214" s="15"/>
      <c r="E214" s="16" t="s">
        <v>546</v>
      </c>
      <c r="F214" s="60">
        <v>173.04370118</v>
      </c>
      <c r="G214" s="60">
        <v>543.70399999999995</v>
      </c>
      <c r="H214" s="8">
        <f t="shared" si="18"/>
        <v>0.13676092545203319</v>
      </c>
      <c r="I214" s="8">
        <f t="shared" si="18"/>
        <v>0.13676092544987145</v>
      </c>
      <c r="J214" s="8">
        <f t="shared" si="17"/>
        <v>0.13676092544987145</v>
      </c>
    </row>
    <row r="215" spans="1:10">
      <c r="A215" s="108"/>
      <c r="B215" s="3" t="s">
        <v>228</v>
      </c>
      <c r="C215" s="29" t="s">
        <v>227</v>
      </c>
      <c r="D215" s="32"/>
      <c r="E215" s="16" t="s">
        <v>547</v>
      </c>
      <c r="H215" s="8">
        <f t="shared" si="18"/>
        <v>0</v>
      </c>
      <c r="I215" s="8">
        <f t="shared" si="18"/>
        <v>0</v>
      </c>
      <c r="J215" s="8">
        <f t="shared" si="17"/>
        <v>0</v>
      </c>
    </row>
    <row r="216" spans="1:10">
      <c r="A216" s="108"/>
      <c r="C216" s="29" t="s">
        <v>548</v>
      </c>
      <c r="D216" s="15"/>
      <c r="E216" s="16" t="s">
        <v>549</v>
      </c>
      <c r="H216" s="8">
        <f t="shared" si="18"/>
        <v>0</v>
      </c>
      <c r="I216" s="8">
        <f t="shared" si="18"/>
        <v>0</v>
      </c>
      <c r="J216" s="8">
        <f t="shared" si="17"/>
        <v>0</v>
      </c>
    </row>
    <row r="217" spans="1:10">
      <c r="A217" s="108"/>
      <c r="C217" s="29" t="s">
        <v>550</v>
      </c>
      <c r="D217" s="15"/>
      <c r="E217" s="16" t="s">
        <v>551</v>
      </c>
      <c r="H217" s="8">
        <f t="shared" si="18"/>
        <v>0</v>
      </c>
      <c r="I217" s="8">
        <f t="shared" si="18"/>
        <v>0</v>
      </c>
      <c r="J217" s="8">
        <f t="shared" si="17"/>
        <v>0</v>
      </c>
    </row>
    <row r="218" spans="1:10">
      <c r="A218" s="108" t="s">
        <v>21</v>
      </c>
      <c r="B218" s="3" t="s">
        <v>229</v>
      </c>
      <c r="C218" s="29" t="s">
        <v>231</v>
      </c>
      <c r="D218" s="15"/>
      <c r="E218" s="16" t="s">
        <v>552</v>
      </c>
      <c r="H218" s="8">
        <f>F218/SUM(F$218:F$225)</f>
        <v>0</v>
      </c>
      <c r="I218" s="8">
        <f>G218/SUM(G$218:G$225)</f>
        <v>0</v>
      </c>
      <c r="J218" s="8">
        <f t="shared" si="17"/>
        <v>0</v>
      </c>
    </row>
    <row r="219" spans="1:10" ht="15.75">
      <c r="A219" s="108"/>
      <c r="B219" s="3" t="s">
        <v>230</v>
      </c>
      <c r="C219" s="29" t="s">
        <v>236</v>
      </c>
      <c r="D219" s="15"/>
      <c r="E219" s="16" t="s">
        <v>553</v>
      </c>
      <c r="F219" s="60">
        <v>137.46302595</v>
      </c>
      <c r="G219" s="60">
        <v>302.22000000000003</v>
      </c>
      <c r="H219" s="8">
        <f t="shared" ref="H219:I225" si="19">F219/SUM(F$218:F$225)</f>
        <v>6.1417974262256807E-2</v>
      </c>
      <c r="I219" s="8">
        <f t="shared" si="19"/>
        <v>5.8499364137346341E-2</v>
      </c>
      <c r="J219" s="8">
        <f t="shared" si="17"/>
        <v>5.8499364137346341E-2</v>
      </c>
    </row>
    <row r="220" spans="1:10">
      <c r="A220" s="108"/>
      <c r="B220" s="3" t="s">
        <v>231</v>
      </c>
      <c r="C220" s="29" t="s">
        <v>232</v>
      </c>
      <c r="D220" s="15"/>
      <c r="E220" s="16" t="s">
        <v>554</v>
      </c>
      <c r="H220" s="8">
        <f t="shared" si="19"/>
        <v>0</v>
      </c>
      <c r="I220" s="8">
        <f t="shared" si="19"/>
        <v>0</v>
      </c>
      <c r="J220" s="8">
        <f t="shared" si="17"/>
        <v>0</v>
      </c>
    </row>
    <row r="221" spans="1:10" ht="15.75">
      <c r="A221" s="108"/>
      <c r="B221" s="3" t="s">
        <v>232</v>
      </c>
      <c r="C221" s="29" t="s">
        <v>230</v>
      </c>
      <c r="D221" s="15"/>
      <c r="E221" s="16" t="s">
        <v>555</v>
      </c>
      <c r="F221" s="60">
        <v>878.23599912500003</v>
      </c>
      <c r="G221" s="60">
        <v>1930.85</v>
      </c>
      <c r="H221" s="8">
        <f t="shared" si="19"/>
        <v>0.39239261334219627</v>
      </c>
      <c r="I221" s="8">
        <f t="shared" si="19"/>
        <v>0.37374593754415708</v>
      </c>
      <c r="J221" s="8">
        <f t="shared" si="17"/>
        <v>0.37374593754415708</v>
      </c>
    </row>
    <row r="222" spans="1:10" ht="15.75">
      <c r="A222" s="108"/>
      <c r="B222" s="3" t="s">
        <v>233</v>
      </c>
      <c r="C222" s="29" t="s">
        <v>234</v>
      </c>
      <c r="D222" s="15"/>
      <c r="E222" s="16" t="s">
        <v>556</v>
      </c>
      <c r="F222" s="60">
        <v>962.24118165000004</v>
      </c>
      <c r="G222" s="60">
        <v>2115.54</v>
      </c>
      <c r="H222" s="8">
        <f t="shared" si="19"/>
        <v>0.42992581983579764</v>
      </c>
      <c r="I222" s="8">
        <f t="shared" si="19"/>
        <v>0.40949554896142432</v>
      </c>
      <c r="J222" s="8">
        <f t="shared" si="17"/>
        <v>0.40949554896142432</v>
      </c>
    </row>
    <row r="223" spans="1:10" ht="15.75">
      <c r="A223" s="108"/>
      <c r="B223" s="3" t="s">
        <v>234</v>
      </c>
      <c r="C223" s="29" t="s">
        <v>233</v>
      </c>
      <c r="D223" s="15"/>
      <c r="E223" s="16" t="s">
        <v>557</v>
      </c>
      <c r="F223" s="60">
        <v>260.216092</v>
      </c>
      <c r="G223" s="60">
        <v>817.6</v>
      </c>
      <c r="H223" s="8">
        <f t="shared" si="19"/>
        <v>0.11626359255974933</v>
      </c>
      <c r="I223" s="8">
        <f t="shared" si="19"/>
        <v>0.15825914935707222</v>
      </c>
      <c r="J223" s="8">
        <f t="shared" si="17"/>
        <v>0.15825914935707222</v>
      </c>
    </row>
    <row r="224" spans="1:10">
      <c r="A224" s="108"/>
      <c r="B224" s="3" t="s">
        <v>235</v>
      </c>
      <c r="C224" s="29" t="s">
        <v>229</v>
      </c>
      <c r="D224" s="15"/>
      <c r="E224" s="16" t="s">
        <v>558</v>
      </c>
      <c r="H224" s="8">
        <f t="shared" si="19"/>
        <v>0</v>
      </c>
      <c r="I224" s="8">
        <f t="shared" si="19"/>
        <v>0</v>
      </c>
      <c r="J224" s="8">
        <f t="shared" si="17"/>
        <v>0</v>
      </c>
    </row>
    <row r="225" spans="1:10">
      <c r="A225" s="108"/>
      <c r="B225" s="3" t="s">
        <v>236</v>
      </c>
      <c r="C225" s="29" t="s">
        <v>235</v>
      </c>
      <c r="D225" s="15"/>
      <c r="E225" s="16" t="s">
        <v>559</v>
      </c>
      <c r="H225" s="8">
        <f t="shared" si="19"/>
        <v>0</v>
      </c>
      <c r="I225" s="8">
        <f t="shared" si="19"/>
        <v>0</v>
      </c>
      <c r="J225" s="8">
        <f t="shared" si="17"/>
        <v>0</v>
      </c>
    </row>
    <row r="226" spans="1:10" ht="15.75">
      <c r="A226" s="108" t="s">
        <v>22</v>
      </c>
      <c r="B226" s="3" t="s">
        <v>237</v>
      </c>
      <c r="C226" s="29" t="s">
        <v>237</v>
      </c>
      <c r="D226" s="15"/>
      <c r="E226" s="16" t="s">
        <v>560</v>
      </c>
      <c r="F226" s="60">
        <v>91.075632200000001</v>
      </c>
      <c r="G226" s="60">
        <v>286.16000000000003</v>
      </c>
      <c r="H226" s="8">
        <f>F226/SUM(F$226:F$227)</f>
        <v>1</v>
      </c>
      <c r="I226" s="8">
        <f>G226/SUM(G$226:G$227)</f>
        <v>1</v>
      </c>
      <c r="J226" s="8">
        <f t="shared" si="17"/>
        <v>1</v>
      </c>
    </row>
    <row r="227" spans="1:10">
      <c r="A227" s="108"/>
      <c r="B227" s="3" t="s">
        <v>238</v>
      </c>
      <c r="C227" s="29" t="s">
        <v>238</v>
      </c>
      <c r="D227" s="15"/>
      <c r="E227" s="16" t="s">
        <v>561</v>
      </c>
      <c r="H227" s="8">
        <f>F227/SUM(F$226:F$227)</f>
        <v>0</v>
      </c>
      <c r="I227" s="8">
        <f>G227/SUM(G$226:G$227)</f>
        <v>0</v>
      </c>
      <c r="J227" s="8">
        <f t="shared" si="17"/>
        <v>0</v>
      </c>
    </row>
    <row r="228" spans="1:10">
      <c r="A228" s="108" t="s">
        <v>23</v>
      </c>
      <c r="B228" s="3" t="s">
        <v>239</v>
      </c>
      <c r="C228" s="29" t="s">
        <v>241</v>
      </c>
      <c r="D228" s="15"/>
      <c r="E228" s="16" t="s">
        <v>562</v>
      </c>
      <c r="H228" s="8">
        <f t="shared" ref="H228:I231" si="20">F228/SUM(F$228:F$231)</f>
        <v>0</v>
      </c>
      <c r="I228" s="8">
        <f t="shared" si="20"/>
        <v>0</v>
      </c>
      <c r="J228" s="8">
        <f t="shared" si="17"/>
        <v>0</v>
      </c>
    </row>
    <row r="229" spans="1:10" ht="15.75">
      <c r="A229" s="108"/>
      <c r="B229" s="3" t="s">
        <v>240</v>
      </c>
      <c r="C229" s="29" t="s">
        <v>239</v>
      </c>
      <c r="D229" s="15"/>
      <c r="E229" s="16" t="s">
        <v>563</v>
      </c>
      <c r="F229" s="60">
        <v>139.86614944999999</v>
      </c>
      <c r="G229" s="60">
        <v>439.46</v>
      </c>
      <c r="H229" s="8">
        <f t="shared" si="20"/>
        <v>1</v>
      </c>
      <c r="I229" s="8">
        <f t="shared" si="20"/>
        <v>1</v>
      </c>
      <c r="J229" s="8">
        <f t="shared" si="17"/>
        <v>1</v>
      </c>
    </row>
    <row r="230" spans="1:10">
      <c r="A230" s="108"/>
      <c r="B230" s="3" t="s">
        <v>241</v>
      </c>
      <c r="C230" s="29" t="s">
        <v>242</v>
      </c>
      <c r="D230" s="15"/>
      <c r="E230" s="16" t="s">
        <v>564</v>
      </c>
      <c r="H230" s="8">
        <f t="shared" si="20"/>
        <v>0</v>
      </c>
      <c r="I230" s="8">
        <f t="shared" si="20"/>
        <v>0</v>
      </c>
      <c r="J230" s="8">
        <f t="shared" si="17"/>
        <v>0</v>
      </c>
    </row>
    <row r="231" spans="1:10">
      <c r="A231" s="108"/>
      <c r="B231" s="3" t="s">
        <v>242</v>
      </c>
      <c r="C231" s="29" t="s">
        <v>240</v>
      </c>
      <c r="D231" s="15"/>
      <c r="E231" s="16" t="s">
        <v>565</v>
      </c>
      <c r="H231" s="8">
        <f t="shared" si="20"/>
        <v>0</v>
      </c>
      <c r="I231" s="8">
        <f t="shared" si="20"/>
        <v>0</v>
      </c>
      <c r="J231" s="8">
        <f t="shared" si="17"/>
        <v>0</v>
      </c>
    </row>
    <row r="232" spans="1:10">
      <c r="A232" s="108" t="s">
        <v>24</v>
      </c>
      <c r="B232" s="3" t="s">
        <v>243</v>
      </c>
      <c r="C232" s="29" t="s">
        <v>243</v>
      </c>
      <c r="D232" s="15"/>
      <c r="E232" s="16" t="s">
        <v>566</v>
      </c>
      <c r="H232" s="8">
        <f>F232/SUM(F$232:F$236)</f>
        <v>0</v>
      </c>
      <c r="I232" s="8">
        <f>G232/SUM(G$232:G$236)</f>
        <v>0</v>
      </c>
      <c r="J232" s="8">
        <f t="shared" si="17"/>
        <v>0</v>
      </c>
    </row>
    <row r="233" spans="1:10">
      <c r="A233" s="108"/>
      <c r="B233" s="3" t="s">
        <v>244</v>
      </c>
      <c r="C233" s="29" t="s">
        <v>245</v>
      </c>
      <c r="D233" s="15"/>
      <c r="E233" s="16" t="s">
        <v>567</v>
      </c>
      <c r="H233" s="8">
        <f t="shared" ref="H233:I236" si="21">F233/SUM(F$232:F$236)</f>
        <v>0</v>
      </c>
      <c r="I233" s="8">
        <f t="shared" si="21"/>
        <v>0</v>
      </c>
      <c r="J233" s="8">
        <f t="shared" si="17"/>
        <v>0</v>
      </c>
    </row>
    <row r="234" spans="1:10" ht="15.75">
      <c r="A234" s="108"/>
      <c r="B234" s="3" t="s">
        <v>245</v>
      </c>
      <c r="C234" s="29" t="s">
        <v>244</v>
      </c>
      <c r="D234" s="15"/>
      <c r="E234" s="16" t="s">
        <v>568</v>
      </c>
      <c r="F234" s="60">
        <v>381.84173874999999</v>
      </c>
      <c r="G234" s="60">
        <v>839.5</v>
      </c>
      <c r="H234" s="8">
        <f t="shared" si="21"/>
        <v>1</v>
      </c>
      <c r="I234" s="8">
        <f t="shared" si="21"/>
        <v>1</v>
      </c>
      <c r="J234" s="8">
        <f t="shared" si="17"/>
        <v>1</v>
      </c>
    </row>
    <row r="235" spans="1:10">
      <c r="A235" s="108"/>
      <c r="B235" s="3" t="s">
        <v>246</v>
      </c>
      <c r="C235" s="29" t="s">
        <v>246</v>
      </c>
      <c r="D235" s="15"/>
      <c r="E235" s="16" t="s">
        <v>569</v>
      </c>
      <c r="H235" s="8">
        <f t="shared" si="21"/>
        <v>0</v>
      </c>
      <c r="I235" s="8">
        <f t="shared" si="21"/>
        <v>0</v>
      </c>
      <c r="J235" s="8">
        <f t="shared" si="17"/>
        <v>0</v>
      </c>
    </row>
    <row r="236" spans="1:10">
      <c r="A236" s="108"/>
      <c r="C236" s="29" t="s">
        <v>570</v>
      </c>
      <c r="D236" s="15"/>
      <c r="E236" s="16" t="s">
        <v>571</v>
      </c>
      <c r="H236" s="8">
        <f t="shared" si="21"/>
        <v>0</v>
      </c>
      <c r="I236" s="8">
        <f t="shared" si="21"/>
        <v>0</v>
      </c>
      <c r="J236" s="8">
        <f t="shared" si="17"/>
        <v>0</v>
      </c>
    </row>
    <row r="237" spans="1:10">
      <c r="A237" s="108" t="s">
        <v>25</v>
      </c>
      <c r="B237" s="3" t="s">
        <v>247</v>
      </c>
      <c r="C237" s="29" t="s">
        <v>247</v>
      </c>
      <c r="D237" s="15"/>
      <c r="E237" s="16" t="s">
        <v>572</v>
      </c>
      <c r="H237" s="8">
        <f>F237/SUM(F$237:F$244)</f>
        <v>0</v>
      </c>
      <c r="I237" s="8">
        <f>G237/SUM(G$237:G$244)</f>
        <v>0</v>
      </c>
      <c r="J237" s="8">
        <f t="shared" si="17"/>
        <v>0</v>
      </c>
    </row>
    <row r="238" spans="1:10">
      <c r="A238" s="108"/>
      <c r="B238" s="3" t="s">
        <v>248</v>
      </c>
      <c r="C238" s="29" t="s">
        <v>248</v>
      </c>
      <c r="D238" s="15"/>
      <c r="E238" s="16" t="s">
        <v>573</v>
      </c>
      <c r="H238" s="8">
        <f t="shared" ref="H238:I244" si="22">F238/SUM(F$237:F$244)</f>
        <v>0</v>
      </c>
      <c r="I238" s="8">
        <f t="shared" si="22"/>
        <v>0</v>
      </c>
      <c r="J238" s="8">
        <f t="shared" si="17"/>
        <v>0</v>
      </c>
    </row>
    <row r="239" spans="1:10">
      <c r="A239" s="108"/>
      <c r="B239" s="3" t="s">
        <v>249</v>
      </c>
      <c r="C239" s="29" t="s">
        <v>252</v>
      </c>
      <c r="D239" s="15"/>
      <c r="E239" s="16" t="s">
        <v>574</v>
      </c>
      <c r="H239" s="8">
        <f t="shared" si="22"/>
        <v>0</v>
      </c>
      <c r="I239" s="8">
        <f t="shared" si="22"/>
        <v>0</v>
      </c>
      <c r="J239" s="8">
        <f t="shared" si="17"/>
        <v>0</v>
      </c>
    </row>
    <row r="240" spans="1:10">
      <c r="A240" s="108"/>
      <c r="B240" s="3" t="s">
        <v>250</v>
      </c>
      <c r="C240" s="29" t="s">
        <v>254</v>
      </c>
      <c r="D240" s="15"/>
      <c r="E240" s="16" t="s">
        <v>575</v>
      </c>
      <c r="H240" s="8">
        <f t="shared" si="22"/>
        <v>0</v>
      </c>
      <c r="I240" s="8">
        <f t="shared" si="22"/>
        <v>0</v>
      </c>
      <c r="J240" s="8">
        <f t="shared" si="17"/>
        <v>0</v>
      </c>
    </row>
    <row r="241" spans="1:10" ht="15.75">
      <c r="A241" s="108"/>
      <c r="B241" s="3" t="s">
        <v>251</v>
      </c>
      <c r="C241" s="29" t="s">
        <v>251</v>
      </c>
      <c r="D241" s="32"/>
      <c r="E241" s="16" t="s">
        <v>576</v>
      </c>
      <c r="F241" s="60">
        <f>1832.840346+149.6242529</f>
        <v>1982.4645989000001</v>
      </c>
      <c r="G241" s="60">
        <f>4029.6+470.12</f>
        <v>4499.72</v>
      </c>
      <c r="H241" s="8">
        <f t="shared" si="22"/>
        <v>1</v>
      </c>
      <c r="I241" s="8">
        <f t="shared" si="22"/>
        <v>1</v>
      </c>
      <c r="J241" s="8">
        <f t="shared" si="17"/>
        <v>1</v>
      </c>
    </row>
    <row r="242" spans="1:10">
      <c r="A242" s="108"/>
      <c r="B242" s="3" t="s">
        <v>252</v>
      </c>
      <c r="C242" s="29" t="s">
        <v>253</v>
      </c>
      <c r="D242" s="15"/>
      <c r="E242" s="16" t="s">
        <v>577</v>
      </c>
      <c r="H242" s="8">
        <f t="shared" si="22"/>
        <v>0</v>
      </c>
      <c r="I242" s="8">
        <f t="shared" si="22"/>
        <v>0</v>
      </c>
      <c r="J242" s="8">
        <f t="shared" si="17"/>
        <v>0</v>
      </c>
    </row>
    <row r="243" spans="1:10">
      <c r="A243" s="108"/>
      <c r="B243" s="3" t="s">
        <v>253</v>
      </c>
      <c r="C243" s="29" t="s">
        <v>250</v>
      </c>
      <c r="D243" s="15"/>
      <c r="E243" s="16" t="s">
        <v>578</v>
      </c>
      <c r="H243" s="8">
        <f t="shared" si="22"/>
        <v>0</v>
      </c>
      <c r="I243" s="8">
        <f t="shared" si="22"/>
        <v>0</v>
      </c>
      <c r="J243" s="8">
        <f t="shared" si="17"/>
        <v>0</v>
      </c>
    </row>
    <row r="244" spans="1:10">
      <c r="A244" s="108"/>
      <c r="B244" s="3" t="s">
        <v>254</v>
      </c>
      <c r="C244" s="29" t="s">
        <v>249</v>
      </c>
      <c r="D244" s="15"/>
      <c r="E244" s="16" t="s">
        <v>579</v>
      </c>
      <c r="H244" s="8">
        <f t="shared" si="22"/>
        <v>0</v>
      </c>
      <c r="I244" s="8">
        <f t="shared" si="22"/>
        <v>0</v>
      </c>
      <c r="J244" s="8">
        <f t="shared" si="17"/>
        <v>0</v>
      </c>
    </row>
    <row r="245" spans="1:10">
      <c r="A245" s="108" t="s">
        <v>26</v>
      </c>
      <c r="B245" s="3" t="s">
        <v>255</v>
      </c>
      <c r="C245" s="29" t="s">
        <v>294</v>
      </c>
      <c r="D245" s="32"/>
      <c r="E245" s="16" t="s">
        <v>580</v>
      </c>
      <c r="H245" s="8">
        <f>F245/SUM(F$245:F$285)</f>
        <v>0</v>
      </c>
      <c r="I245" s="8">
        <f>G245/SUM(G$245:G$285)</f>
        <v>0</v>
      </c>
      <c r="J245" s="8">
        <f t="shared" si="17"/>
        <v>0</v>
      </c>
    </row>
    <row r="246" spans="1:10" ht="29.25">
      <c r="A246" s="108"/>
      <c r="B246" s="3" t="s">
        <v>256</v>
      </c>
      <c r="C246" s="29" t="s">
        <v>268</v>
      </c>
      <c r="D246" s="15"/>
      <c r="E246" s="16" t="s">
        <v>581</v>
      </c>
      <c r="H246" s="8">
        <f t="shared" ref="H246:I285" si="23">F246/SUM(F$245:F$285)</f>
        <v>0</v>
      </c>
      <c r="I246" s="8">
        <f t="shared" si="23"/>
        <v>0</v>
      </c>
      <c r="J246" s="8">
        <f t="shared" si="17"/>
        <v>0</v>
      </c>
    </row>
    <row r="247" spans="1:10">
      <c r="A247" s="108"/>
      <c r="B247" s="3" t="s">
        <v>257</v>
      </c>
      <c r="C247" s="29" t="s">
        <v>280</v>
      </c>
      <c r="D247" s="15"/>
      <c r="E247" s="16" t="s">
        <v>582</v>
      </c>
      <c r="H247" s="8">
        <f t="shared" si="23"/>
        <v>0</v>
      </c>
      <c r="I247" s="8">
        <f t="shared" si="23"/>
        <v>0</v>
      </c>
      <c r="J247" s="8">
        <f t="shared" si="17"/>
        <v>0</v>
      </c>
    </row>
    <row r="248" spans="1:10">
      <c r="A248" s="108"/>
      <c r="B248" s="3" t="s">
        <v>258</v>
      </c>
      <c r="C248" s="29" t="s">
        <v>270</v>
      </c>
      <c r="D248" s="15"/>
      <c r="E248" s="16" t="s">
        <v>583</v>
      </c>
      <c r="H248" s="8">
        <f t="shared" si="23"/>
        <v>0</v>
      </c>
      <c r="I248" s="8">
        <f t="shared" si="23"/>
        <v>0</v>
      </c>
      <c r="J248" s="8">
        <f t="shared" si="17"/>
        <v>0</v>
      </c>
    </row>
    <row r="249" spans="1:10" ht="15.75">
      <c r="A249" s="108"/>
      <c r="B249" s="3" t="s">
        <v>259</v>
      </c>
      <c r="C249" s="29" t="s">
        <v>285</v>
      </c>
      <c r="D249" s="15"/>
      <c r="E249" s="16" t="s">
        <v>584</v>
      </c>
      <c r="F249" s="60">
        <v>878.23599912500003</v>
      </c>
      <c r="G249" s="60">
        <v>1930.85</v>
      </c>
      <c r="H249" s="8">
        <f t="shared" si="23"/>
        <v>0.13671182707604038</v>
      </c>
      <c r="I249" s="8">
        <f t="shared" si="23"/>
        <v>0.1130255028361572</v>
      </c>
      <c r="J249" s="8">
        <f t="shared" si="17"/>
        <v>0.1130255028361572</v>
      </c>
    </row>
    <row r="250" spans="1:10" ht="15.75">
      <c r="A250" s="108"/>
      <c r="B250" s="3" t="s">
        <v>260</v>
      </c>
      <c r="C250" s="29" t="s">
        <v>264</v>
      </c>
      <c r="D250" s="15"/>
      <c r="E250" s="16" t="s">
        <v>585</v>
      </c>
      <c r="F250" s="60">
        <v>195.162069</v>
      </c>
      <c r="G250" s="60">
        <v>613.20000000000005</v>
      </c>
      <c r="H250" s="8">
        <f t="shared" si="23"/>
        <v>3.0380174640430264E-2</v>
      </c>
      <c r="I250" s="8">
        <f t="shared" si="23"/>
        <v>3.5894677649290004E-2</v>
      </c>
      <c r="J250" s="8">
        <f t="shared" si="17"/>
        <v>3.5894677649290004E-2</v>
      </c>
    </row>
    <row r="251" spans="1:10" ht="15.75">
      <c r="A251" s="108"/>
      <c r="B251" s="3" t="s">
        <v>261</v>
      </c>
      <c r="C251" s="29" t="s">
        <v>269</v>
      </c>
      <c r="D251" s="15"/>
      <c r="E251" s="16" t="s">
        <v>586</v>
      </c>
      <c r="F251" s="60">
        <v>878.23599912500003</v>
      </c>
      <c r="G251" s="60">
        <v>1930.85</v>
      </c>
      <c r="H251" s="8">
        <f t="shared" si="23"/>
        <v>0.13671182707604038</v>
      </c>
      <c r="I251" s="8">
        <f t="shared" si="23"/>
        <v>0.1130255028361572</v>
      </c>
      <c r="J251" s="8">
        <f t="shared" si="17"/>
        <v>0.1130255028361572</v>
      </c>
    </row>
    <row r="252" spans="1:10" ht="29.25">
      <c r="A252" s="108"/>
      <c r="B252" s="3" t="s">
        <v>262</v>
      </c>
      <c r="C252" s="29" t="s">
        <v>277</v>
      </c>
      <c r="D252" s="15"/>
      <c r="E252" s="16" t="s">
        <v>587</v>
      </c>
      <c r="F252" s="60">
        <v>1069.1568685</v>
      </c>
      <c r="G252" s="60">
        <v>2350.6</v>
      </c>
      <c r="H252" s="8">
        <f t="shared" si="23"/>
        <v>0.16643178948387524</v>
      </c>
      <c r="I252" s="8">
        <f t="shared" si="23"/>
        <v>0.13759626432227831</v>
      </c>
      <c r="J252" s="8">
        <f t="shared" si="17"/>
        <v>0.13759626432227831</v>
      </c>
    </row>
    <row r="253" spans="1:10" ht="15.75">
      <c r="A253" s="108"/>
      <c r="B253" s="3" t="s">
        <v>263</v>
      </c>
      <c r="C253" s="29" t="s">
        <v>295</v>
      </c>
      <c r="D253" s="15"/>
      <c r="E253" s="16" t="s">
        <v>588</v>
      </c>
      <c r="F253" s="60">
        <v>992.78852074999998</v>
      </c>
      <c r="G253" s="60">
        <v>2182.6999999999998</v>
      </c>
      <c r="H253" s="8">
        <f t="shared" si="23"/>
        <v>0.15454380452074129</v>
      </c>
      <c r="I253" s="8">
        <f t="shared" si="23"/>
        <v>0.12776795972782987</v>
      </c>
      <c r="J253" s="8">
        <f t="shared" si="17"/>
        <v>0.12776795972782987</v>
      </c>
    </row>
    <row r="254" spans="1:10">
      <c r="A254" s="108"/>
      <c r="B254" s="3" t="s">
        <v>264</v>
      </c>
      <c r="C254" s="29" t="s">
        <v>266</v>
      </c>
      <c r="D254" s="15"/>
      <c r="E254" s="16" t="s">
        <v>589</v>
      </c>
      <c r="F254" s="3">
        <f>312.2593104+130.108046</f>
        <v>442.36735640000001</v>
      </c>
      <c r="G254" s="3">
        <f>981.12+408.8</f>
        <v>1389.92</v>
      </c>
      <c r="H254" s="8">
        <f t="shared" si="23"/>
        <v>6.8861729184975268E-2</v>
      </c>
      <c r="I254" s="8">
        <f t="shared" si="23"/>
        <v>8.1361269338390663E-2</v>
      </c>
      <c r="J254" s="8">
        <f t="shared" si="17"/>
        <v>8.1361269338390663E-2</v>
      </c>
    </row>
    <row r="255" spans="1:10" ht="15.75">
      <c r="A255" s="108"/>
      <c r="B255" s="3" t="s">
        <v>265</v>
      </c>
      <c r="C255" s="29" t="s">
        <v>263</v>
      </c>
      <c r="D255" s="15"/>
      <c r="E255" s="16" t="s">
        <v>590</v>
      </c>
      <c r="F255" s="60">
        <f>178.89856325+149.6242529+162.6350575</f>
        <v>491.15787364999994</v>
      </c>
      <c r="G255" s="60">
        <f>562.1+470.12+511</f>
        <v>1543.22</v>
      </c>
      <c r="H255" s="8">
        <f t="shared" si="23"/>
        <v>7.6456772845082815E-2</v>
      </c>
      <c r="I255" s="8">
        <f t="shared" si="23"/>
        <v>9.0334938750713162E-2</v>
      </c>
      <c r="J255" s="8">
        <f t="shared" si="17"/>
        <v>9.0334938750713162E-2</v>
      </c>
    </row>
    <row r="256" spans="1:10" ht="15.75">
      <c r="A256" s="108"/>
      <c r="B256" s="3" t="s">
        <v>266</v>
      </c>
      <c r="C256" s="29" t="s">
        <v>279</v>
      </c>
      <c r="D256" s="15"/>
      <c r="E256" s="16" t="s">
        <v>591</v>
      </c>
      <c r="F256" s="60">
        <v>715.75755346355697</v>
      </c>
      <c r="G256" s="60">
        <v>2750.4926289999999</v>
      </c>
      <c r="H256" s="8">
        <f t="shared" si="23"/>
        <v>0.1114193940751364</v>
      </c>
      <c r="I256" s="8">
        <f t="shared" si="23"/>
        <v>0.16100464170695236</v>
      </c>
      <c r="J256" s="8">
        <f t="shared" si="17"/>
        <v>0.16100464170695236</v>
      </c>
    </row>
    <row r="257" spans="1:10" ht="29.25">
      <c r="A257" s="108"/>
      <c r="B257" s="3" t="s">
        <v>267</v>
      </c>
      <c r="C257" s="29" t="s">
        <v>272</v>
      </c>
      <c r="D257" s="15"/>
      <c r="E257" s="16" t="s">
        <v>592</v>
      </c>
      <c r="H257" s="8">
        <f t="shared" si="23"/>
        <v>0</v>
      </c>
      <c r="I257" s="8">
        <f t="shared" si="23"/>
        <v>0</v>
      </c>
      <c r="J257" s="8">
        <f t="shared" si="17"/>
        <v>0</v>
      </c>
    </row>
    <row r="258" spans="1:10">
      <c r="A258" s="108"/>
      <c r="B258" s="3" t="s">
        <v>268</v>
      </c>
      <c r="C258" s="29" t="s">
        <v>271</v>
      </c>
      <c r="D258" s="15"/>
      <c r="E258" s="16" t="s">
        <v>593</v>
      </c>
      <c r="H258" s="8">
        <f t="shared" si="23"/>
        <v>0</v>
      </c>
      <c r="I258" s="8">
        <f t="shared" si="23"/>
        <v>0</v>
      </c>
      <c r="J258" s="8">
        <f t="shared" si="17"/>
        <v>0</v>
      </c>
    </row>
    <row r="259" spans="1:10" ht="29.25">
      <c r="A259" s="108"/>
      <c r="B259" s="3" t="s">
        <v>269</v>
      </c>
      <c r="C259" s="29" t="s">
        <v>275</v>
      </c>
      <c r="D259" s="15"/>
      <c r="E259" s="16" t="s">
        <v>594</v>
      </c>
      <c r="H259" s="8">
        <f t="shared" si="23"/>
        <v>0</v>
      </c>
      <c r="I259" s="8">
        <f t="shared" si="23"/>
        <v>0</v>
      </c>
      <c r="J259" s="8">
        <f t="shared" si="17"/>
        <v>0</v>
      </c>
    </row>
    <row r="260" spans="1:10">
      <c r="A260" s="108"/>
      <c r="B260" s="3" t="s">
        <v>270</v>
      </c>
      <c r="C260" s="29" t="s">
        <v>267</v>
      </c>
      <c r="D260" s="15"/>
      <c r="E260" s="16" t="s">
        <v>595</v>
      </c>
      <c r="H260" s="8">
        <f t="shared" si="23"/>
        <v>0</v>
      </c>
      <c r="I260" s="8">
        <f t="shared" si="23"/>
        <v>0</v>
      </c>
      <c r="J260" s="8">
        <f t="shared" ref="J260:J285" si="24">I260</f>
        <v>0</v>
      </c>
    </row>
    <row r="261" spans="1:10">
      <c r="A261" s="108"/>
      <c r="B261" s="3" t="s">
        <v>271</v>
      </c>
      <c r="C261" s="29" t="s">
        <v>274</v>
      </c>
      <c r="D261" s="15"/>
      <c r="E261" s="16" t="s">
        <v>596</v>
      </c>
      <c r="H261" s="8">
        <f t="shared" si="23"/>
        <v>0</v>
      </c>
      <c r="I261" s="8">
        <f t="shared" si="23"/>
        <v>0</v>
      </c>
      <c r="J261" s="8">
        <f t="shared" si="24"/>
        <v>0</v>
      </c>
    </row>
    <row r="262" spans="1:10">
      <c r="A262" s="108"/>
      <c r="B262" s="3" t="s">
        <v>272</v>
      </c>
      <c r="C262" s="29" t="s">
        <v>282</v>
      </c>
      <c r="D262" s="15"/>
      <c r="E262" s="16" t="s">
        <v>597</v>
      </c>
      <c r="H262" s="8">
        <f t="shared" si="23"/>
        <v>0</v>
      </c>
      <c r="I262" s="8">
        <f t="shared" si="23"/>
        <v>0</v>
      </c>
      <c r="J262" s="8">
        <f t="shared" si="24"/>
        <v>0</v>
      </c>
    </row>
    <row r="263" spans="1:10">
      <c r="A263" s="108"/>
      <c r="B263" s="3" t="s">
        <v>273</v>
      </c>
      <c r="C263" s="29" t="s">
        <v>287</v>
      </c>
      <c r="D263" s="15"/>
      <c r="E263" s="16" t="s">
        <v>598</v>
      </c>
      <c r="H263" s="8">
        <f t="shared" si="23"/>
        <v>0</v>
      </c>
      <c r="I263" s="8">
        <f t="shared" si="23"/>
        <v>0</v>
      </c>
      <c r="J263" s="8">
        <f t="shared" si="24"/>
        <v>0</v>
      </c>
    </row>
    <row r="264" spans="1:10" ht="15.75">
      <c r="A264" s="108"/>
      <c r="B264" s="3" t="s">
        <v>274</v>
      </c>
      <c r="C264" s="29" t="s">
        <v>265</v>
      </c>
      <c r="D264" s="15"/>
      <c r="E264" s="16" t="s">
        <v>599</v>
      </c>
      <c r="F264" s="60">
        <v>162.63505749999999</v>
      </c>
      <c r="G264" s="60">
        <v>511</v>
      </c>
      <c r="H264" s="8">
        <f t="shared" si="23"/>
        <v>2.531681220035855E-2</v>
      </c>
      <c r="I264" s="8">
        <f t="shared" si="23"/>
        <v>2.9912231374408332E-2</v>
      </c>
      <c r="J264" s="8">
        <f t="shared" si="24"/>
        <v>2.9912231374408332E-2</v>
      </c>
    </row>
    <row r="265" spans="1:10">
      <c r="A265" s="108"/>
      <c r="B265" s="3" t="s">
        <v>275</v>
      </c>
      <c r="C265" s="29" t="s">
        <v>293</v>
      </c>
      <c r="D265" s="15"/>
      <c r="E265" s="16" t="s">
        <v>600</v>
      </c>
      <c r="H265" s="8">
        <f t="shared" si="23"/>
        <v>0</v>
      </c>
      <c r="I265" s="8">
        <f t="shared" si="23"/>
        <v>0</v>
      </c>
      <c r="J265" s="8">
        <f t="shared" si="24"/>
        <v>0</v>
      </c>
    </row>
    <row r="266" spans="1:10">
      <c r="A266" s="108"/>
      <c r="B266" s="3" t="s">
        <v>276</v>
      </c>
      <c r="C266" s="29" t="s">
        <v>292</v>
      </c>
      <c r="D266" s="15"/>
      <c r="E266" s="16" t="s">
        <v>601</v>
      </c>
      <c r="H266" s="8">
        <f t="shared" si="23"/>
        <v>0</v>
      </c>
      <c r="I266" s="8">
        <f t="shared" si="23"/>
        <v>0</v>
      </c>
      <c r="J266" s="8">
        <f t="shared" si="24"/>
        <v>0</v>
      </c>
    </row>
    <row r="267" spans="1:10" ht="29.25">
      <c r="A267" s="108"/>
      <c r="B267" s="3" t="s">
        <v>277</v>
      </c>
      <c r="C267" s="29" t="s">
        <v>291</v>
      </c>
      <c r="D267" s="15"/>
      <c r="E267" s="16" t="s">
        <v>602</v>
      </c>
      <c r="H267" s="8">
        <f t="shared" si="23"/>
        <v>0</v>
      </c>
      <c r="I267" s="8">
        <f t="shared" si="23"/>
        <v>0</v>
      </c>
      <c r="J267" s="8">
        <f t="shared" si="24"/>
        <v>0</v>
      </c>
    </row>
    <row r="268" spans="1:10">
      <c r="A268" s="108"/>
      <c r="B268" s="3" t="s">
        <v>278</v>
      </c>
      <c r="C268" s="29" t="s">
        <v>290</v>
      </c>
      <c r="D268" s="15"/>
      <c r="E268" s="16" t="s">
        <v>603</v>
      </c>
      <c r="H268" s="8">
        <f t="shared" si="23"/>
        <v>0</v>
      </c>
      <c r="I268" s="8">
        <f t="shared" si="23"/>
        <v>0</v>
      </c>
      <c r="J268" s="8">
        <f t="shared" si="24"/>
        <v>0</v>
      </c>
    </row>
    <row r="269" spans="1:10" ht="29.25">
      <c r="A269" s="108"/>
      <c r="B269" s="3" t="s">
        <v>279</v>
      </c>
      <c r="C269" s="29" t="s">
        <v>289</v>
      </c>
      <c r="D269" s="15"/>
      <c r="E269" s="16" t="s">
        <v>604</v>
      </c>
      <c r="H269" s="8">
        <f t="shared" si="23"/>
        <v>0</v>
      </c>
      <c r="I269" s="8">
        <f t="shared" si="23"/>
        <v>0</v>
      </c>
      <c r="J269" s="8">
        <f t="shared" si="24"/>
        <v>0</v>
      </c>
    </row>
    <row r="270" spans="1:10" ht="29.25">
      <c r="A270" s="108"/>
      <c r="B270" s="3" t="s">
        <v>280</v>
      </c>
      <c r="C270" s="29" t="s">
        <v>286</v>
      </c>
      <c r="D270" s="15"/>
      <c r="E270" s="16" t="s">
        <v>605</v>
      </c>
      <c r="H270" s="8">
        <f t="shared" si="23"/>
        <v>0</v>
      </c>
      <c r="I270" s="8">
        <f t="shared" si="23"/>
        <v>0</v>
      </c>
      <c r="J270" s="8">
        <f t="shared" si="24"/>
        <v>0</v>
      </c>
    </row>
    <row r="271" spans="1:10">
      <c r="A271" s="108"/>
      <c r="B271" s="3" t="s">
        <v>281</v>
      </c>
      <c r="C271" s="29" t="s">
        <v>283</v>
      </c>
      <c r="D271" s="15"/>
      <c r="E271" s="16" t="s">
        <v>606</v>
      </c>
      <c r="H271" s="8">
        <f t="shared" si="23"/>
        <v>0</v>
      </c>
      <c r="I271" s="8">
        <f t="shared" si="23"/>
        <v>0</v>
      </c>
      <c r="J271" s="8">
        <f t="shared" si="24"/>
        <v>0</v>
      </c>
    </row>
    <row r="272" spans="1:10">
      <c r="A272" s="108"/>
      <c r="B272" s="3" t="s">
        <v>282</v>
      </c>
      <c r="C272" s="29" t="s">
        <v>276</v>
      </c>
      <c r="D272" s="15"/>
      <c r="E272" s="16" t="s">
        <v>607</v>
      </c>
      <c r="H272" s="8">
        <f t="shared" si="23"/>
        <v>0</v>
      </c>
      <c r="I272" s="8">
        <f t="shared" si="23"/>
        <v>0</v>
      </c>
      <c r="J272" s="8">
        <f t="shared" si="24"/>
        <v>0</v>
      </c>
    </row>
    <row r="273" spans="1:11">
      <c r="A273" s="108"/>
      <c r="B273" s="3" t="s">
        <v>283</v>
      </c>
      <c r="C273" s="29" t="s">
        <v>273</v>
      </c>
      <c r="D273" s="15"/>
      <c r="E273" s="16" t="s">
        <v>608</v>
      </c>
      <c r="H273" s="8">
        <f t="shared" si="23"/>
        <v>0</v>
      </c>
      <c r="I273" s="8">
        <f t="shared" si="23"/>
        <v>0</v>
      </c>
      <c r="J273" s="8">
        <f t="shared" si="24"/>
        <v>0</v>
      </c>
    </row>
    <row r="274" spans="1:11" ht="29.25">
      <c r="A274" s="108"/>
      <c r="B274" s="3" t="s">
        <v>284</v>
      </c>
      <c r="C274" s="29" t="s">
        <v>288</v>
      </c>
      <c r="D274" s="15"/>
      <c r="E274" s="16" t="s">
        <v>609</v>
      </c>
      <c r="H274" s="8">
        <f t="shared" si="23"/>
        <v>0</v>
      </c>
      <c r="I274" s="8">
        <f t="shared" si="23"/>
        <v>0</v>
      </c>
      <c r="J274" s="8">
        <f t="shared" si="24"/>
        <v>0</v>
      </c>
    </row>
    <row r="275" spans="1:11">
      <c r="A275" s="108"/>
      <c r="B275" s="3" t="s">
        <v>285</v>
      </c>
      <c r="C275" s="29" t="s">
        <v>284</v>
      </c>
      <c r="D275" s="15"/>
      <c r="E275" s="16" t="s">
        <v>610</v>
      </c>
      <c r="H275" s="8">
        <f t="shared" si="23"/>
        <v>0</v>
      </c>
      <c r="I275" s="8">
        <f t="shared" si="23"/>
        <v>0</v>
      </c>
      <c r="J275" s="8">
        <f t="shared" si="24"/>
        <v>0</v>
      </c>
    </row>
    <row r="276" spans="1:11">
      <c r="A276" s="108"/>
      <c r="B276" s="3" t="s">
        <v>286</v>
      </c>
      <c r="C276" s="29" t="s">
        <v>281</v>
      </c>
      <c r="D276" s="15"/>
      <c r="E276" s="16" t="s">
        <v>611</v>
      </c>
      <c r="H276" s="8">
        <f t="shared" si="23"/>
        <v>0</v>
      </c>
      <c r="I276" s="8">
        <f t="shared" si="23"/>
        <v>0</v>
      </c>
      <c r="J276" s="8">
        <f t="shared" si="24"/>
        <v>0</v>
      </c>
    </row>
    <row r="277" spans="1:11">
      <c r="A277" s="108"/>
      <c r="B277" s="3" t="s">
        <v>287</v>
      </c>
      <c r="C277" s="29" t="s">
        <v>278</v>
      </c>
      <c r="D277" s="15"/>
      <c r="E277" s="16" t="s">
        <v>612</v>
      </c>
      <c r="H277" s="8">
        <f t="shared" si="23"/>
        <v>0</v>
      </c>
      <c r="I277" s="8">
        <f t="shared" si="23"/>
        <v>0</v>
      </c>
      <c r="J277" s="8">
        <f t="shared" si="24"/>
        <v>0</v>
      </c>
    </row>
    <row r="278" spans="1:11">
      <c r="A278" s="108"/>
      <c r="B278" s="3" t="s">
        <v>288</v>
      </c>
      <c r="C278" s="29" t="s">
        <v>255</v>
      </c>
      <c r="D278" s="15"/>
      <c r="E278" s="16" t="s">
        <v>613</v>
      </c>
      <c r="H278" s="8">
        <f t="shared" si="23"/>
        <v>0</v>
      </c>
      <c r="I278" s="8">
        <f t="shared" si="23"/>
        <v>0</v>
      </c>
      <c r="J278" s="8">
        <f t="shared" si="24"/>
        <v>0</v>
      </c>
    </row>
    <row r="279" spans="1:11">
      <c r="A279" s="108"/>
      <c r="B279" s="3" t="s">
        <v>289</v>
      </c>
      <c r="C279" s="29" t="s">
        <v>256</v>
      </c>
      <c r="D279" s="15"/>
      <c r="E279" s="16" t="s">
        <v>614</v>
      </c>
      <c r="H279" s="8">
        <f t="shared" si="23"/>
        <v>0</v>
      </c>
      <c r="I279" s="8">
        <f t="shared" si="23"/>
        <v>0</v>
      </c>
      <c r="J279" s="8">
        <f t="shared" si="24"/>
        <v>0</v>
      </c>
    </row>
    <row r="280" spans="1:11">
      <c r="A280" s="108"/>
      <c r="B280" s="3" t="s">
        <v>290</v>
      </c>
      <c r="C280" s="29" t="s">
        <v>261</v>
      </c>
      <c r="D280" s="15"/>
      <c r="E280" s="16" t="s">
        <v>615</v>
      </c>
      <c r="H280" s="8">
        <f t="shared" si="23"/>
        <v>0</v>
      </c>
      <c r="I280" s="8">
        <f t="shared" si="23"/>
        <v>0</v>
      </c>
      <c r="J280" s="8">
        <f t="shared" si="24"/>
        <v>0</v>
      </c>
    </row>
    <row r="281" spans="1:11">
      <c r="A281" s="108"/>
      <c r="B281" s="3" t="s">
        <v>291</v>
      </c>
      <c r="C281" s="29" t="s">
        <v>259</v>
      </c>
      <c r="D281" s="15"/>
      <c r="E281" s="16" t="s">
        <v>616</v>
      </c>
      <c r="H281" s="8">
        <f t="shared" si="23"/>
        <v>0</v>
      </c>
      <c r="I281" s="8">
        <f t="shared" si="23"/>
        <v>0</v>
      </c>
      <c r="J281" s="8">
        <f t="shared" si="24"/>
        <v>0</v>
      </c>
    </row>
    <row r="282" spans="1:11" ht="15.75">
      <c r="A282" s="108"/>
      <c r="B282" s="3" t="s">
        <v>292</v>
      </c>
      <c r="C282" s="29" t="s">
        <v>260</v>
      </c>
      <c r="D282" s="31"/>
      <c r="E282" s="16" t="s">
        <v>617</v>
      </c>
      <c r="F282" s="60">
        <v>149.62425289999999</v>
      </c>
      <c r="G282" s="60">
        <v>470.12</v>
      </c>
      <c r="H282" s="8">
        <f t="shared" si="23"/>
        <v>2.3291467224329867E-2</v>
      </c>
      <c r="I282" s="8">
        <f t="shared" si="23"/>
        <v>2.7519252864455664E-2</v>
      </c>
      <c r="J282" s="8">
        <f t="shared" si="24"/>
        <v>2.7519252864455664E-2</v>
      </c>
    </row>
    <row r="283" spans="1:11">
      <c r="A283" s="108"/>
      <c r="B283" s="3" t="s">
        <v>293</v>
      </c>
      <c r="C283" s="29" t="s">
        <v>258</v>
      </c>
      <c r="D283" s="15"/>
      <c r="E283" s="16" t="s">
        <v>618</v>
      </c>
      <c r="H283" s="8">
        <f t="shared" si="23"/>
        <v>0</v>
      </c>
      <c r="I283" s="8">
        <f t="shared" si="23"/>
        <v>0</v>
      </c>
      <c r="J283" s="8">
        <f t="shared" si="24"/>
        <v>0</v>
      </c>
    </row>
    <row r="284" spans="1:11" ht="15.75">
      <c r="A284" s="108"/>
      <c r="B284" s="3" t="s">
        <v>294</v>
      </c>
      <c r="C284" s="29" t="s">
        <v>257</v>
      </c>
      <c r="D284" s="15"/>
      <c r="E284" s="16" t="s">
        <v>619</v>
      </c>
      <c r="F284" s="60">
        <v>149.62425289999999</v>
      </c>
      <c r="G284" s="60">
        <v>470.12</v>
      </c>
      <c r="H284" s="8">
        <f t="shared" si="23"/>
        <v>2.3291467224329867E-2</v>
      </c>
      <c r="I284" s="8">
        <f t="shared" si="23"/>
        <v>2.7519252864455664E-2</v>
      </c>
      <c r="J284" s="8">
        <f t="shared" si="24"/>
        <v>2.7519252864455664E-2</v>
      </c>
    </row>
    <row r="285" spans="1:11" ht="15.75">
      <c r="A285" s="108"/>
      <c r="B285" s="3" t="s">
        <v>295</v>
      </c>
      <c r="C285" s="29" t="s">
        <v>262</v>
      </c>
      <c r="D285" s="15"/>
      <c r="E285" s="16" t="s">
        <v>620</v>
      </c>
      <c r="F285" s="60">
        <v>299.24850579999998</v>
      </c>
      <c r="G285" s="60">
        <v>940.24</v>
      </c>
      <c r="H285" s="8">
        <f t="shared" si="23"/>
        <v>4.6582934448659734E-2</v>
      </c>
      <c r="I285" s="8">
        <f t="shared" si="23"/>
        <v>5.5038505728911329E-2</v>
      </c>
      <c r="J285" s="8">
        <f t="shared" si="24"/>
        <v>5.5038505728911329E-2</v>
      </c>
    </row>
    <row r="286" spans="1:11">
      <c r="A286" s="108" t="s">
        <v>27</v>
      </c>
      <c r="B286" s="3" t="s">
        <v>296</v>
      </c>
      <c r="C286" s="21" t="s">
        <v>298</v>
      </c>
      <c r="E286" s="19" t="s">
        <v>629</v>
      </c>
      <c r="J286" s="8">
        <f>1/ROWS(C286:C292)</f>
        <v>0.14285714285714285</v>
      </c>
      <c r="K286" s="91" t="s">
        <v>950</v>
      </c>
    </row>
    <row r="287" spans="1:11">
      <c r="A287" s="108"/>
      <c r="B287" s="3" t="s">
        <v>297</v>
      </c>
      <c r="C287" s="19" t="s">
        <v>297</v>
      </c>
      <c r="E287" s="19" t="s">
        <v>630</v>
      </c>
      <c r="J287" s="8">
        <f t="shared" ref="J287:J292" si="25">1/ROWS(C287:C293)</f>
        <v>0.14285714285714285</v>
      </c>
      <c r="K287" s="91" t="s">
        <v>950</v>
      </c>
    </row>
    <row r="288" spans="1:11">
      <c r="A288" s="108"/>
      <c r="B288" s="3" t="s">
        <v>298</v>
      </c>
      <c r="C288" s="19" t="s">
        <v>299</v>
      </c>
      <c r="E288" s="19" t="s">
        <v>631</v>
      </c>
      <c r="J288" s="8">
        <f t="shared" si="25"/>
        <v>0.14285714285714285</v>
      </c>
      <c r="K288" s="91" t="s">
        <v>950</v>
      </c>
    </row>
    <row r="289" spans="1:11">
      <c r="A289" s="108"/>
      <c r="B289" s="3" t="s">
        <v>299</v>
      </c>
      <c r="C289" s="29" t="s">
        <v>625</v>
      </c>
      <c r="E289" s="19" t="s">
        <v>632</v>
      </c>
      <c r="J289" s="8">
        <f t="shared" si="25"/>
        <v>0.14285714285714285</v>
      </c>
      <c r="K289" s="91" t="s">
        <v>950</v>
      </c>
    </row>
    <row r="290" spans="1:11">
      <c r="A290" s="108"/>
      <c r="B290" s="3" t="s">
        <v>300</v>
      </c>
      <c r="C290" s="21" t="s">
        <v>626</v>
      </c>
      <c r="E290" s="19" t="s">
        <v>633</v>
      </c>
      <c r="J290" s="8">
        <f t="shared" si="25"/>
        <v>0.14285714285714285</v>
      </c>
      <c r="K290" s="91" t="s">
        <v>950</v>
      </c>
    </row>
    <row r="291" spans="1:11">
      <c r="A291" s="108"/>
      <c r="B291" s="3" t="s">
        <v>301</v>
      </c>
      <c r="C291" s="21" t="s">
        <v>627</v>
      </c>
      <c r="E291" s="19" t="s">
        <v>634</v>
      </c>
      <c r="J291" s="8">
        <f t="shared" si="25"/>
        <v>0.14285714285714285</v>
      </c>
      <c r="K291" s="91" t="s">
        <v>950</v>
      </c>
    </row>
    <row r="292" spans="1:11">
      <c r="A292" s="108"/>
      <c r="B292" s="3" t="s">
        <v>302</v>
      </c>
      <c r="C292" s="21" t="s">
        <v>628</v>
      </c>
      <c r="E292" s="19" t="s">
        <v>635</v>
      </c>
      <c r="J292" s="8">
        <f t="shared" si="25"/>
        <v>0.14285714285714285</v>
      </c>
      <c r="K292" s="91" t="s">
        <v>950</v>
      </c>
    </row>
    <row r="293" spans="1:11">
      <c r="A293" s="108"/>
      <c r="C293" s="12" t="s">
        <v>302</v>
      </c>
      <c r="E293" s="19"/>
      <c r="J293" s="8">
        <f>J289*1.3/2.3</f>
        <v>8.0745341614906846E-2</v>
      </c>
    </row>
    <row r="294" spans="1:11">
      <c r="A294" s="108"/>
      <c r="C294" s="12" t="s">
        <v>301</v>
      </c>
      <c r="E294" s="19"/>
      <c r="J294" s="8">
        <f>J289*1/2.3</f>
        <v>6.2111801242236024E-2</v>
      </c>
    </row>
    <row r="295" spans="1:11">
      <c r="A295" s="108"/>
      <c r="C295" s="12" t="s">
        <v>300</v>
      </c>
      <c r="E295" s="19"/>
      <c r="J295" s="8">
        <f>J290</f>
        <v>0.14285714285714285</v>
      </c>
    </row>
    <row r="296" spans="1:11">
      <c r="A296" s="108"/>
      <c r="C296" s="12" t="s">
        <v>296</v>
      </c>
      <c r="E296" s="19"/>
      <c r="J296" s="8">
        <f>J291</f>
        <v>0.14285714285714285</v>
      </c>
    </row>
    <row r="297" spans="1:11">
      <c r="A297" s="108" t="s">
        <v>636</v>
      </c>
      <c r="B297" s="3" t="s">
        <v>303</v>
      </c>
      <c r="C297" s="21" t="s">
        <v>305</v>
      </c>
      <c r="D297" s="20"/>
      <c r="E297" s="21" t="s">
        <v>637</v>
      </c>
      <c r="J297" s="8">
        <f t="shared" ref="J297:J303" si="26">1/ROWS(C297:C303)</f>
        <v>0.14285714285714285</v>
      </c>
      <c r="K297" s="91" t="s">
        <v>950</v>
      </c>
    </row>
    <row r="298" spans="1:11">
      <c r="A298" s="108"/>
      <c r="B298" s="3" t="s">
        <v>304</v>
      </c>
      <c r="C298" s="21" t="s">
        <v>307</v>
      </c>
      <c r="D298" s="20"/>
      <c r="E298" s="21" t="s">
        <v>638</v>
      </c>
      <c r="J298" s="8">
        <f t="shared" si="26"/>
        <v>0.14285714285714285</v>
      </c>
      <c r="K298" s="91" t="s">
        <v>950</v>
      </c>
    </row>
    <row r="299" spans="1:11">
      <c r="A299" s="108"/>
      <c r="B299" s="3" t="s">
        <v>305</v>
      </c>
      <c r="C299" s="21" t="s">
        <v>309</v>
      </c>
      <c r="D299" s="20"/>
      <c r="E299" s="21" t="s">
        <v>639</v>
      </c>
      <c r="J299" s="8">
        <f t="shared" si="26"/>
        <v>0.14285714285714285</v>
      </c>
      <c r="K299" s="91" t="s">
        <v>950</v>
      </c>
    </row>
    <row r="300" spans="1:11">
      <c r="A300" s="108"/>
      <c r="B300" s="3" t="s">
        <v>306</v>
      </c>
      <c r="C300" s="21" t="s">
        <v>303</v>
      </c>
      <c r="D300" s="20"/>
      <c r="E300" s="21" t="s">
        <v>640</v>
      </c>
      <c r="J300" s="8">
        <f t="shared" si="26"/>
        <v>0.14285714285714285</v>
      </c>
      <c r="K300" s="91" t="s">
        <v>950</v>
      </c>
    </row>
    <row r="301" spans="1:11">
      <c r="A301" s="108"/>
      <c r="B301" s="3" t="s">
        <v>307</v>
      </c>
      <c r="C301" s="21" t="s">
        <v>308</v>
      </c>
      <c r="D301" s="20"/>
      <c r="E301" s="21" t="s">
        <v>641</v>
      </c>
      <c r="J301" s="8">
        <f t="shared" si="26"/>
        <v>0.14285714285714285</v>
      </c>
      <c r="K301" s="91" t="s">
        <v>950</v>
      </c>
    </row>
    <row r="302" spans="1:11">
      <c r="A302" s="108"/>
      <c r="B302" s="3" t="s">
        <v>308</v>
      </c>
      <c r="C302" s="21" t="s">
        <v>304</v>
      </c>
      <c r="D302" s="20"/>
      <c r="E302" s="21" t="s">
        <v>642</v>
      </c>
      <c r="J302" s="8">
        <f t="shared" si="26"/>
        <v>0.14285714285714285</v>
      </c>
      <c r="K302" s="91" t="s">
        <v>950</v>
      </c>
    </row>
    <row r="303" spans="1:11">
      <c r="A303" s="108"/>
      <c r="B303" s="3" t="s">
        <v>309</v>
      </c>
      <c r="C303" s="21" t="s">
        <v>306</v>
      </c>
      <c r="D303" s="20"/>
      <c r="E303" s="21" t="s">
        <v>643</v>
      </c>
      <c r="J303" s="8">
        <f t="shared" si="26"/>
        <v>0.14285714285714285</v>
      </c>
      <c r="K303" s="91" t="s">
        <v>950</v>
      </c>
    </row>
    <row r="304" spans="1:11">
      <c r="A304" s="26" t="s">
        <v>28</v>
      </c>
      <c r="B304" s="3" t="s">
        <v>310</v>
      </c>
      <c r="C304" s="33" t="s">
        <v>310</v>
      </c>
      <c r="D304" s="34"/>
      <c r="E304" s="33" t="s">
        <v>644</v>
      </c>
      <c r="J304" s="8">
        <v>1</v>
      </c>
      <c r="K304" s="91" t="s">
        <v>950</v>
      </c>
    </row>
    <row r="305" spans="1:11">
      <c r="A305" s="24" t="s">
        <v>29</v>
      </c>
      <c r="B305" s="3" t="s">
        <v>311</v>
      </c>
      <c r="C305" s="19" t="s">
        <v>311</v>
      </c>
      <c r="D305" s="16"/>
      <c r="E305" s="16" t="s">
        <v>645</v>
      </c>
      <c r="J305" s="8">
        <v>1</v>
      </c>
      <c r="K305" s="91" t="s">
        <v>950</v>
      </c>
    </row>
    <row r="306" spans="1:11">
      <c r="A306" s="108" t="s">
        <v>30</v>
      </c>
      <c r="B306" s="3" t="s">
        <v>35</v>
      </c>
      <c r="C306" s="19" t="s">
        <v>33</v>
      </c>
      <c r="D306" s="16"/>
      <c r="E306" s="19" t="s">
        <v>646</v>
      </c>
      <c r="J306" s="8">
        <v>0.33329999999999999</v>
      </c>
      <c r="K306" s="91" t="s">
        <v>950</v>
      </c>
    </row>
    <row r="307" spans="1:11">
      <c r="A307" s="108"/>
      <c r="B307" s="3" t="s">
        <v>34</v>
      </c>
      <c r="C307" s="19" t="s">
        <v>34</v>
      </c>
      <c r="D307" s="16"/>
      <c r="E307" s="19" t="s">
        <v>647</v>
      </c>
      <c r="J307" s="8">
        <v>0.33329999999999999</v>
      </c>
      <c r="K307" s="91" t="s">
        <v>950</v>
      </c>
    </row>
    <row r="308" spans="1:11">
      <c r="A308" s="108"/>
      <c r="B308" s="3" t="s">
        <v>33</v>
      </c>
      <c r="C308" s="19" t="s">
        <v>35</v>
      </c>
      <c r="D308" s="16"/>
      <c r="E308" s="19" t="s">
        <v>648</v>
      </c>
      <c r="J308" s="8">
        <v>0.33329999999999999</v>
      </c>
      <c r="K308" s="91" t="s">
        <v>950</v>
      </c>
    </row>
    <row r="309" spans="1:11">
      <c r="A309" s="108" t="s">
        <v>31</v>
      </c>
      <c r="B309" s="3" t="s">
        <v>312</v>
      </c>
      <c r="C309" s="19" t="s">
        <v>315</v>
      </c>
      <c r="D309" s="16"/>
      <c r="E309" s="19" t="s">
        <v>649</v>
      </c>
      <c r="J309" s="8">
        <v>0.25</v>
      </c>
      <c r="K309" s="91" t="s">
        <v>950</v>
      </c>
    </row>
    <row r="310" spans="1:11">
      <c r="A310" s="108"/>
      <c r="B310" s="3" t="s">
        <v>313</v>
      </c>
      <c r="C310" s="19" t="s">
        <v>314</v>
      </c>
      <c r="D310" s="16"/>
      <c r="E310" s="19" t="s">
        <v>650</v>
      </c>
      <c r="J310" s="8">
        <v>0.25</v>
      </c>
      <c r="K310" s="91" t="s">
        <v>950</v>
      </c>
    </row>
    <row r="311" spans="1:11" ht="29.25">
      <c r="A311" s="108"/>
      <c r="B311" s="3" t="s">
        <v>314</v>
      </c>
      <c r="C311" s="19" t="s">
        <v>313</v>
      </c>
      <c r="D311" s="16"/>
      <c r="E311" s="16" t="s">
        <v>651</v>
      </c>
      <c r="J311" s="8">
        <v>0.25</v>
      </c>
      <c r="K311" s="91" t="s">
        <v>950</v>
      </c>
    </row>
    <row r="312" spans="1:11">
      <c r="A312" s="108"/>
      <c r="B312" s="3" t="s">
        <v>315</v>
      </c>
      <c r="C312" s="19" t="s">
        <v>312</v>
      </c>
      <c r="D312" s="16"/>
      <c r="E312" s="16" t="s">
        <v>652</v>
      </c>
      <c r="J312" s="8">
        <v>0.25</v>
      </c>
      <c r="K312" s="91" t="s">
        <v>950</v>
      </c>
    </row>
    <row r="313" spans="1:11">
      <c r="A313" s="26" t="s">
        <v>32</v>
      </c>
      <c r="B313" s="3" t="s">
        <v>5018</v>
      </c>
      <c r="C313" s="19" t="s">
        <v>5018</v>
      </c>
      <c r="J313" s="8">
        <v>1</v>
      </c>
      <c r="K313" s="91" t="s">
        <v>950</v>
      </c>
    </row>
    <row r="314" spans="1:11">
      <c r="A314" s="26" t="s">
        <v>654</v>
      </c>
      <c r="B314" s="3" t="s">
        <v>656</v>
      </c>
      <c r="C314" s="19" t="s">
        <v>656</v>
      </c>
      <c r="E314" s="3" t="s">
        <v>654</v>
      </c>
      <c r="J314" s="8">
        <v>1</v>
      </c>
      <c r="K314" s="91" t="s">
        <v>950</v>
      </c>
    </row>
    <row r="315" spans="1:11">
      <c r="A315" s="26" t="s">
        <v>2150</v>
      </c>
      <c r="C315" s="19" t="s">
        <v>655</v>
      </c>
      <c r="E315" s="3" t="s">
        <v>653</v>
      </c>
      <c r="J315" s="8">
        <v>1</v>
      </c>
      <c r="K315" s="91" t="s">
        <v>950</v>
      </c>
    </row>
  </sheetData>
  <mergeCells count="27">
    <mergeCell ref="A297:A303"/>
    <mergeCell ref="A306:A308"/>
    <mergeCell ref="A309:A312"/>
    <mergeCell ref="A226:A227"/>
    <mergeCell ref="A228:A231"/>
    <mergeCell ref="A232:A236"/>
    <mergeCell ref="A237:A244"/>
    <mergeCell ref="A245:A285"/>
    <mergeCell ref="A286:A296"/>
    <mergeCell ref="A218:A225"/>
    <mergeCell ref="A74:A86"/>
    <mergeCell ref="A87:A105"/>
    <mergeCell ref="A106:A132"/>
    <mergeCell ref="A133:A137"/>
    <mergeCell ref="A138:A158"/>
    <mergeCell ref="A161:A162"/>
    <mergeCell ref="A164:A171"/>
    <mergeCell ref="A173:A184"/>
    <mergeCell ref="A185:A193"/>
    <mergeCell ref="A194:A210"/>
    <mergeCell ref="A211:A217"/>
    <mergeCell ref="A71:A73"/>
    <mergeCell ref="A2:A12"/>
    <mergeCell ref="A13:A18"/>
    <mergeCell ref="A19:A26"/>
    <mergeCell ref="A27:A31"/>
    <mergeCell ref="A32:A6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steel</vt:lpstr>
      <vt:lpstr>steel_stainless</vt:lpstr>
      <vt:lpstr>alu_prim</vt:lpstr>
      <vt:lpstr>alu_sec</vt:lpstr>
      <vt:lpstr>copper_prim</vt:lpstr>
      <vt:lpstr>copper_sec</vt:lpstr>
      <vt:lpstr>paper</vt:lpstr>
      <vt:lpstr>cement</vt:lpstr>
      <vt:lpstr>glass</vt:lpstr>
      <vt:lpstr>chlorine</vt:lpstr>
      <vt:lpstr>ammonia</vt:lpstr>
      <vt:lpstr>methanol</vt:lpstr>
      <vt:lpstr>ethylene</vt:lpstr>
      <vt:lpstr>propylene</vt:lpstr>
      <vt:lpstr>aromate</vt:lpstr>
      <vt:lpstr>Info</vt:lpstr>
      <vt:lpstr>Info_alu_sek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Kerekes, Andelka</cp:lastModifiedBy>
  <dcterms:created xsi:type="dcterms:W3CDTF">2021-05-13T14:32:01Z</dcterms:created>
  <dcterms:modified xsi:type="dcterms:W3CDTF">2023-05-24T08:58:19Z</dcterms:modified>
</cp:coreProperties>
</file>