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8EB77EE9-D71F-4872-8100-AB056C06E0AD}" xr6:coauthVersionLast="47" xr6:coauthVersionMax="47" xr10:uidLastSave="{00000000-0000-0000-0000-000000000000}"/>
  <bookViews>
    <workbookView xWindow="31005" yWindow="2790" windowWidth="19185" windowHeight="10200" firstSheet="5" activeTab="7" xr2:uid="{D381B1E2-FDBF-4F26-BF70-907299A84E26}"/>
  </bookViews>
  <sheets>
    <sheet name="steel" sheetId="9" r:id="rId1"/>
    <sheet name="steel_prim" sheetId="46" r:id="rId2"/>
    <sheet name="steel_sec" sheetId="45" r:id="rId3"/>
    <sheet name="steel_direct" sheetId="7" r:id="rId4"/>
    <sheet name="alu_prim" sheetId="3" r:id="rId5"/>
    <sheet name="alu_sec" sheetId="17" r:id="rId6"/>
    <sheet name="copper_prim" sheetId="38" r:id="rId7"/>
    <sheet name="copper_sec" sheetId="39" r:id="rId8"/>
    <sheet name="cement" sheetId="5" r:id="rId9"/>
    <sheet name="glass" sheetId="11" r:id="rId10"/>
    <sheet name="glass_detail" sheetId="6" r:id="rId11"/>
    <sheet name="paper" sheetId="10" r:id="rId12"/>
    <sheet name="chlorine" sheetId="12" r:id="rId13"/>
    <sheet name="ammonia" sheetId="8" r:id="rId14"/>
    <sheet name="ammonia_classic" sheetId="40" r:id="rId15"/>
    <sheet name="methanol" sheetId="13" r:id="rId16"/>
    <sheet name="methanol_classic" sheetId="41" r:id="rId17"/>
    <sheet name="ethylene" sheetId="14" r:id="rId18"/>
    <sheet name="ethylene_classic" sheetId="44" r:id="rId19"/>
    <sheet name="propylene" sheetId="15" r:id="rId20"/>
    <sheet name="propylene_classic" sheetId="42" r:id="rId21"/>
    <sheet name="aromate" sheetId="16" r:id="rId22"/>
    <sheet name="aromate_classic" sheetId="43" r:id="rId23"/>
    <sheet name="Info" sheetId="2" r:id="rId24"/>
    <sheet name="Cereals" sheetId="18" r:id="rId25"/>
    <sheet name="Rice" sheetId="19" r:id="rId26"/>
    <sheet name="Pulses" sheetId="20" r:id="rId27"/>
    <sheet name="Roots" sheetId="21" r:id="rId28"/>
    <sheet name="Brassiacas" sheetId="22" r:id="rId29"/>
    <sheet name="Leafy" sheetId="23" r:id="rId30"/>
    <sheet name="Tomatoes" sheetId="24" r:id="rId31"/>
    <sheet name="Cucumbers" sheetId="25" r:id="rId32"/>
    <sheet name="Watermelons" sheetId="26" r:id="rId33"/>
    <sheet name="Tuber" sheetId="27" r:id="rId34"/>
    <sheet name="Strawberries" sheetId="28" r:id="rId35"/>
    <sheet name="Pome" sheetId="29" r:id="rId36"/>
    <sheet name="Peaches" sheetId="30" r:id="rId37"/>
    <sheet name="Plums" sheetId="31" r:id="rId38"/>
    <sheet name="Tropics" sheetId="32" r:id="rId39"/>
    <sheet name="Nuts" sheetId="33" r:id="rId40"/>
    <sheet name="Citrus" sheetId="34" r:id="rId41"/>
    <sheet name="Grapes" sheetId="35" r:id="rId42"/>
    <sheet name="Info_food" sheetId="36" r:id="rId43"/>
    <sheet name="Conversion" sheetId="37" r:id="rId44"/>
  </sheets>
  <externalReferences>
    <externalReference r:id="rId4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4" l="1"/>
  <c r="D2" i="10"/>
  <c r="C2" i="10"/>
  <c r="C5" i="11"/>
  <c r="H2" i="6" l="1"/>
  <c r="D6" i="5"/>
  <c r="C6" i="5"/>
  <c r="D2" i="39"/>
  <c r="C2" i="39"/>
  <c r="D2" i="38"/>
  <c r="C2" i="38"/>
  <c r="B2" i="38"/>
  <c r="F2" i="7"/>
  <c r="C2" i="7"/>
  <c r="D3" i="45" l="1"/>
  <c r="C3" i="45"/>
  <c r="C2" i="46"/>
  <c r="D2" i="46"/>
  <c r="B3" i="43" l="1"/>
  <c r="D2" i="43"/>
  <c r="B2" i="43" s="1"/>
  <c r="B3" i="42"/>
  <c r="D2" i="42"/>
  <c r="B2" i="42" s="1"/>
  <c r="B3" i="40"/>
  <c r="C2" i="16" l="1"/>
  <c r="F2" i="16"/>
  <c r="F2" i="15"/>
  <c r="C2" i="15"/>
  <c r="C2" i="14"/>
  <c r="C2" i="13"/>
  <c r="C2" i="8"/>
  <c r="F2" i="8"/>
  <c r="B2" i="46" l="1"/>
  <c r="B3" i="45"/>
  <c r="B2" i="10"/>
  <c r="D2" i="44"/>
  <c r="D2" i="41"/>
  <c r="D2" i="40" l="1"/>
  <c r="B2" i="40"/>
  <c r="B2" i="44"/>
  <c r="B2" i="41"/>
  <c r="B2" i="39"/>
  <c r="A2" i="37" l="1"/>
  <c r="B2" i="30" s="1"/>
  <c r="B2" i="25"/>
  <c r="D2" i="25" s="1"/>
  <c r="D2" i="20"/>
  <c r="C2" i="20"/>
  <c r="D2" i="19"/>
  <c r="C2" i="19"/>
  <c r="B2" i="17"/>
  <c r="C2" i="30" l="1"/>
  <c r="D2" i="30"/>
  <c r="C2" i="25"/>
  <c r="B2" i="28"/>
  <c r="B2" i="23"/>
  <c r="B2" i="31"/>
  <c r="B2" i="26"/>
  <c r="B2" i="34"/>
  <c r="B2" i="33"/>
  <c r="B2" i="18"/>
  <c r="B2" i="24"/>
  <c r="B2" i="32"/>
  <c r="B2" i="21"/>
  <c r="B2" i="29"/>
  <c r="B2" i="27"/>
  <c r="B2" i="35"/>
  <c r="B2" i="22"/>
  <c r="B2" i="9"/>
  <c r="D2" i="31" l="1"/>
  <c r="C2" i="31"/>
  <c r="C2" i="35"/>
  <c r="D2" i="35"/>
  <c r="D2" i="29"/>
  <c r="C2" i="29"/>
  <c r="D2" i="21"/>
  <c r="C2" i="21"/>
  <c r="D2" i="23"/>
  <c r="C2" i="23"/>
  <c r="D2" i="34"/>
  <c r="C2" i="34"/>
  <c r="D2" i="24"/>
  <c r="C2" i="24"/>
  <c r="D2" i="26"/>
  <c r="C2" i="26"/>
  <c r="D2" i="28"/>
  <c r="C2" i="28"/>
  <c r="D2" i="18"/>
  <c r="C2" i="18"/>
  <c r="C2" i="27"/>
  <c r="D2" i="27"/>
  <c r="D2" i="32"/>
  <c r="C2" i="32"/>
  <c r="D2" i="22"/>
  <c r="C2" i="22"/>
  <c r="C2" i="33"/>
  <c r="D2" i="33"/>
  <c r="F2" i="13"/>
  <c r="B2" i="15" l="1"/>
  <c r="B2" i="16"/>
  <c r="B2" i="14" l="1"/>
  <c r="B2" i="12" l="1"/>
  <c r="B2" i="13" l="1"/>
  <c r="B2" i="3" l="1"/>
  <c r="B2" i="8" l="1"/>
  <c r="B2" i="7" l="1"/>
  <c r="N3" i="6" l="1"/>
  <c r="O3" i="6"/>
  <c r="P3" i="6"/>
  <c r="Q3" i="6"/>
  <c r="R3" i="6"/>
  <c r="S3" i="6"/>
  <c r="N4" i="6"/>
  <c r="O4" i="6"/>
  <c r="P4" i="6"/>
  <c r="Q4" i="6"/>
  <c r="R4" i="6"/>
  <c r="S4" i="6"/>
  <c r="N5" i="6"/>
  <c r="O5" i="6"/>
  <c r="P5" i="6"/>
  <c r="Q5" i="6"/>
  <c r="R5" i="6"/>
  <c r="S5" i="6"/>
  <c r="N6" i="6"/>
  <c r="O6" i="6"/>
  <c r="P6" i="6"/>
  <c r="Q6" i="6"/>
  <c r="R6" i="6"/>
  <c r="S6" i="6"/>
  <c r="N7" i="6"/>
  <c r="O7" i="6"/>
  <c r="P7" i="6"/>
  <c r="Q7" i="6"/>
  <c r="R7" i="6"/>
  <c r="S7" i="6"/>
  <c r="N8" i="6"/>
  <c r="O8" i="6"/>
  <c r="P8" i="6"/>
  <c r="Q8" i="6"/>
  <c r="R8" i="6"/>
  <c r="S8" i="6"/>
  <c r="S2" i="6"/>
  <c r="R2" i="6"/>
  <c r="Q2" i="6"/>
  <c r="P2" i="6"/>
  <c r="O2" i="6"/>
  <c r="N2" i="6"/>
  <c r="J3" i="6"/>
  <c r="K3" i="6"/>
  <c r="L3" i="6"/>
  <c r="M3" i="6"/>
  <c r="J4" i="6"/>
  <c r="K4" i="6"/>
  <c r="L4" i="6"/>
  <c r="M4" i="6"/>
  <c r="J5" i="6"/>
  <c r="K5" i="6"/>
  <c r="L5" i="6"/>
  <c r="M5" i="6"/>
  <c r="J6" i="6"/>
  <c r="K6" i="6"/>
  <c r="L6" i="6"/>
  <c r="M6" i="6"/>
  <c r="J7" i="6"/>
  <c r="K7" i="6"/>
  <c r="L7" i="6"/>
  <c r="M7" i="6"/>
  <c r="J8" i="6"/>
  <c r="K8" i="6"/>
  <c r="L8" i="6"/>
  <c r="M8" i="6"/>
  <c r="M2" i="6"/>
  <c r="L2" i="6"/>
  <c r="K2" i="6"/>
  <c r="J2" i="6"/>
  <c r="I7" i="6"/>
  <c r="I3" i="6"/>
  <c r="I4" i="6"/>
  <c r="I5" i="6"/>
  <c r="I6" i="6"/>
  <c r="I8" i="6"/>
  <c r="I2" i="6"/>
  <c r="H3" i="6" l="1"/>
  <c r="H4" i="6"/>
  <c r="H5" i="6"/>
  <c r="H6" i="6"/>
  <c r="H7" i="6"/>
  <c r="H8" i="6"/>
  <c r="C3" i="5"/>
  <c r="D3" i="5"/>
  <c r="C4" i="5"/>
  <c r="D4" i="5"/>
  <c r="C5" i="5"/>
  <c r="D5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D2" i="5"/>
  <c r="C2" i="5"/>
  <c r="B2" i="45"/>
  <c r="B3" i="12"/>
  <c r="B3" i="41"/>
  <c r="B3" i="44"/>
</calcChain>
</file>

<file path=xl/sharedStrings.xml><?xml version="1.0" encoding="utf-8"?>
<sst xmlns="http://schemas.openxmlformats.org/spreadsheetml/2006/main" count="659" uniqueCount="232">
  <si>
    <t>Country</t>
  </si>
  <si>
    <t>https://d-nb.info/1049260554/34</t>
  </si>
  <si>
    <t>all</t>
  </si>
  <si>
    <t>Spec energy consumption [GJ/t]</t>
  </si>
  <si>
    <t>Spec heat consumption [GJ/t]</t>
  </si>
  <si>
    <t>Spec electricity consumption [GJ/t]</t>
  </si>
  <si>
    <t>Germany</t>
  </si>
  <si>
    <t>France</t>
  </si>
  <si>
    <t>Italy</t>
  </si>
  <si>
    <t>Spain</t>
  </si>
  <si>
    <t>United Kingdom</t>
  </si>
  <si>
    <t>Poland</t>
  </si>
  <si>
    <t>Container spec energy consumption [GJ/t]</t>
  </si>
  <si>
    <t>Flat spec energy consumption [GJ/t]</t>
  </si>
  <si>
    <t>Continuous spec energy consumption [GJ/t]</t>
  </si>
  <si>
    <t>Domestic spec energy consumption [GJ/t]</t>
  </si>
  <si>
    <t>Special spec energy consumption [GJ/t]</t>
  </si>
  <si>
    <t>Mineral wool spec energy consumption [GJ/t]</t>
  </si>
  <si>
    <t>Container spec electricity consumption [GJ/t]</t>
  </si>
  <si>
    <t>Flat spec electricity consumption [GJ/t]</t>
  </si>
  <si>
    <t>Continuous spec electricity consumption [GJ/t]</t>
  </si>
  <si>
    <t>Domestic spec electricity consumption [GJ/t]</t>
  </si>
  <si>
    <t>Mineral wool spec electricity consumption [GJ/t]</t>
  </si>
  <si>
    <t>Special spec electricity consumption [GJ/t]</t>
  </si>
  <si>
    <t>Container spec heat consumption [GJ/t]</t>
  </si>
  <si>
    <t>Flat spec heat consumption [GJ/t]</t>
  </si>
  <si>
    <t>Continuous spec heat consumption [GJ/t]</t>
  </si>
  <si>
    <t>Domestic spec heat consumption [GJ/t]</t>
  </si>
  <si>
    <t>Special spec heat consumption [GJ/t]</t>
  </si>
  <si>
    <t>Mineral wool spec heat consumption [GJ/t]</t>
  </si>
  <si>
    <t>Austria</t>
  </si>
  <si>
    <t>Belgium</t>
  </si>
  <si>
    <t>Bulgaria</t>
  </si>
  <si>
    <t>Czechia</t>
  </si>
  <si>
    <t>Finland</t>
  </si>
  <si>
    <t>Portugal</t>
  </si>
  <si>
    <t>Romania</t>
  </si>
  <si>
    <t>Slovenia</t>
  </si>
  <si>
    <t>Slovakia</t>
  </si>
  <si>
    <t>Spec hydrogen consumption [GJ/t]</t>
  </si>
  <si>
    <t>Serbia</t>
  </si>
  <si>
    <t>Sweden</t>
  </si>
  <si>
    <t>Hungary</t>
  </si>
  <si>
    <t>Estonia</t>
  </si>
  <si>
    <t>Lithuania</t>
  </si>
  <si>
    <t>Latvia</t>
  </si>
  <si>
    <t>Croatia</t>
  </si>
  <si>
    <t>Greece</t>
  </si>
  <si>
    <t>Ireland</t>
  </si>
  <si>
    <t>Denmark</t>
  </si>
  <si>
    <t>methanol</t>
  </si>
  <si>
    <t>https://static.agora-energiewende.de/fileadmin/Projekte/2018/Dekarbonisierung_Industrie/166_A-EW_Klimaneutrale_Industrie_Ausfuehrliche-Darstellung_WEB.pdf</t>
  </si>
  <si>
    <t>https://dechema.de/dechema_media/Downloads/Positionspapiere/Technology_study_Low_carbon_energy_and_feedstock_for_the_European_chemical_industry.pdf</t>
  </si>
  <si>
    <t>max. subst. of heat with H2 [%]</t>
  </si>
  <si>
    <t>Kommentar</t>
  </si>
  <si>
    <t>max. subst nicht definiert. Annahme 20%</t>
  </si>
  <si>
    <t>Komment on max sub</t>
  </si>
  <si>
    <t>no info, Annahme 20%</t>
  </si>
  <si>
    <t>Komment</t>
  </si>
  <si>
    <t>34% possible</t>
  </si>
  <si>
    <t>Source:</t>
  </si>
  <si>
    <t>https://www.sciencedirect.com/science/article/pii/030691928190035X</t>
  </si>
  <si>
    <t>Assumption:</t>
  </si>
  <si>
    <t>fresh and not frozen food</t>
  </si>
  <si>
    <t>cereals = corn (no other source found)</t>
  </si>
  <si>
    <t>rice: ProPENS direkt, no source</t>
  </si>
  <si>
    <t>https://www.sciencedirect.com/science/article/pii/S0924224417303394?via%3Dihub</t>
  </si>
  <si>
    <t>Rice milling:</t>
  </si>
  <si>
    <t>= 0.42 GJ/t</t>
  </si>
  <si>
    <t>0.42/0.45*0.42 = 0.392 elec</t>
  </si>
  <si>
    <t>0.03/0.45*0.42 = 0.028 fuel = 0.0252 GJ/t heat (90% eff)</t>
  </si>
  <si>
    <t xml:space="preserve">Data from multiple sources from 1975to 1996 reported 66 MJ/kg was used for manufacture of breakfastcereals (Appendix </t>
  </si>
  <si>
    <t>pulses: ProPENS direkt, no source</t>
  </si>
  <si>
    <t>roots = potatos</t>
  </si>
  <si>
    <t>brassiacas = cabbage and brokoli</t>
  </si>
  <si>
    <t>leafy = lettuce, asparagus</t>
  </si>
  <si>
    <t>cucumbers : to be deleted</t>
  </si>
  <si>
    <t>tuber = carrots, onions</t>
  </si>
  <si>
    <t>Conversion factor kcal/kg to GJ/t</t>
  </si>
  <si>
    <t>Proportion elec in energy</t>
  </si>
  <si>
    <t>Proportion heat in energy</t>
  </si>
  <si>
    <t>steel</t>
  </si>
  <si>
    <t>[1]</t>
  </si>
  <si>
    <t>https://www.bmwi.de/Redaktion/DE/Downloads/E/energiewende-in-der-industrie-ap2a-branchensteckbrief-stahl.pdf?__blob=publicationFile&amp;v=4</t>
  </si>
  <si>
    <t>p. 13</t>
  </si>
  <si>
    <t>A1</t>
  </si>
  <si>
    <t xml:space="preserve">fuel 18,13 GJ/t
elec  0,39 MWh (=1,4 GJ/t) </t>
  </si>
  <si>
    <t>oxygen steel "usully" in DE, spec fuel and electricity consumption</t>
  </si>
  <si>
    <t>Since primary and seconday steel are together observed, the specific consumption only of the primary steel (without additional consumption) is considered.</t>
  </si>
  <si>
    <t>steel_prim</t>
  </si>
  <si>
    <t>Further Info:</t>
  </si>
  <si>
    <t>F1</t>
  </si>
  <si>
    <t>F2</t>
  </si>
  <si>
    <t>Specific primary energy consumption</t>
  </si>
  <si>
    <t>https://www.stahl-online.de/wp-content/uploads/2013/12/Fakten_Stahlindustrie_2014-04_6.pdf</t>
  </si>
  <si>
    <t>https://issuu.com/stahlonline/docs/fakten_stahlindustrie_2014-04_6</t>
  </si>
  <si>
    <t>https://www.stahl-online.de/wp-content/uploads/WV-Stahl_Fakten-2020_rz_neu_Web1.pdf</t>
  </si>
  <si>
    <t>F3</t>
  </si>
  <si>
    <t>Generally - Facts regarding steel industry in Germany</t>
  </si>
  <si>
    <t>https://eneff-industrie.info/quickinfos/energieintensive-branchen/daten-zu-besonders-energiehungrigen-produktionsbereichen/</t>
  </si>
  <si>
    <t>Ca. 20GJ/t</t>
  </si>
  <si>
    <t>17.41 or 19.23 GJ/t (crude steel or steel products)</t>
  </si>
  <si>
    <t>https://issuu.com/stahlonline/docs/fakten_stahlindustrie_2017_rz_web_faa65d6cfd2e15</t>
  </si>
  <si>
    <t>https://www.stahl-online.de/wp-content/uploads/2017/12/Fakten_Stahlindustrie_2017_rz_web.pdf</t>
  </si>
  <si>
    <t>F4</t>
  </si>
  <si>
    <t>"Rohstoffeinsatz 2016" feedstock deployment 2016</t>
  </si>
  <si>
    <t>Mainly coking coal</t>
  </si>
  <si>
    <t>F5</t>
  </si>
  <si>
    <t>Specific energy consumption in different European countries</t>
  </si>
  <si>
    <t>steel_sec</t>
  </si>
  <si>
    <t>steel_direct</t>
  </si>
  <si>
    <t xml:space="preserve">Energy flows </t>
  </si>
  <si>
    <t>https://www.bmu.de/fileadmin/Daten_BMU/Pools/Forschungsdatenbank/fkz_3712_12_102_energieeffizienzma%C3%9Fnahmen_bewertung_bf.pdf</t>
  </si>
  <si>
    <t>https://www.umweltbundesamt.de/sites/default/files/medien/367/dokumente/bvt-merkblatt_eisen-_und_stahlerzeugung_endfassung.pdf</t>
  </si>
  <si>
    <t>F6</t>
  </si>
  <si>
    <t>Bewertung der Herstellung von Eisenschwamm unter Verwendung von Wasserstoff.pdf</t>
  </si>
  <si>
    <t>Direct reduction steel</t>
  </si>
  <si>
    <t>Process heat</t>
  </si>
  <si>
    <t>https://www.dena.de/fileadmin/dena/Publikationen/PDFs/2019/Factsheet_PowerFuels_Stahlproduktion_Industrielle_Prozesswaerme.pdf</t>
  </si>
  <si>
    <t>US energy comparison</t>
  </si>
  <si>
    <t>p. 25</t>
  </si>
  <si>
    <t>https://www.hydrogen.energy.gov/pdfs/review19/sa172_elgowainy_2019_o.pdf</t>
  </si>
  <si>
    <t>fuel  191 (Kohlenstoffträger)+50 (Erdgas-Sauerstoffbrenner ) kWh / t = 0.86 GJ/t + 1.26 GJ/t (0,35 MWh/t) Gas for warm rolling = 2.12 GJ/t
elec  0,530 MWh/t = 1.908 GJ/t + 0.42 GJ/t (0,117 MWh/t) for warm rolling = 2.33 GJ/t</t>
  </si>
  <si>
    <t>fuel 18,13 + 1.26 GJ/t (0,35 MWh/t) Gas for warm rolling = 19.39 GJ/t
elec  0,39 MWh (=1,4 GJ/t) + 0.42 GJ/t (0,117 MWh/t) for warm rolling = 1.82 GJ/t</t>
  </si>
  <si>
    <t>alu_prim</t>
  </si>
  <si>
    <t xml:space="preserve">Electricity and fuel demand </t>
  </si>
  <si>
    <t>https://www.bmwk.de/Redaktion/DE/Downloads/E/energiewende-in-der-industrie-ap2a-branchensteckbrief-metall.pdf?__blob=publicationFile&amp;v=4</t>
  </si>
  <si>
    <t>elec: 14,5 MWh/t = 52,2 GJ/t
fuel: 4,78 MWh/t * 19% = 3.27 GJ/t (81% fuel demand for the anode)</t>
  </si>
  <si>
    <t>Fuel: Further processing and anode production
Elec: electrolysis and further processing (alloying)</t>
  </si>
  <si>
    <t>fuel: 1.28+0.4 = 1.64 GJ/t
elec: (13.9MWh/t = )50GJ/t + (126 kWh/t =)0.45 GJ/t + 2 GJ/t = 52.45</t>
  </si>
  <si>
    <t>https://www.umweltbundesamt.at/fileadmin/site/publikationen/REP0303.pdf</t>
  </si>
  <si>
    <t>p. 34 Table: "Input bei der Primäraluminium-Herstellung durch Schmelzflusselektrolyse pro Tonne Aluminium (GEMIS)"</t>
  </si>
  <si>
    <t>Fuel and electricity demand</t>
  </si>
  <si>
    <t xml:space="preserve">elec: 48.2 GJ/t
process heat: 3.8 GJ/t </t>
  </si>
  <si>
    <t xml:space="preserve">Electricity and process heat demand </t>
  </si>
  <si>
    <t>Based on F2, fuel demand in [1] is considered as a process heat demand</t>
  </si>
  <si>
    <t>635 m³ H2 (53,4kg) / t = 53.4kg*33.33kWh/kg = 6.4 GJ/t
0,23 MWh/t elec for preheating = 0.828 GJ/t
0,08 MWh/t elec for mechanical work = 0.288 GJ/t</t>
  </si>
  <si>
    <t>alu_sec</t>
  </si>
  <si>
    <t>elec: 0,5 MWh/t = 1.8 GJ/t
fuel: 2,5 MWh/t = 9 GJ/t</t>
  </si>
  <si>
    <t>Fuel for smelting and total energy demand</t>
  </si>
  <si>
    <t>fuel: 5,9 GJ/t for smelting
total: 11.2 GJ/t</t>
  </si>
  <si>
    <t>fuel (4,4–4,7GJ/t) or (2,5–4,3GJ/t)
Gas 3,53GJ/t or 3,81GJ/t
elec: 0.4-0.9 GJ/t</t>
  </si>
  <si>
    <t>Fig. 3-17</t>
  </si>
  <si>
    <t xml:space="preserve">Der spezifische Strombedarf für die NE-Metallgießereien beträgt etwa 1,5 MWh/t.
Insgesamt ergibt sich für die NE-Metallgießereien ein spezifischer Energieverbrauch von 3,6 MWh/t. </t>
  </si>
  <si>
    <t>elec: 1,5/1000*3600 = 5,4 GJ/t for casting
fuel: (3,6-1,5)/1000*3600 = 7,56 GJ/t for casting</t>
  </si>
  <si>
    <t>Für die Primärkupferherstellung werden ab dem Kupferwerk etwa
0,77 MWh/t (Strom) verwendet.
Herstellung von Primärkupfer fällt ab dem Kupferwerk bis zur Kathode</t>
  </si>
  <si>
    <t>elec: 0,77 MWh/t/1000*3600 = 2,77 GJ/t 
fuel: 2,2 MWh/t /1000*3600 = 7,92 GJ/t</t>
  </si>
  <si>
    <t>from flotation till processing</t>
  </si>
  <si>
    <t>from flotation till processing
processing</t>
  </si>
  <si>
    <t>total: 8.54 GJ/t (Germany) or 10.29 (EU)
+ processing: 5.8 GJ/t</t>
  </si>
  <si>
    <t>p. 44</t>
  </si>
  <si>
    <t>elec 3,54 GJ/t, Diesel 2.7 GJ/t
elec: 4.4 GJ/t, fuel: 6.3 GJ/t</t>
  </si>
  <si>
    <t>Row ore and concentrate processing
from flotation till processing</t>
  </si>
  <si>
    <t>elec: 0,64/1000*3600 = 2,30 GJ/t
fuel: 1,1MWh/1000*3600 = 3,96 GJ/t</t>
  </si>
  <si>
    <t>Sekundärkupfer ähnlich hoher spezifischer Stromverbrauch  0,64 MWh/t .
In der Sekundärkupferproduktion sind lediglich etwa 50 Prozent des Brennstoffbedarfs der Primärkupferherstellung erforderlich (1,1 MWh/t)</t>
  </si>
  <si>
    <t>total: 6.3 GJ/t (Germany) or 6.5 (EU)
+ processing: 5.8 GJ/t</t>
  </si>
  <si>
    <t>p. 47</t>
  </si>
  <si>
    <t>elec 2.16GJ/t, fuel (Gas) 4.6 GJ/t</t>
  </si>
  <si>
    <t>chlorine</t>
  </si>
  <si>
    <t>Best Available Techniques (BAT)
Reference Document for the Production of Chlor-alkali</t>
  </si>
  <si>
    <t>p. 6 (30)</t>
  </si>
  <si>
    <t>Der spezifische  Energieverbrauch  des  Membranverfahrens  ist  mit  9,2-9,8GJ/t  am  geringsten. Davon  entfallen  0,6GJ/t  auf  den  Dampfbedarf  zur  Eindampfung  und  auf Konzentration der Lauge.</t>
  </si>
  <si>
    <t>A2</t>
  </si>
  <si>
    <t xml:space="preserve">Based on trend in capacity - membrance cell technique is the one staying in the future. </t>
  </si>
  <si>
    <t>Average value for electricity consumption taken</t>
  </si>
  <si>
    <t>Assumptions:</t>
  </si>
  <si>
    <t>cement</t>
  </si>
  <si>
    <t>[2]</t>
  </si>
  <si>
    <t>https://www.bmwk.de/Redaktion/DE/Downloads/E/energiewende-in-der-industrie-ap2a-branchensteckbrief-zement.pdf?__blob=publicationFile&amp;v=4</t>
  </si>
  <si>
    <t>elec: 3.8*3600/34000= 0.402
heat: 26.9*3600/34000 = 2.848</t>
  </si>
  <si>
    <t>p. 78 (120)</t>
  </si>
  <si>
    <t>Specific energy consumption of selected countries 2010</t>
  </si>
  <si>
    <t>German electricity and process heat consumption as well as production amounts 2017</t>
  </si>
  <si>
    <t>German distribution of electricity and heat applied to all countries</t>
  </si>
  <si>
    <t>For countries not specified in [2] EU average taken</t>
  </si>
  <si>
    <t>elec: 0.402/(0.402+2.848) = 12.38%
heat: 2.848/(0.402+2.848) = 87.62%</t>
  </si>
  <si>
    <t>glass</t>
  </si>
  <si>
    <t>(A. Schmitz 2011) Energy consumption and CO2 emissions of the European glass industry</t>
  </si>
  <si>
    <t>Table 4
Table 3</t>
  </si>
  <si>
    <t>Glass specific consumption per subsector
Distribution on electricity and heat</t>
  </si>
  <si>
    <t>Production amounts per subsector</t>
  </si>
  <si>
    <t>see Glass_Production.xlsx</t>
  </si>
  <si>
    <t>Calculation:</t>
  </si>
  <si>
    <t>C1</t>
  </si>
  <si>
    <t>average specific energy (electricity or heat) consumption is obtained by weightening the specific consumptions of the subsectors based on their production amounts</t>
  </si>
  <si>
    <t>see calculation for Germany as an exampel</t>
  </si>
  <si>
    <t>paper</t>
  </si>
  <si>
    <t>Table 1, see C1 and C2</t>
  </si>
  <si>
    <t>https://www.bmwk.de/Redaktion/DE/Downloads/E/energiewende-in-der-industrie-ap2a-branchensteckbrief-papier.pdf?__blob=publicationFile&amp;v=4</t>
  </si>
  <si>
    <t>Average paper consumption in Germany (with distribution of electricity and heat)</t>
  </si>
  <si>
    <t>All countries as Germany</t>
  </si>
  <si>
    <t>Calculations:</t>
  </si>
  <si>
    <t>elec: 18,8*3600/22,6/1000=2,9947 GJ/t</t>
  </si>
  <si>
    <t>C2</t>
  </si>
  <si>
    <t>fuel: (65,7-18,8)*3600/22,6/1000 = 7,4708 GJ/t</t>
  </si>
  <si>
    <t>Specific demand for other Europenian countries</t>
  </si>
  <si>
    <t>p. 85 (127)</t>
  </si>
  <si>
    <t>ammonia</t>
  </si>
  <si>
    <t>ammonia_classic</t>
  </si>
  <si>
    <t>Energy demand</t>
  </si>
  <si>
    <t>H2: 178 kg_h2/ t * 33,33 kWh/kg = 178*33,33/1000000*3600 = 21,3579 GJ/t</t>
  </si>
  <si>
    <t>elec: 5+1,19 = 6,19 GJ/t</t>
  </si>
  <si>
    <t>methanol_classic</t>
  </si>
  <si>
    <t>Table 14</t>
  </si>
  <si>
    <t>Table 11</t>
  </si>
  <si>
    <t>H2:  189 kg_H2/t * 33,33 kWh/kg = 189*33,33*3600/1000000 = 22,6777 GJ H2 / t_methanol</t>
  </si>
  <si>
    <t>elec:  5,4 GJ/t</t>
  </si>
  <si>
    <t>Chemicals, steel, cement production with green hydrogen</t>
  </si>
  <si>
    <t>https://www.isi.fraunhofer.de/content/dam/isi/dokumente/cce/2020/6-110-20_Neuwirth.pdf</t>
  </si>
  <si>
    <t>189 tonns of H2 for 1 ton of methanol</t>
  </si>
  <si>
    <t>ethylene, propylene (olefins)</t>
  </si>
  <si>
    <t xml:space="preserve">4.5.1 Conventional ethylene and propylene production </t>
  </si>
  <si>
    <t>16.5 GJ/t</t>
  </si>
  <si>
    <t>Distribution of electricity and fuel demand as for methanol</t>
  </si>
  <si>
    <t>fuel: (13.9-2)/(13.9-2+0.6)*16.5 = 15.7 GJ/t</t>
  </si>
  <si>
    <t>15,3 GJ/t in Europe; 15,6 GJ/t in Germany</t>
  </si>
  <si>
    <t xml:space="preserve">ethylene-, propylene- (olefins) and aromatics-classic </t>
  </si>
  <si>
    <t>https://www.bmwk.de/Redaktion/DE/Downloads/E/energiewende-in-der-industrie-ap2a-branchensteckbrief-chemie.pdf?__blob=publicationFile&amp;v=4</t>
  </si>
  <si>
    <t>12.2 GJ/t
older sources 14-17 GJ/t</t>
  </si>
  <si>
    <t>Energy demand for HVC</t>
  </si>
  <si>
    <t>2.67 t methanol for 1t ethylene or propylene</t>
  </si>
  <si>
    <t>(Dechema 2017)</t>
  </si>
  <si>
    <t>Dechema 2017</t>
  </si>
  <si>
    <t>2.8 t methanol</t>
  </si>
  <si>
    <t xml:space="preserve">	• MTO route stoichiometrically requires 2.28 t methanol/t propylene. 
	Stoichiometrically, 2.28 tons of methanol are required per ton of ethylene or propylene. 
	[…]
	plus the emissions caused by production of 2.83 t methanol stoichiometrically required as feed in the MTO process (??)</t>
  </si>
  <si>
    <t>(Tian et al. 2015) in Agora 2018</t>
  </si>
  <si>
    <t>aromatics</t>
  </si>
  <si>
    <t xml:space="preserve"> 4.3 tons of methanol per ton of BTX</t>
  </si>
  <si>
    <t>p. 71</t>
  </si>
  <si>
    <t>world</t>
  </si>
  <si>
    <t>copper_prim</t>
  </si>
  <si>
    <t>copper_sec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</si>
</sst>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.2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2" fillId="0" borderId="0" xfId="1"/>
    <xf numFmtId="0" fontId="1" fillId="0" borderId="3" xfId="0" applyFont="1" applyBorder="1" applyAlignment="1">
      <alignment horizontal="center" vertical="top"/>
    </xf>
    <xf numFmtId="1" fontId="0" fillId="0" borderId="0" xfId="0" applyNumberFormat="1"/>
    <xf numFmtId="4" fontId="0" fillId="0" borderId="0" xfId="0" applyNumberFormat="1"/>
    <xf numFmtId="2" fontId="0" fillId="0" borderId="0" xfId="0" applyNumberFormat="1"/>
    <xf numFmtId="0" fontId="3" fillId="0" borderId="0" xfId="1" applyFont="1"/>
    <xf numFmtId="0" fontId="0" fillId="0" borderId="0" xfId="0" quotePrefix="1"/>
    <xf numFmtId="0" fontId="0" fillId="2" borderId="0" xfId="0" applyFill="1"/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2" fillId="2" borderId="0" xfId="1" applyFill="1"/>
    <xf numFmtId="0" fontId="3" fillId="0" borderId="0" xfId="1" applyFont="1" applyAlignment="1">
      <alignment wrapText="1"/>
    </xf>
    <xf numFmtId="0" fontId="2" fillId="0" borderId="0" xfId="1" applyFill="1"/>
    <xf numFmtId="0" fontId="3" fillId="0" borderId="0" xfId="1" applyFont="1" applyFill="1"/>
    <xf numFmtId="0" fontId="3" fillId="0" borderId="0" xfId="0" applyFont="1"/>
    <xf numFmtId="164" fontId="0" fillId="0" borderId="0" xfId="0" applyNumberFormat="1"/>
    <xf numFmtId="0" fontId="3" fillId="2" borderId="0" xfId="1" applyFont="1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rojekte\endemo\input\industry\Glass_Production.xlsx" TargetMode="External"/><Relationship Id="rId1" Type="http://schemas.openxmlformats.org/officeDocument/2006/relationships/externalLinkPath" Target="Glass_Produ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const"/>
      <sheetName val="Data_collection"/>
      <sheetName val="Data_year"/>
      <sheetName val="Info"/>
    </sheetNames>
    <sheetDataSet>
      <sheetData sheetId="0" refreshError="1"/>
      <sheetData sheetId="1" refreshError="1"/>
      <sheetData sheetId="2">
        <row r="2">
          <cell r="B2">
            <v>4080</v>
          </cell>
          <cell r="C2">
            <v>1694.99</v>
          </cell>
          <cell r="D2">
            <v>137.20588235294119</v>
          </cell>
          <cell r="E2">
            <v>324.786</v>
          </cell>
          <cell r="F2">
            <v>140</v>
          </cell>
          <cell r="G2">
            <v>661.43373000000008</v>
          </cell>
          <cell r="H2">
            <v>7038.415612352941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mwk.de/Redaktion/DE/Downloads/E/energiewende-in-der-industrie-ap2a-branchensteckbrief-metall.pdf?__blob=publicationFile&amp;v=4" TargetMode="External"/><Relationship Id="rId18" Type="http://schemas.openxmlformats.org/officeDocument/2006/relationships/hyperlink" Target="https://www.umweltbundesamt.at/fileadmin/site/publikationen/REP0303.pdf" TargetMode="External"/><Relationship Id="rId26" Type="http://schemas.openxmlformats.org/officeDocument/2006/relationships/hyperlink" Target="https://www.bmwk.de/Redaktion/DE/Downloads/E/energiewende-in-der-industrie-ap2a-branchensteckbrief-zement.pdf?__blob=publicationFile&amp;v=4" TargetMode="External"/><Relationship Id="rId39" Type="http://schemas.openxmlformats.org/officeDocument/2006/relationships/printerSettings" Target="../printerSettings/printerSettings6.bin"/><Relationship Id="rId21" Type="http://schemas.openxmlformats.org/officeDocument/2006/relationships/hyperlink" Target="https://www.umweltbundesamt.at/fileadmin/site/publikationen/REP0303.pdf" TargetMode="External"/><Relationship Id="rId34" Type="http://schemas.openxmlformats.org/officeDocument/2006/relationships/hyperlink" Target="https://www.bmwk.de/Redaktion/DE/Downloads/E/energiewende-in-der-industrie-ap2a-branchensteckbrief-chemie.pdf?__blob=publicationFile&amp;v=4" TargetMode="External"/><Relationship Id="rId7" Type="http://schemas.openxmlformats.org/officeDocument/2006/relationships/hyperlink" Target="https://www.stahl-online.de/wp-content/uploads/2017/12/Fakten_Stahlindustrie_2017_rz_web.pdf" TargetMode="External"/><Relationship Id="rId12" Type="http://schemas.openxmlformats.org/officeDocument/2006/relationships/hyperlink" Target="https://www.hydrogen.energy.gov/pdfs/review19/sa172_elgowainy_2019_o.pdf" TargetMode="External"/><Relationship Id="rId17" Type="http://schemas.openxmlformats.org/officeDocument/2006/relationships/hyperlink" Target="https://d-nb.info/1049260554/34" TargetMode="External"/><Relationship Id="rId25" Type="http://schemas.openxmlformats.org/officeDocument/2006/relationships/hyperlink" Target="https://d-nb.info/1049260554/34" TargetMode="External"/><Relationship Id="rId33" Type="http://schemas.openxmlformats.org/officeDocument/2006/relationships/hyperlink" Target="https://d-nb.info/1049260554/34" TargetMode="External"/><Relationship Id="rId38" Type="http://schemas.openxmlformats.org/officeDocument/2006/relationships/hyperlink" Target="https://dechema.de/dechema_media/Downloads/Positionspapiere/Technology_study_Low_carbon_energy_and_feedstock_for_the_European_chemical_industry.pdf" TargetMode="External"/><Relationship Id="rId2" Type="http://schemas.openxmlformats.org/officeDocument/2006/relationships/hyperlink" Target="https://www.bmwi.de/Redaktion/DE/Downloads/E/energiewende-in-der-industrie-ap2a-branchensteckbrief-stahl.pdf?__blob=publicationFile&amp;v=4" TargetMode="External"/><Relationship Id="rId16" Type="http://schemas.openxmlformats.org/officeDocument/2006/relationships/hyperlink" Target="https://www.bmwk.de/Redaktion/DE/Downloads/E/energiewende-in-der-industrie-ap2a-branchensteckbrief-metall.pdf?__blob=publicationFile&amp;v=4" TargetMode="External"/><Relationship Id="rId20" Type="http://schemas.openxmlformats.org/officeDocument/2006/relationships/hyperlink" Target="https://d-nb.info/1049260554/34" TargetMode="External"/><Relationship Id="rId29" Type="http://schemas.openxmlformats.org/officeDocument/2006/relationships/hyperlink" Target="https://dechema.de/dechema_media/Downloads/Positionspapiere/Technology_study_Low_carbon_energy_and_feedstock_for_the_European_chemical_industry.pdf" TargetMode="External"/><Relationship Id="rId1" Type="http://schemas.openxmlformats.org/officeDocument/2006/relationships/hyperlink" Target="https://www.bmwi.de/Redaktion/DE/Downloads/E/energiewende-in-der-industrie-ap2a-branchensteckbrief-stahl.pdf?__blob=publicationFile&amp;v=4" TargetMode="External"/><Relationship Id="rId6" Type="http://schemas.openxmlformats.org/officeDocument/2006/relationships/hyperlink" Target="https://issuu.com/stahlonline/docs/fakten_stahlindustrie_2017_rz_web_faa65d6cfd2e15" TargetMode="External"/><Relationship Id="rId11" Type="http://schemas.openxmlformats.org/officeDocument/2006/relationships/hyperlink" Target="https://www.umweltbundesamt.de/sites/default/files/medien/367/dokumente/bvt-merkblatt_eisen-_und_stahlerzeugung_endfassung.pdf" TargetMode="External"/><Relationship Id="rId24" Type="http://schemas.openxmlformats.org/officeDocument/2006/relationships/hyperlink" Target="https://www.umweltbundesamt.at/fileadmin/site/publikationen/REP0303.pdf" TargetMode="External"/><Relationship Id="rId32" Type="http://schemas.openxmlformats.org/officeDocument/2006/relationships/hyperlink" Target="https://www.isi.fraunhofer.de/content/dam/isi/dokumente/cce/2020/6-110-20_Neuwirth.pdf" TargetMode="External"/><Relationship Id="rId37" Type="http://schemas.openxmlformats.org/officeDocument/2006/relationships/hyperlink" Target="https://dechema.de/dechema_media/Downloads/Positionspapiere/Technology_study_Low_carbon_energy_and_feedstock_for_the_European_chemical_industry.pdf" TargetMode="External"/><Relationship Id="rId5" Type="http://schemas.openxmlformats.org/officeDocument/2006/relationships/hyperlink" Target="https://eneff-industrie.info/quickinfos/energieintensive-branchen/daten-zu-besonders-energiehungrigen-produktionsbereichen/" TargetMode="External"/><Relationship Id="rId15" Type="http://schemas.openxmlformats.org/officeDocument/2006/relationships/hyperlink" Target="https://www.umweltbundesamt.at/fileadmin/site/publikationen/REP0303.pdf" TargetMode="External"/><Relationship Id="rId23" Type="http://schemas.openxmlformats.org/officeDocument/2006/relationships/hyperlink" Target="https://d-nb.info/1049260554/34" TargetMode="External"/><Relationship Id="rId28" Type="http://schemas.openxmlformats.org/officeDocument/2006/relationships/hyperlink" Target="https://dechema.de/dechema_media/Downloads/Positionspapiere/Technology_study_Low_carbon_energy_and_feedstock_for_the_European_chemical_industry.pdf" TargetMode="External"/><Relationship Id="rId36" Type="http://schemas.openxmlformats.org/officeDocument/2006/relationships/hyperlink" Target="https://www.isi.fraunhofer.de/content/dam/isi/dokumente/cce/2020/6-110-20_Neuwirth.pdf" TargetMode="External"/><Relationship Id="rId10" Type="http://schemas.openxmlformats.org/officeDocument/2006/relationships/hyperlink" Target="https://www.bmu.de/fileadmin/Daten_BMU/Pools/Forschungsdatenbank/fkz_3712_12_102_energieeffizienzma%C3%9Fnahmen_bewertung_bf.pdf" TargetMode="External"/><Relationship Id="rId19" Type="http://schemas.openxmlformats.org/officeDocument/2006/relationships/hyperlink" Target="https://www.bmwk.de/Redaktion/DE/Downloads/E/energiewende-in-der-industrie-ap2a-branchensteckbrief-metall.pdf?__blob=publicationFile&amp;v=4" TargetMode="External"/><Relationship Id="rId31" Type="http://schemas.openxmlformats.org/officeDocument/2006/relationships/hyperlink" Target="https://static.agora-energiewende.de/fileadmin/Projekte/2018/Dekarbonisierung_Industrie/166_A-EW_Klimaneutrale_Industrie_Ausfuehrliche-Darstellung_WEB.pdf" TargetMode="External"/><Relationship Id="rId4" Type="http://schemas.openxmlformats.org/officeDocument/2006/relationships/hyperlink" Target="https://issuu.com/stahlonline/docs/fakten_stahlindustrie_2014-04_6" TargetMode="External"/><Relationship Id="rId9" Type="http://schemas.openxmlformats.org/officeDocument/2006/relationships/hyperlink" Target="https://www.bmwi.de/Redaktion/DE/Downloads/E/energiewende-in-der-industrie-ap2a-branchensteckbrief-stahl.pdf?__blob=publicationFile&amp;v=4" TargetMode="External"/><Relationship Id="rId14" Type="http://schemas.openxmlformats.org/officeDocument/2006/relationships/hyperlink" Target="https://d-nb.info/1049260554/34" TargetMode="External"/><Relationship Id="rId22" Type="http://schemas.openxmlformats.org/officeDocument/2006/relationships/hyperlink" Target="https://www.bmwk.de/Redaktion/DE/Downloads/E/energiewende-in-der-industrie-ap2a-branchensteckbrief-metall.pdf?__blob=publicationFile&amp;v=4" TargetMode="External"/><Relationship Id="rId27" Type="http://schemas.openxmlformats.org/officeDocument/2006/relationships/hyperlink" Target="https://dechema.de/dechema_media/Downloads/Positionspapiere/Technology_study_Low_carbon_energy_and_feedstock_for_the_European_chemical_industry.pdf" TargetMode="External"/><Relationship Id="rId30" Type="http://schemas.openxmlformats.org/officeDocument/2006/relationships/hyperlink" Target="https://dechema.de/dechema_media/Downloads/Positionspapiere/Technology_study_Low_carbon_energy_and_feedstock_for_the_European_chemical_industry.pdf" TargetMode="External"/><Relationship Id="rId35" Type="http://schemas.openxmlformats.org/officeDocument/2006/relationships/hyperlink" Target="https://static.agora-energiewende.de/fileadmin/Projekte/2018/Dekarbonisierung_Industrie/166_A-EW_Klimaneutrale_Industrie_Ausfuehrliche-Darstellung_WEB.pdf" TargetMode="External"/><Relationship Id="rId8" Type="http://schemas.openxmlformats.org/officeDocument/2006/relationships/hyperlink" Target="https://d-nb.info/1049260554/34" TargetMode="External"/><Relationship Id="rId3" Type="http://schemas.openxmlformats.org/officeDocument/2006/relationships/hyperlink" Target="https://www.stahl-online.de/wp-content/uploads/2013/12/Fakten_Stahlindustrie_2014-04_6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sciencedirect.com/science/article/pii/S0924224417303394?via%3Di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>C2+D2+F2</f>
        <v>19.529999999999998</v>
      </c>
      <c r="C2">
        <v>1.4</v>
      </c>
      <c r="D2">
        <v>18.13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baseColWidth="10" defaultColWidth="9.140625" defaultRowHeight="15" x14ac:dyDescent="0.25"/>
  <cols>
    <col min="2" max="2" width="29.7109375" bestFit="1" customWidth="1"/>
    <col min="3" max="3" width="32.5703125" bestFit="1" customWidth="1"/>
    <col min="4" max="4" width="27.5703125" bestFit="1" customWidth="1"/>
    <col min="5" max="5" width="27.42578125" bestFit="1" customWidth="1"/>
  </cols>
  <sheetData>
    <row r="1" spans="1:7" x14ac:dyDescent="0.25">
      <c r="A1" s="3" t="s">
        <v>0</v>
      </c>
      <c r="B1" s="3" t="s">
        <v>3</v>
      </c>
      <c r="C1" s="3" t="s">
        <v>5</v>
      </c>
      <c r="D1" s="3" t="s">
        <v>4</v>
      </c>
      <c r="E1" s="3" t="s">
        <v>53</v>
      </c>
      <c r="F1" s="3" t="s">
        <v>39</v>
      </c>
      <c r="G1" s="5" t="s">
        <v>54</v>
      </c>
    </row>
    <row r="2" spans="1:7" x14ac:dyDescent="0.25">
      <c r="A2" t="s">
        <v>31</v>
      </c>
      <c r="B2">
        <v>9.0660859663798394</v>
      </c>
      <c r="C2">
        <v>1.5833107034555201</v>
      </c>
      <c r="D2">
        <v>7.482775262924326</v>
      </c>
      <c r="E2">
        <v>20</v>
      </c>
      <c r="F2">
        <v>0</v>
      </c>
      <c r="G2" t="s">
        <v>55</v>
      </c>
    </row>
    <row r="3" spans="1:7" x14ac:dyDescent="0.25">
      <c r="A3" t="s">
        <v>32</v>
      </c>
      <c r="B3">
        <v>9.7237367878319159</v>
      </c>
      <c r="C3">
        <v>1.380685253931426</v>
      </c>
      <c r="D3">
        <v>8.3430515339004891</v>
      </c>
      <c r="E3">
        <v>20</v>
      </c>
      <c r="F3">
        <v>0</v>
      </c>
    </row>
    <row r="4" spans="1:7" x14ac:dyDescent="0.25">
      <c r="A4" t="s">
        <v>49</v>
      </c>
      <c r="B4">
        <v>7.0720665531551461</v>
      </c>
      <c r="C4">
        <v>2.4479405419715552</v>
      </c>
      <c r="D4">
        <v>4.6241260111835896</v>
      </c>
      <c r="E4">
        <v>20</v>
      </c>
      <c r="F4">
        <v>0</v>
      </c>
    </row>
    <row r="5" spans="1:7" x14ac:dyDescent="0.25">
      <c r="A5" t="s">
        <v>6</v>
      </c>
      <c r="B5">
        <v>7.5230587222362084</v>
      </c>
      <c r="C5">
        <f>(glass_detail!H2*[1]Data_year!$B$2+glass_detail!I2*[1]Data_year!$C$2+glass_detail!J2*[1]Data_year!$D$2+glass_detail!K2*[1]Data_year!$E$2+glass_detail!L2*[1]Data_year!$F$2+glass_detail!M2*[1]Data_year!$G$2)/[1]Data_year!$H$2</f>
        <v>1.389896080003405</v>
      </c>
      <c r="D5">
        <v>6.1331626422328034</v>
      </c>
      <c r="E5">
        <v>20</v>
      </c>
      <c r="F5">
        <v>0</v>
      </c>
    </row>
    <row r="6" spans="1:7" x14ac:dyDescent="0.25">
      <c r="A6" t="s">
        <v>48</v>
      </c>
      <c r="B6">
        <v>11.901192052187749</v>
      </c>
      <c r="C6">
        <v>2.9658266763981702</v>
      </c>
      <c r="D6">
        <v>8.9353653757895817</v>
      </c>
      <c r="E6">
        <v>20</v>
      </c>
      <c r="F6">
        <v>0</v>
      </c>
    </row>
    <row r="7" spans="1:7" x14ac:dyDescent="0.25">
      <c r="A7" t="s">
        <v>47</v>
      </c>
      <c r="B7">
        <v>7.0439687205015487</v>
      </c>
      <c r="C7">
        <v>1.3377337885316221</v>
      </c>
      <c r="D7">
        <v>5.7062349319699264</v>
      </c>
      <c r="E7">
        <v>20</v>
      </c>
      <c r="F7">
        <v>0</v>
      </c>
    </row>
    <row r="8" spans="1:7" x14ac:dyDescent="0.25">
      <c r="A8" t="s">
        <v>9</v>
      </c>
      <c r="B8">
        <v>7.5701241071609964</v>
      </c>
      <c r="C8">
        <v>1.294389705186046</v>
      </c>
      <c r="D8">
        <v>6.2757344019749493</v>
      </c>
      <c r="E8">
        <v>20</v>
      </c>
      <c r="F8">
        <v>0</v>
      </c>
    </row>
    <row r="9" spans="1:7" x14ac:dyDescent="0.25">
      <c r="A9" t="s">
        <v>7</v>
      </c>
      <c r="B9">
        <v>8.1921937844927015</v>
      </c>
      <c r="C9">
        <v>1.4449081059447679</v>
      </c>
      <c r="D9">
        <v>6.7472856785479358</v>
      </c>
      <c r="E9">
        <v>20</v>
      </c>
      <c r="F9">
        <v>0</v>
      </c>
    </row>
    <row r="10" spans="1:7" x14ac:dyDescent="0.25">
      <c r="A10" t="s">
        <v>46</v>
      </c>
      <c r="B10">
        <v>9.974738004657695</v>
      </c>
      <c r="C10">
        <v>2.1473226309310052</v>
      </c>
      <c r="D10">
        <v>7.8274153737266872</v>
      </c>
      <c r="E10">
        <v>20</v>
      </c>
      <c r="F10">
        <v>0</v>
      </c>
    </row>
    <row r="11" spans="1:7" x14ac:dyDescent="0.25">
      <c r="A11" t="s">
        <v>8</v>
      </c>
      <c r="B11">
        <v>7.1144662893787514</v>
      </c>
      <c r="C11">
        <v>1.126689552739994</v>
      </c>
      <c r="D11">
        <v>5.9877767366387573</v>
      </c>
      <c r="E11">
        <v>20</v>
      </c>
      <c r="F11">
        <v>0</v>
      </c>
    </row>
    <row r="12" spans="1:7" x14ac:dyDescent="0.25">
      <c r="A12" t="s">
        <v>45</v>
      </c>
      <c r="B12">
        <v>13.7</v>
      </c>
      <c r="C12">
        <v>3.3839000000000001</v>
      </c>
      <c r="D12">
        <v>10.3161</v>
      </c>
      <c r="E12">
        <v>20</v>
      </c>
      <c r="F12">
        <v>0</v>
      </c>
    </row>
    <row r="13" spans="1:7" x14ac:dyDescent="0.25">
      <c r="A13" t="s">
        <v>44</v>
      </c>
      <c r="B13">
        <v>7.5</v>
      </c>
      <c r="C13">
        <v>3.375</v>
      </c>
      <c r="D13">
        <v>4.125</v>
      </c>
      <c r="E13">
        <v>20</v>
      </c>
      <c r="F13">
        <v>0</v>
      </c>
    </row>
    <row r="14" spans="1:7" x14ac:dyDescent="0.25">
      <c r="A14" t="s">
        <v>43</v>
      </c>
      <c r="B14">
        <v>6.4</v>
      </c>
      <c r="C14">
        <v>0.99199999999999999</v>
      </c>
      <c r="D14">
        <v>5.4080000000000004</v>
      </c>
      <c r="E14">
        <v>20</v>
      </c>
      <c r="F14">
        <v>0</v>
      </c>
    </row>
    <row r="15" spans="1:7" x14ac:dyDescent="0.25">
      <c r="A15" t="s">
        <v>42</v>
      </c>
      <c r="B15">
        <v>8.92406441312548</v>
      </c>
      <c r="C15">
        <v>1.902495800482382</v>
      </c>
      <c r="D15">
        <v>7.0215686126430992</v>
      </c>
      <c r="E15">
        <v>20</v>
      </c>
      <c r="F15">
        <v>0</v>
      </c>
    </row>
    <row r="16" spans="1:7" x14ac:dyDescent="0.25">
      <c r="A16" t="s">
        <v>11</v>
      </c>
      <c r="B16">
        <v>7.9022755064403132</v>
      </c>
      <c r="C16">
        <v>1.6852027607039981</v>
      </c>
      <c r="D16">
        <v>6.2170727457363153</v>
      </c>
      <c r="E16">
        <v>20</v>
      </c>
      <c r="F16">
        <v>0</v>
      </c>
    </row>
    <row r="17" spans="1:6" x14ac:dyDescent="0.25">
      <c r="A17" t="s">
        <v>35</v>
      </c>
      <c r="B17">
        <v>6.8439162245219309</v>
      </c>
      <c r="C17">
        <v>1.1037901930135849</v>
      </c>
      <c r="D17">
        <v>5.7401260315083462</v>
      </c>
      <c r="E17">
        <v>20</v>
      </c>
      <c r="F17">
        <v>0</v>
      </c>
    </row>
    <row r="18" spans="1:6" x14ac:dyDescent="0.25">
      <c r="A18" t="s">
        <v>36</v>
      </c>
      <c r="B18">
        <v>8.3327287347608117</v>
      </c>
      <c r="C18">
        <v>1.176503121178871</v>
      </c>
      <c r="D18">
        <v>7.1562256135819426</v>
      </c>
      <c r="E18">
        <v>20</v>
      </c>
      <c r="F18">
        <v>0</v>
      </c>
    </row>
    <row r="19" spans="1:6" x14ac:dyDescent="0.25">
      <c r="A19" t="s">
        <v>37</v>
      </c>
      <c r="B19">
        <v>7.666374219387877</v>
      </c>
      <c r="C19">
        <v>3.3595323967912831</v>
      </c>
      <c r="D19">
        <v>4.3068418225965939</v>
      </c>
      <c r="E19">
        <v>20</v>
      </c>
      <c r="F19">
        <v>0</v>
      </c>
    </row>
    <row r="20" spans="1:6" x14ac:dyDescent="0.25">
      <c r="A20" t="s">
        <v>38</v>
      </c>
      <c r="B20">
        <v>9.3820538420672701</v>
      </c>
      <c r="C20">
        <v>2.3591306267040348</v>
      </c>
      <c r="D20">
        <v>7.0229232153632344</v>
      </c>
      <c r="E20">
        <v>20</v>
      </c>
      <c r="F20">
        <v>0</v>
      </c>
    </row>
    <row r="21" spans="1:6" x14ac:dyDescent="0.25">
      <c r="A21" t="s">
        <v>34</v>
      </c>
      <c r="B21">
        <v>8.6475104362617365</v>
      </c>
      <c r="C21">
        <v>2.2486530696171441</v>
      </c>
      <c r="D21">
        <v>6.3988573666445934</v>
      </c>
      <c r="E21">
        <v>20</v>
      </c>
      <c r="F21">
        <v>0</v>
      </c>
    </row>
    <row r="22" spans="1:6" x14ac:dyDescent="0.25">
      <c r="A22" t="s">
        <v>41</v>
      </c>
      <c r="B22">
        <v>7.8490712494216179</v>
      </c>
      <c r="C22">
        <v>1.9109730876951661</v>
      </c>
      <c r="D22">
        <v>5.9380981617264519</v>
      </c>
      <c r="E22">
        <v>20</v>
      </c>
      <c r="F22">
        <v>0</v>
      </c>
    </row>
    <row r="23" spans="1:6" x14ac:dyDescent="0.25">
      <c r="A23" t="s">
        <v>10</v>
      </c>
      <c r="B23">
        <v>7.2928768674980464</v>
      </c>
      <c r="C23">
        <v>1.277880252591022</v>
      </c>
      <c r="D23">
        <v>6.0149966149070249</v>
      </c>
      <c r="E23">
        <v>20</v>
      </c>
      <c r="F23">
        <v>0</v>
      </c>
    </row>
    <row r="24" spans="1:6" x14ac:dyDescent="0.25">
      <c r="A24" t="s">
        <v>40</v>
      </c>
      <c r="B24">
        <v>6.4</v>
      </c>
      <c r="C24">
        <v>0.99199999999999999</v>
      </c>
      <c r="D24">
        <v>5.4080000000000004</v>
      </c>
      <c r="E24">
        <v>20</v>
      </c>
      <c r="F24">
        <v>0</v>
      </c>
    </row>
    <row r="25" spans="1:6" x14ac:dyDescent="0.25">
      <c r="A25" t="s">
        <v>2</v>
      </c>
      <c r="B25">
        <v>7.5230587222362084</v>
      </c>
      <c r="C25">
        <v>1.389896080003405</v>
      </c>
      <c r="D25">
        <v>6.1331626422328034</v>
      </c>
      <c r="E25">
        <v>20</v>
      </c>
      <c r="F2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8"/>
  <sheetViews>
    <sheetView workbookViewId="0"/>
  </sheetViews>
  <sheetFormatPr baseColWidth="10" defaultRowHeight="15" x14ac:dyDescent="0.25"/>
  <cols>
    <col min="1" max="1" width="16.28515625" bestFit="1" customWidth="1"/>
  </cols>
  <sheetData>
    <row r="1" spans="1:20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23</v>
      </c>
      <c r="M1" s="2" t="s">
        <v>22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s="2" t="s">
        <v>29</v>
      </c>
      <c r="T1" t="s">
        <v>53</v>
      </c>
    </row>
    <row r="2" spans="1:20" x14ac:dyDescent="0.25">
      <c r="A2" s="1" t="s">
        <v>6</v>
      </c>
      <c r="B2">
        <v>6.3</v>
      </c>
      <c r="C2">
        <v>8.5</v>
      </c>
      <c r="D2">
        <v>13.7</v>
      </c>
      <c r="E2">
        <v>13.9</v>
      </c>
      <c r="F2">
        <v>10.6</v>
      </c>
      <c r="G2" s="2">
        <v>7.5</v>
      </c>
      <c r="H2">
        <f>15.5/100*B2</f>
        <v>0.97649999999999992</v>
      </c>
      <c r="I2">
        <f>13.1/100*C2</f>
        <v>1.1135000000000002</v>
      </c>
      <c r="J2">
        <f>24.7/100*D2</f>
        <v>3.3838999999999997</v>
      </c>
      <c r="K2">
        <f>20/100*E2</f>
        <v>2.7800000000000002</v>
      </c>
      <c r="L2">
        <f>21/100*F2</f>
        <v>2.226</v>
      </c>
      <c r="M2" s="2">
        <f>45/100*G2</f>
        <v>3.375</v>
      </c>
      <c r="N2">
        <f>(100-15.5)/100*B2</f>
        <v>5.3235000000000001</v>
      </c>
      <c r="O2">
        <f>(100-13.1)/100*C2</f>
        <v>7.3865000000000007</v>
      </c>
      <c r="P2">
        <f>(100-24.7)/100*D2</f>
        <v>10.316099999999999</v>
      </c>
      <c r="Q2">
        <f>80/100*E2</f>
        <v>11.120000000000001</v>
      </c>
      <c r="R2">
        <f>79/100*F2</f>
        <v>8.3740000000000006</v>
      </c>
      <c r="S2">
        <f>55/100*G2</f>
        <v>4.125</v>
      </c>
    </row>
    <row r="3" spans="1:20" x14ac:dyDescent="0.25">
      <c r="A3" t="s">
        <v>7</v>
      </c>
      <c r="B3">
        <v>7.1</v>
      </c>
      <c r="C3">
        <v>9.4</v>
      </c>
      <c r="D3">
        <v>13.7</v>
      </c>
      <c r="E3">
        <v>13.9</v>
      </c>
      <c r="F3">
        <v>10.6</v>
      </c>
      <c r="G3" s="2">
        <v>7.5</v>
      </c>
      <c r="H3">
        <f t="shared" ref="H3:H8" si="0">15.5/100*B3</f>
        <v>1.1005</v>
      </c>
      <c r="I3">
        <f t="shared" ref="I3:I8" si="1">13.1/100*C3</f>
        <v>1.2314000000000001</v>
      </c>
      <c r="J3">
        <f t="shared" ref="J3:J8" si="2">24.7/100*D3</f>
        <v>3.3838999999999997</v>
      </c>
      <c r="K3">
        <f t="shared" ref="K3:K8" si="3">20/100*E3</f>
        <v>2.7800000000000002</v>
      </c>
      <c r="L3">
        <f t="shared" ref="L3:L8" si="4">21/100*F3</f>
        <v>2.226</v>
      </c>
      <c r="M3" s="2">
        <f t="shared" ref="M3:M8" si="5">45/100*G3</f>
        <v>3.375</v>
      </c>
      <c r="N3">
        <f t="shared" ref="N3:N8" si="6">(100-15.5)/100*B3</f>
        <v>5.9994999999999994</v>
      </c>
      <c r="O3">
        <f t="shared" ref="O3:O8" si="7">(100-13.1)/100*C3</f>
        <v>8.1686000000000014</v>
      </c>
      <c r="P3">
        <f t="shared" ref="P3:P8" si="8">(100-24.7)/100*D3</f>
        <v>10.316099999999999</v>
      </c>
      <c r="Q3">
        <f t="shared" ref="Q3:Q8" si="9">80/100*E3</f>
        <v>11.120000000000001</v>
      </c>
      <c r="R3">
        <f t="shared" ref="R3:R8" si="10">79/100*F3</f>
        <v>8.3740000000000006</v>
      </c>
      <c r="S3">
        <f t="shared" ref="S3:S8" si="11">55/100*G3</f>
        <v>4.125</v>
      </c>
    </row>
    <row r="4" spans="1:20" x14ac:dyDescent="0.25">
      <c r="A4" t="s">
        <v>8</v>
      </c>
      <c r="B4">
        <v>5.8</v>
      </c>
      <c r="C4">
        <v>9.6999999999999993</v>
      </c>
      <c r="D4">
        <v>13.7</v>
      </c>
      <c r="E4">
        <v>13.9</v>
      </c>
      <c r="F4">
        <v>10.6</v>
      </c>
      <c r="G4" s="2">
        <v>7.5</v>
      </c>
      <c r="H4">
        <f t="shared" si="0"/>
        <v>0.89900000000000002</v>
      </c>
      <c r="I4">
        <f t="shared" si="1"/>
        <v>1.2706999999999999</v>
      </c>
      <c r="J4">
        <f t="shared" si="2"/>
        <v>3.3838999999999997</v>
      </c>
      <c r="K4">
        <f t="shared" si="3"/>
        <v>2.7800000000000002</v>
      </c>
      <c r="L4">
        <f t="shared" si="4"/>
        <v>2.226</v>
      </c>
      <c r="M4" s="2">
        <f t="shared" si="5"/>
        <v>3.375</v>
      </c>
      <c r="N4">
        <f t="shared" si="6"/>
        <v>4.9009999999999998</v>
      </c>
      <c r="O4">
        <f t="shared" si="7"/>
        <v>8.4292999999999996</v>
      </c>
      <c r="P4">
        <f t="shared" si="8"/>
        <v>10.316099999999999</v>
      </c>
      <c r="Q4">
        <f t="shared" si="9"/>
        <v>11.120000000000001</v>
      </c>
      <c r="R4">
        <f t="shared" si="10"/>
        <v>8.3740000000000006</v>
      </c>
      <c r="S4">
        <f t="shared" si="11"/>
        <v>4.125</v>
      </c>
    </row>
    <row r="5" spans="1:20" x14ac:dyDescent="0.25">
      <c r="A5" t="s">
        <v>9</v>
      </c>
      <c r="B5">
        <v>6.6</v>
      </c>
      <c r="C5">
        <v>8.6</v>
      </c>
      <c r="D5">
        <v>13.7</v>
      </c>
      <c r="E5">
        <v>13.9</v>
      </c>
      <c r="F5">
        <v>10.6</v>
      </c>
      <c r="G5" s="2">
        <v>7.5</v>
      </c>
      <c r="H5">
        <f t="shared" si="0"/>
        <v>1.0229999999999999</v>
      </c>
      <c r="I5">
        <f t="shared" si="1"/>
        <v>1.1266</v>
      </c>
      <c r="J5">
        <f t="shared" si="2"/>
        <v>3.3838999999999997</v>
      </c>
      <c r="K5">
        <f t="shared" si="3"/>
        <v>2.7800000000000002</v>
      </c>
      <c r="L5">
        <f t="shared" si="4"/>
        <v>2.226</v>
      </c>
      <c r="M5" s="2">
        <f t="shared" si="5"/>
        <v>3.375</v>
      </c>
      <c r="N5">
        <f t="shared" si="6"/>
        <v>5.577</v>
      </c>
      <c r="O5">
        <f t="shared" si="7"/>
        <v>7.4734000000000007</v>
      </c>
      <c r="P5">
        <f t="shared" si="8"/>
        <v>10.316099999999999</v>
      </c>
      <c r="Q5">
        <f t="shared" si="9"/>
        <v>11.120000000000001</v>
      </c>
      <c r="R5">
        <f t="shared" si="10"/>
        <v>8.3740000000000006</v>
      </c>
      <c r="S5">
        <f t="shared" si="11"/>
        <v>4.125</v>
      </c>
    </row>
    <row r="6" spans="1:20" x14ac:dyDescent="0.25">
      <c r="A6" t="s">
        <v>10</v>
      </c>
      <c r="B6">
        <v>6.4</v>
      </c>
      <c r="C6">
        <v>9.1999999999999993</v>
      </c>
      <c r="D6">
        <v>13.7</v>
      </c>
      <c r="E6">
        <v>13.9</v>
      </c>
      <c r="F6">
        <v>10.6</v>
      </c>
      <c r="G6" s="2">
        <v>7.5</v>
      </c>
      <c r="H6">
        <f t="shared" si="0"/>
        <v>0.99199999999999999</v>
      </c>
      <c r="I6">
        <f t="shared" si="1"/>
        <v>1.2052</v>
      </c>
      <c r="J6">
        <f t="shared" si="2"/>
        <v>3.3838999999999997</v>
      </c>
      <c r="K6">
        <f t="shared" si="3"/>
        <v>2.7800000000000002</v>
      </c>
      <c r="L6">
        <f t="shared" si="4"/>
        <v>2.226</v>
      </c>
      <c r="M6" s="2">
        <f t="shared" si="5"/>
        <v>3.375</v>
      </c>
      <c r="N6">
        <f t="shared" si="6"/>
        <v>5.4080000000000004</v>
      </c>
      <c r="O6">
        <f t="shared" si="7"/>
        <v>7.9948000000000006</v>
      </c>
      <c r="P6">
        <f t="shared" si="8"/>
        <v>10.316099999999999</v>
      </c>
      <c r="Q6">
        <f t="shared" si="9"/>
        <v>11.120000000000001</v>
      </c>
      <c r="R6">
        <f t="shared" si="10"/>
        <v>8.3740000000000006</v>
      </c>
      <c r="S6">
        <f t="shared" si="11"/>
        <v>4.125</v>
      </c>
    </row>
    <row r="7" spans="1:20" x14ac:dyDescent="0.25">
      <c r="A7" t="s">
        <v>11</v>
      </c>
      <c r="B7">
        <v>7.1</v>
      </c>
      <c r="C7">
        <v>8.8000000000000007</v>
      </c>
      <c r="D7">
        <v>13.7</v>
      </c>
      <c r="E7">
        <v>13.9</v>
      </c>
      <c r="F7">
        <v>10.6</v>
      </c>
      <c r="G7" s="2">
        <v>7.5</v>
      </c>
      <c r="H7">
        <f t="shared" si="0"/>
        <v>1.1005</v>
      </c>
      <c r="I7">
        <f>13.1/100*C7</f>
        <v>1.1528</v>
      </c>
      <c r="J7">
        <f t="shared" si="2"/>
        <v>3.3838999999999997</v>
      </c>
      <c r="K7">
        <f t="shared" si="3"/>
        <v>2.7800000000000002</v>
      </c>
      <c r="L7">
        <f t="shared" si="4"/>
        <v>2.226</v>
      </c>
      <c r="M7" s="2">
        <f t="shared" si="5"/>
        <v>3.375</v>
      </c>
      <c r="N7">
        <f t="shared" si="6"/>
        <v>5.9994999999999994</v>
      </c>
      <c r="O7">
        <f t="shared" si="7"/>
        <v>7.6472000000000016</v>
      </c>
      <c r="P7">
        <f t="shared" si="8"/>
        <v>10.316099999999999</v>
      </c>
      <c r="Q7">
        <f t="shared" si="9"/>
        <v>11.120000000000001</v>
      </c>
      <c r="R7">
        <f t="shared" si="10"/>
        <v>8.3740000000000006</v>
      </c>
      <c r="S7">
        <f t="shared" si="11"/>
        <v>4.125</v>
      </c>
    </row>
    <row r="8" spans="1:20" x14ac:dyDescent="0.25">
      <c r="A8" t="s">
        <v>2</v>
      </c>
      <c r="B8">
        <v>6.4</v>
      </c>
      <c r="C8">
        <v>9.1999999999999993</v>
      </c>
      <c r="D8">
        <v>13.7</v>
      </c>
      <c r="E8">
        <v>13.9</v>
      </c>
      <c r="F8">
        <v>10.6</v>
      </c>
      <c r="G8" s="2">
        <v>7.5</v>
      </c>
      <c r="H8">
        <f t="shared" si="0"/>
        <v>0.99199999999999999</v>
      </c>
      <c r="I8">
        <f t="shared" si="1"/>
        <v>1.2052</v>
      </c>
      <c r="J8">
        <f t="shared" si="2"/>
        <v>3.3838999999999997</v>
      </c>
      <c r="K8">
        <f t="shared" si="3"/>
        <v>2.7800000000000002</v>
      </c>
      <c r="L8">
        <f t="shared" si="4"/>
        <v>2.226</v>
      </c>
      <c r="M8" s="2">
        <f t="shared" si="5"/>
        <v>3.375</v>
      </c>
      <c r="N8">
        <f t="shared" si="6"/>
        <v>5.4080000000000004</v>
      </c>
      <c r="O8">
        <f t="shared" si="7"/>
        <v>7.9948000000000006</v>
      </c>
      <c r="P8">
        <f t="shared" si="8"/>
        <v>10.316099999999999</v>
      </c>
      <c r="Q8">
        <f t="shared" si="9"/>
        <v>11.120000000000001</v>
      </c>
      <c r="R8">
        <f t="shared" si="10"/>
        <v>8.3740000000000006</v>
      </c>
      <c r="S8">
        <f t="shared" si="11"/>
        <v>4.125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 s="8">
        <f>C2+D2</f>
        <v>10.465486725663718</v>
      </c>
      <c r="C2" s="8">
        <f>188*3600/226/1000</f>
        <v>2.9946902654867258</v>
      </c>
      <c r="D2" s="7">
        <f>(65.7-18.8)*3600/22.6/1000</f>
        <v>7.4707964601769916</v>
      </c>
      <c r="E2">
        <v>0</v>
      </c>
      <c r="F2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activeCell="A3" sqref="A3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 t="shared" ref="B2" si="0">C2+D2</f>
        <v>9.5</v>
      </c>
      <c r="C2">
        <v>8.9</v>
      </c>
      <c r="D2">
        <v>0.6</v>
      </c>
      <c r="E2">
        <v>0</v>
      </c>
      <c r="F2">
        <v>0</v>
      </c>
    </row>
    <row r="3" spans="1:6" x14ac:dyDescent="0.25">
      <c r="A3" t="s">
        <v>229</v>
      </c>
      <c r="B3">
        <f t="shared" ref="B3" si="1">C3+D3</f>
        <v>36.916446662816597</v>
      </c>
      <c r="C3">
        <v>34.584881610428177</v>
      </c>
      <c r="D3">
        <v>2.3315650523884166</v>
      </c>
      <c r="E3">
        <v>0</v>
      </c>
      <c r="F3">
        <v>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>SUM(C2,D2,F2)</f>
        <v>27.547863999999997</v>
      </c>
      <c r="C2">
        <f xml:space="preserve"> 5+1.19</f>
        <v>6.1899999999999995</v>
      </c>
      <c r="D2">
        <v>0</v>
      </c>
      <c r="E2">
        <v>0</v>
      </c>
      <c r="F2">
        <f>0.178*33.33*3.6</f>
        <v>21.357863999999996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9583-556F-4C5A-8AA7-ABEDBA75267D}">
  <dimension ref="A1:F3"/>
  <sheetViews>
    <sheetView workbookViewId="0">
      <selection activeCell="D11" sqref="D11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>SUM(C2,D2,F2)</f>
        <v>7.3400000000000007</v>
      </c>
      <c r="C2">
        <v>0.74</v>
      </c>
      <c r="D2">
        <f>10.9-4.3</f>
        <v>6.6000000000000005</v>
      </c>
      <c r="E2">
        <v>0</v>
      </c>
      <c r="F2">
        <v>0</v>
      </c>
    </row>
    <row r="3" spans="1:6" x14ac:dyDescent="0.25">
      <c r="A3" t="s">
        <v>229</v>
      </c>
      <c r="B3">
        <f>SUM(C3,D3,F3)</f>
        <v>28.522812474218295</v>
      </c>
      <c r="C3">
        <v>2.8755968979457136</v>
      </c>
      <c r="D3">
        <v>25.647215576272583</v>
      </c>
      <c r="E3">
        <v>0</v>
      </c>
      <c r="F3">
        <v>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>C2+D2+F2</f>
        <v>28.077731999999997</v>
      </c>
      <c r="C2">
        <f>5.4</f>
        <v>5.4</v>
      </c>
      <c r="D2">
        <v>0</v>
      </c>
      <c r="E2">
        <v>0</v>
      </c>
      <c r="F2">
        <f>0.189*1000*33.33*3600/1000000</f>
        <v>22.677731999999999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C87A-4141-469D-ACE0-28809616425F}">
  <dimension ref="A1:F3"/>
  <sheetViews>
    <sheetView workbookViewId="0">
      <selection activeCell="B8" sqref="B8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>C2+D2+F2</f>
        <v>12.5</v>
      </c>
      <c r="C2">
        <v>0.6</v>
      </c>
      <c r="D2">
        <f>13.9-2</f>
        <v>11.9</v>
      </c>
      <c r="E2">
        <v>0</v>
      </c>
      <c r="F2">
        <v>0</v>
      </c>
    </row>
    <row r="3" spans="1:6" x14ac:dyDescent="0.25">
      <c r="A3" t="s">
        <v>229</v>
      </c>
      <c r="B3">
        <f>C3+D3+F3</f>
        <v>48.574271924758676</v>
      </c>
      <c r="C3">
        <v>2.3315650523884166</v>
      </c>
      <c r="D3">
        <v>46.242706872370263</v>
      </c>
      <c r="E3">
        <v>0</v>
      </c>
      <c r="F3">
        <v>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>C2+D2+F2</f>
        <v>74.967544439999998</v>
      </c>
      <c r="C2">
        <f>2.67*methanol!C2</f>
        <v>14.418000000000001</v>
      </c>
      <c r="D2">
        <v>0</v>
      </c>
      <c r="E2">
        <v>0</v>
      </c>
      <c r="F2">
        <f>2.67*methanol!F2</f>
        <v>60.549544439999998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AD5F1-DF92-457F-9734-49A00042D060}">
  <dimension ref="A1:F3"/>
  <sheetViews>
    <sheetView workbookViewId="0">
      <selection activeCell="A10" sqref="A10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>C2+D2+F2</f>
        <v>16.5</v>
      </c>
      <c r="C2">
        <v>0.8</v>
      </c>
      <c r="D2">
        <f>16.5-C2</f>
        <v>15.7</v>
      </c>
      <c r="E2">
        <v>0</v>
      </c>
      <c r="F2">
        <v>0</v>
      </c>
    </row>
    <row r="3" spans="1:6" x14ac:dyDescent="0.25">
      <c r="A3" t="s">
        <v>229</v>
      </c>
      <c r="B3">
        <f>C3+D3+F3</f>
        <v>64.118038940681444</v>
      </c>
      <c r="C3">
        <v>3.1087534031845556</v>
      </c>
      <c r="D3">
        <v>61.009285537496893</v>
      </c>
      <c r="E3">
        <v>0</v>
      </c>
      <c r="F3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27D6-8D65-4671-8DD1-43F950DA3662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>C2+D2+F2</f>
        <v>21.21</v>
      </c>
      <c r="C2">
        <f>1.4+0.42</f>
        <v>1.8199999999999998</v>
      </c>
      <c r="D2">
        <f>18.13+1.26</f>
        <v>19.39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>C2+D2+F2</f>
        <v>74.967544439999998</v>
      </c>
      <c r="C2">
        <f>2.67*methanol!C2</f>
        <v>14.418000000000001</v>
      </c>
      <c r="D2">
        <v>0</v>
      </c>
      <c r="E2">
        <v>0</v>
      </c>
      <c r="F2">
        <f>2.67*methanol!F2</f>
        <v>60.549544439999998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BDA1-717C-44BC-85D7-EE959F92FFAD}">
  <dimension ref="A1:F3"/>
  <sheetViews>
    <sheetView workbookViewId="0">
      <selection activeCell="B10" sqref="B10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>C2+D2+F2</f>
        <v>16.5</v>
      </c>
      <c r="C2">
        <v>0.8</v>
      </c>
      <c r="D2">
        <f>16.5-C2</f>
        <v>15.7</v>
      </c>
      <c r="E2">
        <v>0</v>
      </c>
      <c r="F2">
        <v>0</v>
      </c>
    </row>
    <row r="3" spans="1:6" x14ac:dyDescent="0.25">
      <c r="A3" t="s">
        <v>229</v>
      </c>
      <c r="B3">
        <f>C3+D3+F3</f>
        <v>64.118038940681444</v>
      </c>
      <c r="C3">
        <v>3.1087534031845556</v>
      </c>
      <c r="D3">
        <v>61.009285537496893</v>
      </c>
      <c r="E3">
        <v>0</v>
      </c>
      <c r="F3">
        <v>0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>C2+D2+F2</f>
        <v>125.73424759999999</v>
      </c>
      <c r="C2">
        <f>4.3*methanol!C2 +5</f>
        <v>28.22</v>
      </c>
      <c r="D2">
        <v>0</v>
      </c>
      <c r="E2">
        <v>0</v>
      </c>
      <c r="F2">
        <f>4.3*methanol!F2</f>
        <v>97.51424759999999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0768-264A-48C8-A47A-CA806FD42378}">
  <dimension ref="A1:F3"/>
  <sheetViews>
    <sheetView workbookViewId="0">
      <selection activeCell="F9" sqref="F9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>C2+D2+F2</f>
        <v>16.5</v>
      </c>
      <c r="C2">
        <v>0.8</v>
      </c>
      <c r="D2">
        <f>16.5-C2</f>
        <v>15.7</v>
      </c>
      <c r="E2">
        <v>0</v>
      </c>
      <c r="F2">
        <v>0</v>
      </c>
    </row>
    <row r="3" spans="1:6" x14ac:dyDescent="0.25">
      <c r="A3" t="s">
        <v>229</v>
      </c>
      <c r="B3">
        <f>C3+D3+F3</f>
        <v>64.118038940681444</v>
      </c>
      <c r="C3">
        <v>3.1087534031845556</v>
      </c>
      <c r="D3">
        <v>61.009285537496893</v>
      </c>
      <c r="E3">
        <v>0</v>
      </c>
      <c r="F3">
        <v>0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24"/>
  <sheetViews>
    <sheetView workbookViewId="0">
      <selection activeCell="F124" sqref="F124"/>
    </sheetView>
  </sheetViews>
  <sheetFormatPr baseColWidth="10" defaultRowHeight="15" x14ac:dyDescent="0.25"/>
  <cols>
    <col min="1" max="1" width="13.140625" customWidth="1"/>
    <col min="3" max="3" width="76.28515625" customWidth="1"/>
    <col min="4" max="4" width="47.7109375" customWidth="1"/>
    <col min="5" max="5" width="31.7109375" customWidth="1"/>
  </cols>
  <sheetData>
    <row r="1" spans="1:6" x14ac:dyDescent="0.25">
      <c r="A1" s="11" t="s">
        <v>81</v>
      </c>
      <c r="B1" s="11"/>
      <c r="C1" s="11"/>
      <c r="D1" s="11"/>
      <c r="E1" s="11"/>
    </row>
    <row r="2" spans="1:6" ht="30" x14ac:dyDescent="0.25">
      <c r="A2" t="s">
        <v>60</v>
      </c>
      <c r="B2" t="s">
        <v>82</v>
      </c>
      <c r="C2" s="12" t="s">
        <v>87</v>
      </c>
      <c r="D2" s="1" t="s">
        <v>86</v>
      </c>
      <c r="E2" s="4" t="s">
        <v>83</v>
      </c>
      <c r="F2" t="s">
        <v>84</v>
      </c>
    </row>
    <row r="4" spans="1:6" ht="30" x14ac:dyDescent="0.25">
      <c r="A4" t="s">
        <v>62</v>
      </c>
      <c r="B4" t="s">
        <v>85</v>
      </c>
      <c r="C4" s="1" t="s">
        <v>88</v>
      </c>
    </row>
    <row r="6" spans="1:6" x14ac:dyDescent="0.25">
      <c r="A6" t="s">
        <v>90</v>
      </c>
      <c r="B6" t="s">
        <v>91</v>
      </c>
      <c r="C6" t="s">
        <v>108</v>
      </c>
      <c r="D6" t="s">
        <v>142</v>
      </c>
      <c r="E6" s="4" t="s">
        <v>1</v>
      </c>
    </row>
    <row r="8" spans="1:6" x14ac:dyDescent="0.25">
      <c r="A8" s="11" t="s">
        <v>89</v>
      </c>
      <c r="B8" s="11"/>
      <c r="C8" s="11"/>
      <c r="D8" s="11"/>
      <c r="E8" s="11"/>
    </row>
    <row r="9" spans="1:6" ht="60" x14ac:dyDescent="0.25">
      <c r="A9" t="s">
        <v>60</v>
      </c>
      <c r="B9" t="s">
        <v>82</v>
      </c>
      <c r="C9" s="1" t="s">
        <v>87</v>
      </c>
      <c r="D9" s="1" t="s">
        <v>123</v>
      </c>
      <c r="E9" s="4" t="s">
        <v>83</v>
      </c>
      <c r="F9" t="s">
        <v>84</v>
      </c>
    </row>
    <row r="11" spans="1:6" x14ac:dyDescent="0.25">
      <c r="A11" t="s">
        <v>90</v>
      </c>
      <c r="B11" t="s">
        <v>91</v>
      </c>
      <c r="C11" t="s">
        <v>93</v>
      </c>
      <c r="D11" t="s">
        <v>101</v>
      </c>
      <c r="E11" s="4" t="s">
        <v>95</v>
      </c>
      <c r="F11" s="4" t="s">
        <v>94</v>
      </c>
    </row>
    <row r="12" spans="1:6" x14ac:dyDescent="0.25">
      <c r="B12" t="s">
        <v>92</v>
      </c>
      <c r="C12" t="s">
        <v>98</v>
      </c>
      <c r="E12" t="s">
        <v>96</v>
      </c>
    </row>
    <row r="13" spans="1:6" x14ac:dyDescent="0.25">
      <c r="B13" t="s">
        <v>97</v>
      </c>
      <c r="C13" t="s">
        <v>93</v>
      </c>
      <c r="D13" t="s">
        <v>100</v>
      </c>
      <c r="E13" s="4" t="s">
        <v>99</v>
      </c>
    </row>
    <row r="14" spans="1:6" x14ac:dyDescent="0.25">
      <c r="B14" t="s">
        <v>104</v>
      </c>
      <c r="C14" t="s">
        <v>105</v>
      </c>
      <c r="D14" t="s">
        <v>106</v>
      </c>
      <c r="E14" s="4" t="s">
        <v>102</v>
      </c>
      <c r="F14" s="4" t="s">
        <v>103</v>
      </c>
    </row>
    <row r="15" spans="1:6" x14ac:dyDescent="0.25">
      <c r="B15" t="s">
        <v>107</v>
      </c>
      <c r="C15" t="s">
        <v>111</v>
      </c>
      <c r="E15" s="4" t="s">
        <v>112</v>
      </c>
      <c r="F15" s="4"/>
    </row>
    <row r="16" spans="1:6" x14ac:dyDescent="0.25">
      <c r="B16" t="s">
        <v>114</v>
      </c>
      <c r="C16" t="s">
        <v>111</v>
      </c>
      <c r="E16" s="4" t="s">
        <v>113</v>
      </c>
    </row>
    <row r="17" spans="1:5" x14ac:dyDescent="0.25">
      <c r="E17" s="4"/>
    </row>
    <row r="18" spans="1:5" x14ac:dyDescent="0.25">
      <c r="A18" s="11" t="s">
        <v>109</v>
      </c>
      <c r="B18" s="11"/>
      <c r="C18" s="11"/>
      <c r="D18" s="11"/>
      <c r="E18" s="11"/>
    </row>
    <row r="19" spans="1:5" ht="75" x14ac:dyDescent="0.25">
      <c r="A19" t="s">
        <v>60</v>
      </c>
      <c r="B19" t="s">
        <v>82</v>
      </c>
      <c r="C19" s="1" t="s">
        <v>87</v>
      </c>
      <c r="D19" s="1" t="s">
        <v>122</v>
      </c>
      <c r="E19" s="4" t="s">
        <v>83</v>
      </c>
    </row>
    <row r="21" spans="1:5" x14ac:dyDescent="0.25">
      <c r="A21" s="11" t="s">
        <v>110</v>
      </c>
      <c r="B21" s="11"/>
      <c r="C21" s="11"/>
      <c r="D21" s="11"/>
      <c r="E21" s="11"/>
    </row>
    <row r="22" spans="1:5" ht="60" x14ac:dyDescent="0.25">
      <c r="A22" t="s">
        <v>60</v>
      </c>
      <c r="B22" t="s">
        <v>82</v>
      </c>
      <c r="C22" s="1" t="s">
        <v>116</v>
      </c>
      <c r="D22" s="1" t="s">
        <v>136</v>
      </c>
      <c r="E22" s="9" t="s">
        <v>115</v>
      </c>
    </row>
    <row r="23" spans="1:5" x14ac:dyDescent="0.25">
      <c r="E23" s="4"/>
    </row>
    <row r="24" spans="1:5" x14ac:dyDescent="0.25">
      <c r="A24" t="s">
        <v>90</v>
      </c>
      <c r="B24" t="s">
        <v>91</v>
      </c>
      <c r="C24" t="s">
        <v>117</v>
      </c>
      <c r="E24" s="4" t="s">
        <v>118</v>
      </c>
    </row>
    <row r="25" spans="1:5" x14ac:dyDescent="0.25">
      <c r="B25" t="s">
        <v>92</v>
      </c>
      <c r="C25" t="s">
        <v>119</v>
      </c>
      <c r="D25" t="s">
        <v>120</v>
      </c>
      <c r="E25" s="4" t="s">
        <v>121</v>
      </c>
    </row>
    <row r="27" spans="1:5" x14ac:dyDescent="0.25">
      <c r="A27" s="11" t="s">
        <v>124</v>
      </c>
      <c r="B27" s="11"/>
      <c r="C27" s="11"/>
      <c r="D27" s="11"/>
      <c r="E27" s="11"/>
    </row>
    <row r="28" spans="1:5" ht="45" x14ac:dyDescent="0.25">
      <c r="A28" t="s">
        <v>60</v>
      </c>
      <c r="B28" t="s">
        <v>82</v>
      </c>
      <c r="C28" s="1" t="s">
        <v>125</v>
      </c>
      <c r="D28" s="1" t="s">
        <v>127</v>
      </c>
      <c r="E28" s="4" t="s">
        <v>126</v>
      </c>
    </row>
    <row r="29" spans="1:5" x14ac:dyDescent="0.25">
      <c r="C29" s="1"/>
      <c r="D29" s="1"/>
      <c r="E29" s="4"/>
    </row>
    <row r="30" spans="1:5" x14ac:dyDescent="0.25">
      <c r="A30" t="s">
        <v>62</v>
      </c>
      <c r="B30" t="s">
        <v>85</v>
      </c>
      <c r="C30" s="1" t="s">
        <v>135</v>
      </c>
      <c r="D30" s="1"/>
      <c r="E30" s="4"/>
    </row>
    <row r="31" spans="1:5" x14ac:dyDescent="0.25">
      <c r="E31" s="4"/>
    </row>
    <row r="32" spans="1:5" ht="45" x14ac:dyDescent="0.25">
      <c r="A32" t="s">
        <v>90</v>
      </c>
      <c r="B32" t="s">
        <v>91</v>
      </c>
      <c r="C32" s="1" t="s">
        <v>128</v>
      </c>
      <c r="D32" s="1" t="s">
        <v>129</v>
      </c>
      <c r="E32" s="4" t="s">
        <v>1</v>
      </c>
    </row>
    <row r="33" spans="1:6" ht="30" x14ac:dyDescent="0.25">
      <c r="B33" t="s">
        <v>92</v>
      </c>
      <c r="C33" s="1" t="s">
        <v>134</v>
      </c>
      <c r="D33" s="1" t="s">
        <v>133</v>
      </c>
      <c r="E33" s="4" t="s">
        <v>130</v>
      </c>
      <c r="F33" t="s">
        <v>131</v>
      </c>
    </row>
    <row r="35" spans="1:6" x14ac:dyDescent="0.25">
      <c r="A35" s="11" t="s">
        <v>137</v>
      </c>
      <c r="B35" s="11"/>
      <c r="C35" s="11"/>
      <c r="D35" s="11"/>
      <c r="E35" s="11"/>
    </row>
    <row r="36" spans="1:6" ht="30" x14ac:dyDescent="0.25">
      <c r="A36" t="s">
        <v>60</v>
      </c>
      <c r="B36" t="s">
        <v>82</v>
      </c>
      <c r="C36" s="1" t="s">
        <v>125</v>
      </c>
      <c r="D36" s="1" t="s">
        <v>138</v>
      </c>
      <c r="E36" s="4" t="s">
        <v>126</v>
      </c>
    </row>
    <row r="38" spans="1:6" ht="30" x14ac:dyDescent="0.25">
      <c r="A38" t="s">
        <v>90</v>
      </c>
      <c r="B38" t="s">
        <v>91</v>
      </c>
      <c r="C38" s="1" t="s">
        <v>139</v>
      </c>
      <c r="D38" s="1" t="s">
        <v>140</v>
      </c>
      <c r="E38" s="4" t="s">
        <v>1</v>
      </c>
    </row>
    <row r="39" spans="1:6" ht="45" x14ac:dyDescent="0.25">
      <c r="B39" t="s">
        <v>92</v>
      </c>
      <c r="C39" s="1" t="s">
        <v>132</v>
      </c>
      <c r="D39" s="1" t="s">
        <v>141</v>
      </c>
      <c r="E39" s="4" t="s">
        <v>130</v>
      </c>
    </row>
    <row r="40" spans="1:6" x14ac:dyDescent="0.25">
      <c r="C40" s="1"/>
      <c r="D40" s="1"/>
      <c r="E40" s="4"/>
    </row>
    <row r="41" spans="1:6" x14ac:dyDescent="0.25">
      <c r="A41" s="11" t="s">
        <v>230</v>
      </c>
      <c r="B41" s="11"/>
      <c r="C41" s="13"/>
      <c r="D41" s="13"/>
      <c r="E41" s="14"/>
    </row>
    <row r="42" spans="1:6" ht="45" x14ac:dyDescent="0.25">
      <c r="A42" t="s">
        <v>60</v>
      </c>
      <c r="B42" t="s">
        <v>82</v>
      </c>
      <c r="C42" s="1" t="s">
        <v>145</v>
      </c>
      <c r="D42" s="1" t="s">
        <v>146</v>
      </c>
      <c r="E42" s="4" t="s">
        <v>126</v>
      </c>
    </row>
    <row r="43" spans="1:6" ht="45" x14ac:dyDescent="0.25">
      <c r="C43" s="12" t="s">
        <v>143</v>
      </c>
      <c r="D43" s="1" t="s">
        <v>144</v>
      </c>
      <c r="E43" s="4"/>
    </row>
    <row r="44" spans="1:6" x14ac:dyDescent="0.25">
      <c r="C44" s="12"/>
      <c r="D44" s="1"/>
      <c r="E44" s="4"/>
    </row>
    <row r="45" spans="1:6" ht="30" x14ac:dyDescent="0.25">
      <c r="A45" t="s">
        <v>90</v>
      </c>
      <c r="B45" t="s">
        <v>91</v>
      </c>
      <c r="C45" s="12" t="s">
        <v>148</v>
      </c>
      <c r="D45" s="1" t="s">
        <v>149</v>
      </c>
      <c r="E45" s="4" t="s">
        <v>1</v>
      </c>
    </row>
    <row r="46" spans="1:6" ht="30" x14ac:dyDescent="0.25">
      <c r="B46" t="s">
        <v>92</v>
      </c>
      <c r="C46" s="12" t="s">
        <v>152</v>
      </c>
      <c r="D46" s="1" t="s">
        <v>151</v>
      </c>
      <c r="E46" s="4" t="s">
        <v>130</v>
      </c>
      <c r="F46" t="s">
        <v>150</v>
      </c>
    </row>
    <row r="47" spans="1:6" x14ac:dyDescent="0.25">
      <c r="C47" s="1"/>
      <c r="D47" s="1"/>
      <c r="E47" s="4"/>
    </row>
    <row r="48" spans="1:6" x14ac:dyDescent="0.25">
      <c r="A48" s="11" t="s">
        <v>231</v>
      </c>
      <c r="B48" s="11"/>
      <c r="C48" s="13"/>
      <c r="D48" s="13"/>
      <c r="E48" s="14"/>
    </row>
    <row r="49" spans="1:6" ht="45" x14ac:dyDescent="0.25">
      <c r="A49" t="s">
        <v>60</v>
      </c>
      <c r="B49" t="s">
        <v>82</v>
      </c>
      <c r="C49" s="1" t="s">
        <v>154</v>
      </c>
      <c r="D49" s="1" t="s">
        <v>153</v>
      </c>
      <c r="E49" s="4" t="s">
        <v>126</v>
      </c>
    </row>
    <row r="50" spans="1:6" ht="45" x14ac:dyDescent="0.25">
      <c r="C50" s="12" t="s">
        <v>143</v>
      </c>
      <c r="D50" s="1" t="s">
        <v>144</v>
      </c>
      <c r="E50" s="4"/>
    </row>
    <row r="51" spans="1:6" x14ac:dyDescent="0.25">
      <c r="C51" s="1"/>
      <c r="D51" s="1"/>
      <c r="E51" s="4"/>
    </row>
    <row r="52" spans="1:6" ht="30" x14ac:dyDescent="0.25">
      <c r="A52" t="s">
        <v>90</v>
      </c>
      <c r="B52" t="s">
        <v>91</v>
      </c>
      <c r="C52" s="12" t="s">
        <v>148</v>
      </c>
      <c r="D52" s="1" t="s">
        <v>155</v>
      </c>
      <c r="E52" s="4" t="s">
        <v>1</v>
      </c>
    </row>
    <row r="53" spans="1:6" x14ac:dyDescent="0.25">
      <c r="B53" t="s">
        <v>92</v>
      </c>
      <c r="C53" s="12" t="s">
        <v>147</v>
      </c>
      <c r="D53" s="1" t="s">
        <v>157</v>
      </c>
      <c r="E53" s="4" t="s">
        <v>130</v>
      </c>
      <c r="F53" t="s">
        <v>156</v>
      </c>
    </row>
    <row r="54" spans="1:6" x14ac:dyDescent="0.25">
      <c r="C54" s="1"/>
      <c r="D54" s="1"/>
      <c r="E54" s="4"/>
    </row>
    <row r="55" spans="1:6" x14ac:dyDescent="0.25">
      <c r="A55" s="11" t="s">
        <v>158</v>
      </c>
      <c r="B55" s="11"/>
      <c r="C55" s="13"/>
      <c r="D55" s="13"/>
      <c r="E55" s="14"/>
    </row>
    <row r="56" spans="1:6" x14ac:dyDescent="0.25">
      <c r="A56" t="s">
        <v>60</v>
      </c>
      <c r="B56" t="s">
        <v>82</v>
      </c>
      <c r="C56" t="s">
        <v>161</v>
      </c>
      <c r="E56" s="4" t="s">
        <v>1</v>
      </c>
    </row>
    <row r="57" spans="1:6" x14ac:dyDescent="0.25">
      <c r="C57" s="1"/>
      <c r="D57" s="1"/>
      <c r="E57" s="4"/>
    </row>
    <row r="58" spans="1:6" ht="45" x14ac:dyDescent="0.25">
      <c r="A58" t="s">
        <v>165</v>
      </c>
      <c r="B58" t="s">
        <v>85</v>
      </c>
      <c r="C58" s="1" t="s">
        <v>163</v>
      </c>
      <c r="D58" s="1"/>
      <c r="E58" s="15" t="s">
        <v>159</v>
      </c>
      <c r="F58" t="s">
        <v>160</v>
      </c>
    </row>
    <row r="59" spans="1:6" x14ac:dyDescent="0.25">
      <c r="B59" t="s">
        <v>162</v>
      </c>
      <c r="C59" t="s">
        <v>164</v>
      </c>
    </row>
    <row r="61" spans="1:6" x14ac:dyDescent="0.25">
      <c r="A61" s="11" t="s">
        <v>166</v>
      </c>
      <c r="B61" s="14"/>
      <c r="C61" s="11"/>
      <c r="D61" s="11"/>
      <c r="E61" s="11"/>
    </row>
    <row r="62" spans="1:6" ht="30" x14ac:dyDescent="0.25">
      <c r="A62" t="s">
        <v>60</v>
      </c>
      <c r="B62" s="17" t="s">
        <v>82</v>
      </c>
      <c r="C62" t="s">
        <v>172</v>
      </c>
      <c r="D62" s="1" t="s">
        <v>169</v>
      </c>
      <c r="E62" s="16" t="s">
        <v>168</v>
      </c>
    </row>
    <row r="63" spans="1:6" x14ac:dyDescent="0.25">
      <c r="B63" s="17" t="s">
        <v>167</v>
      </c>
      <c r="C63" t="s">
        <v>171</v>
      </c>
      <c r="E63" t="s">
        <v>1</v>
      </c>
      <c r="F63" t="s">
        <v>170</v>
      </c>
    </row>
    <row r="64" spans="1:6" x14ac:dyDescent="0.25">
      <c r="B64" s="17"/>
    </row>
    <row r="65" spans="1:5" ht="30" x14ac:dyDescent="0.25">
      <c r="A65" t="s">
        <v>165</v>
      </c>
      <c r="B65" s="17" t="s">
        <v>85</v>
      </c>
      <c r="C65" t="s">
        <v>173</v>
      </c>
      <c r="D65" s="1" t="s">
        <v>175</v>
      </c>
    </row>
    <row r="66" spans="1:5" x14ac:dyDescent="0.25">
      <c r="B66" s="17" t="s">
        <v>162</v>
      </c>
      <c r="C66" t="s">
        <v>174</v>
      </c>
    </row>
    <row r="67" spans="1:5" x14ac:dyDescent="0.25">
      <c r="B67" s="17"/>
    </row>
    <row r="68" spans="1:5" x14ac:dyDescent="0.25">
      <c r="A68" s="11" t="s">
        <v>176</v>
      </c>
      <c r="B68" s="20"/>
      <c r="C68" s="11"/>
      <c r="D68" s="11"/>
      <c r="E68" s="11"/>
    </row>
    <row r="69" spans="1:5" ht="30" x14ac:dyDescent="0.25">
      <c r="A69" t="s">
        <v>60</v>
      </c>
      <c r="B69" s="17" t="s">
        <v>82</v>
      </c>
      <c r="C69" s="1" t="s">
        <v>179</v>
      </c>
      <c r="D69" s="1" t="s">
        <v>178</v>
      </c>
      <c r="E69" t="s">
        <v>177</v>
      </c>
    </row>
    <row r="70" spans="1:5" x14ac:dyDescent="0.25">
      <c r="B70" s="17" t="s">
        <v>167</v>
      </c>
      <c r="C70" t="s">
        <v>180</v>
      </c>
      <c r="D70" t="s">
        <v>181</v>
      </c>
    </row>
    <row r="71" spans="1:5" x14ac:dyDescent="0.25">
      <c r="B71" s="17"/>
    </row>
    <row r="72" spans="1:5" ht="32.25" customHeight="1" x14ac:dyDescent="0.25">
      <c r="A72" t="s">
        <v>182</v>
      </c>
      <c r="B72" s="17" t="s">
        <v>183</v>
      </c>
      <c r="C72" s="1" t="s">
        <v>184</v>
      </c>
      <c r="D72" t="s">
        <v>185</v>
      </c>
    </row>
    <row r="73" spans="1:5" x14ac:dyDescent="0.25">
      <c r="B73" s="17"/>
    </row>
    <row r="74" spans="1:5" x14ac:dyDescent="0.25">
      <c r="A74" s="11" t="s">
        <v>186</v>
      </c>
      <c r="B74" s="20"/>
      <c r="C74" s="11"/>
      <c r="D74" s="11"/>
      <c r="E74" s="11"/>
    </row>
    <row r="75" spans="1:5" x14ac:dyDescent="0.25">
      <c r="A75" t="s">
        <v>60</v>
      </c>
      <c r="B75" s="17" t="s">
        <v>82</v>
      </c>
      <c r="C75" s="1" t="s">
        <v>189</v>
      </c>
      <c r="D75" s="1" t="s">
        <v>187</v>
      </c>
      <c r="E75" t="s">
        <v>188</v>
      </c>
    </row>
    <row r="76" spans="1:5" x14ac:dyDescent="0.25">
      <c r="B76" s="17"/>
    </row>
    <row r="77" spans="1:5" x14ac:dyDescent="0.25">
      <c r="A77" t="s">
        <v>62</v>
      </c>
      <c r="B77" s="17" t="s">
        <v>85</v>
      </c>
      <c r="C77" t="s">
        <v>190</v>
      </c>
    </row>
    <row r="78" spans="1:5" x14ac:dyDescent="0.25">
      <c r="B78" s="17"/>
    </row>
    <row r="79" spans="1:5" x14ac:dyDescent="0.25">
      <c r="A79" t="s">
        <v>191</v>
      </c>
      <c r="B79" t="s">
        <v>183</v>
      </c>
      <c r="C79" s="21" t="s">
        <v>192</v>
      </c>
    </row>
    <row r="80" spans="1:5" x14ac:dyDescent="0.25">
      <c r="B80" t="s">
        <v>193</v>
      </c>
      <c r="C80" s="21" t="s">
        <v>194</v>
      </c>
    </row>
    <row r="81" spans="1:6" x14ac:dyDescent="0.25">
      <c r="C81" s="21"/>
    </row>
    <row r="82" spans="1:6" x14ac:dyDescent="0.25">
      <c r="A82" t="s">
        <v>90</v>
      </c>
      <c r="B82" t="s">
        <v>91</v>
      </c>
      <c r="C82" s="21" t="s">
        <v>195</v>
      </c>
      <c r="E82" t="s">
        <v>1</v>
      </c>
      <c r="F82" t="s">
        <v>196</v>
      </c>
    </row>
    <row r="83" spans="1:6" x14ac:dyDescent="0.25">
      <c r="C83" s="21"/>
    </row>
    <row r="84" spans="1:6" x14ac:dyDescent="0.25">
      <c r="A84" s="11" t="s">
        <v>198</v>
      </c>
      <c r="B84" s="11"/>
      <c r="C84" s="22"/>
      <c r="D84" s="11"/>
      <c r="E84" s="11"/>
    </row>
    <row r="85" spans="1:6" x14ac:dyDescent="0.25">
      <c r="A85" t="s">
        <v>60</v>
      </c>
      <c r="B85" t="s">
        <v>82</v>
      </c>
      <c r="C85" s="21" t="s">
        <v>199</v>
      </c>
      <c r="D85" t="s">
        <v>204</v>
      </c>
      <c r="E85" s="4" t="s">
        <v>52</v>
      </c>
    </row>
    <row r="86" spans="1:6" x14ac:dyDescent="0.25">
      <c r="C86" s="21"/>
    </row>
    <row r="87" spans="1:6" x14ac:dyDescent="0.25">
      <c r="A87" s="11" t="s">
        <v>197</v>
      </c>
      <c r="B87" s="11"/>
      <c r="C87" s="22"/>
      <c r="D87" s="11"/>
      <c r="E87" s="11"/>
    </row>
    <row r="88" spans="1:6" x14ac:dyDescent="0.25">
      <c r="A88" t="s">
        <v>60</v>
      </c>
      <c r="B88" t="s">
        <v>82</v>
      </c>
      <c r="C88" s="21" t="s">
        <v>199</v>
      </c>
      <c r="E88" s="4" t="s">
        <v>52</v>
      </c>
    </row>
    <row r="89" spans="1:6" x14ac:dyDescent="0.25">
      <c r="C89" s="21"/>
    </row>
    <row r="90" spans="1:6" x14ac:dyDescent="0.25">
      <c r="A90" t="s">
        <v>191</v>
      </c>
      <c r="B90" t="s">
        <v>183</v>
      </c>
      <c r="C90" s="21" t="s">
        <v>200</v>
      </c>
    </row>
    <row r="91" spans="1:6" x14ac:dyDescent="0.25">
      <c r="B91" t="s">
        <v>193</v>
      </c>
      <c r="C91" s="21" t="s">
        <v>201</v>
      </c>
    </row>
    <row r="92" spans="1:6" x14ac:dyDescent="0.25">
      <c r="C92" s="21"/>
    </row>
    <row r="93" spans="1:6" x14ac:dyDescent="0.25">
      <c r="A93" s="11" t="s">
        <v>202</v>
      </c>
      <c r="B93" s="11"/>
      <c r="C93" s="22"/>
      <c r="D93" s="11"/>
      <c r="E93" s="11"/>
    </row>
    <row r="94" spans="1:6" x14ac:dyDescent="0.25">
      <c r="A94" t="s">
        <v>60</v>
      </c>
      <c r="B94" t="s">
        <v>82</v>
      </c>
      <c r="C94" s="21" t="s">
        <v>199</v>
      </c>
      <c r="D94" t="s">
        <v>203</v>
      </c>
      <c r="E94" s="4" t="s">
        <v>52</v>
      </c>
    </row>
    <row r="95" spans="1:6" x14ac:dyDescent="0.25">
      <c r="C95" s="21"/>
    </row>
    <row r="96" spans="1:6" x14ac:dyDescent="0.25">
      <c r="A96" s="11" t="s">
        <v>50</v>
      </c>
      <c r="B96" s="11"/>
      <c r="C96" s="22"/>
      <c r="D96" s="11"/>
      <c r="E96" s="11"/>
    </row>
    <row r="97" spans="1:5" x14ac:dyDescent="0.25">
      <c r="A97" t="s">
        <v>60</v>
      </c>
      <c r="B97" t="s">
        <v>82</v>
      </c>
      <c r="C97" s="21" t="s">
        <v>199</v>
      </c>
      <c r="D97" t="s">
        <v>206</v>
      </c>
      <c r="E97" s="4" t="s">
        <v>52</v>
      </c>
    </row>
    <row r="98" spans="1:5" x14ac:dyDescent="0.25">
      <c r="B98" s="18"/>
    </row>
    <row r="99" spans="1:5" x14ac:dyDescent="0.25">
      <c r="A99" t="s">
        <v>191</v>
      </c>
      <c r="B99" t="s">
        <v>183</v>
      </c>
      <c r="C99" t="s">
        <v>205</v>
      </c>
    </row>
    <row r="101" spans="1:5" x14ac:dyDescent="0.25">
      <c r="A101" t="s">
        <v>90</v>
      </c>
      <c r="B101" t="s">
        <v>91</v>
      </c>
      <c r="C101" t="s">
        <v>207</v>
      </c>
      <c r="E101" s="4" t="s">
        <v>51</v>
      </c>
    </row>
    <row r="102" spans="1:5" x14ac:dyDescent="0.25">
      <c r="B102" t="s">
        <v>92</v>
      </c>
      <c r="C102" t="s">
        <v>209</v>
      </c>
      <c r="E102" s="4" t="s">
        <v>208</v>
      </c>
    </row>
    <row r="103" spans="1:5" x14ac:dyDescent="0.25">
      <c r="E103" s="4"/>
    </row>
    <row r="104" spans="1:5" x14ac:dyDescent="0.25">
      <c r="A104" s="11" t="s">
        <v>216</v>
      </c>
      <c r="B104" s="11"/>
      <c r="C104" s="11"/>
      <c r="D104" s="11"/>
      <c r="E104" s="14"/>
    </row>
    <row r="105" spans="1:5" x14ac:dyDescent="0.25">
      <c r="A105" t="s">
        <v>60</v>
      </c>
      <c r="B105" t="s">
        <v>82</v>
      </c>
      <c r="C105" t="s">
        <v>211</v>
      </c>
      <c r="D105" t="s">
        <v>212</v>
      </c>
      <c r="E105" s="4" t="s">
        <v>52</v>
      </c>
    </row>
    <row r="106" spans="1:5" x14ac:dyDescent="0.25">
      <c r="E106" s="4"/>
    </row>
    <row r="107" spans="1:5" x14ac:dyDescent="0.25">
      <c r="A107" t="s">
        <v>62</v>
      </c>
      <c r="B107" t="s">
        <v>85</v>
      </c>
      <c r="C107" t="s">
        <v>213</v>
      </c>
      <c r="D107" t="s">
        <v>214</v>
      </c>
      <c r="E107" s="4"/>
    </row>
    <row r="108" spans="1:5" x14ac:dyDescent="0.25">
      <c r="E108" s="4"/>
    </row>
    <row r="109" spans="1:5" x14ac:dyDescent="0.25">
      <c r="A109" t="s">
        <v>90</v>
      </c>
      <c r="B109" t="s">
        <v>91</v>
      </c>
      <c r="C109" t="s">
        <v>219</v>
      </c>
      <c r="D109" t="s">
        <v>215</v>
      </c>
      <c r="E109" s="4" t="s">
        <v>1</v>
      </c>
    </row>
    <row r="110" spans="1:5" ht="30" x14ac:dyDescent="0.25">
      <c r="B110" t="s">
        <v>92</v>
      </c>
      <c r="C110" t="s">
        <v>219</v>
      </c>
      <c r="D110" s="1" t="s">
        <v>218</v>
      </c>
      <c r="E110" s="4" t="s">
        <v>217</v>
      </c>
    </row>
    <row r="111" spans="1:5" x14ac:dyDescent="0.25">
      <c r="E111" s="4"/>
    </row>
    <row r="112" spans="1:5" x14ac:dyDescent="0.25">
      <c r="A112" s="11" t="s">
        <v>210</v>
      </c>
      <c r="B112" s="11"/>
      <c r="C112" s="11"/>
      <c r="D112" s="11"/>
      <c r="E112" s="14"/>
    </row>
    <row r="113" spans="1:6" x14ac:dyDescent="0.25">
      <c r="A113" t="s">
        <v>60</v>
      </c>
      <c r="B113" t="s">
        <v>82</v>
      </c>
      <c r="C113" t="s">
        <v>225</v>
      </c>
      <c r="D113" t="s">
        <v>220</v>
      </c>
      <c r="E113" s="4" t="s">
        <v>51</v>
      </c>
    </row>
    <row r="114" spans="1:6" x14ac:dyDescent="0.25">
      <c r="E114" s="4"/>
    </row>
    <row r="115" spans="1:6" x14ac:dyDescent="0.25">
      <c r="A115" t="s">
        <v>90</v>
      </c>
      <c r="B115" t="s">
        <v>91</v>
      </c>
      <c r="C115" s="23" t="s">
        <v>221</v>
      </c>
      <c r="D115" t="s">
        <v>223</v>
      </c>
      <c r="E115" s="4" t="s">
        <v>208</v>
      </c>
    </row>
    <row r="116" spans="1:6" ht="120" x14ac:dyDescent="0.25">
      <c r="B116" t="s">
        <v>92</v>
      </c>
      <c r="C116" t="s">
        <v>222</v>
      </c>
      <c r="D116" s="1" t="s">
        <v>224</v>
      </c>
      <c r="E116" s="4" t="s">
        <v>52</v>
      </c>
    </row>
    <row r="118" spans="1:6" x14ac:dyDescent="0.25">
      <c r="A118" s="11" t="s">
        <v>226</v>
      </c>
      <c r="B118" s="11"/>
      <c r="C118" s="11"/>
      <c r="D118" s="11"/>
      <c r="E118" s="11"/>
    </row>
    <row r="119" spans="1:6" x14ac:dyDescent="0.25">
      <c r="A119" t="s">
        <v>60</v>
      </c>
      <c r="B119" t="s">
        <v>82</v>
      </c>
      <c r="D119" t="s">
        <v>227</v>
      </c>
      <c r="E119" s="4" t="s">
        <v>52</v>
      </c>
      <c r="F119" t="s">
        <v>228</v>
      </c>
    </row>
    <row r="121" spans="1:6" x14ac:dyDescent="0.25">
      <c r="B121" s="4"/>
    </row>
    <row r="124" spans="1:6" x14ac:dyDescent="0.25">
      <c r="B124" s="4"/>
    </row>
  </sheetData>
  <hyperlinks>
    <hyperlink ref="E2" r:id="rId1" xr:uid="{32D8ADD6-2D2A-414D-9E60-51D9B768E0DC}"/>
    <hyperlink ref="E9" r:id="rId2" xr:uid="{364F08C7-D795-41BD-A667-9B0D1FA9A0F9}"/>
    <hyperlink ref="F11" r:id="rId3" xr:uid="{4082205D-349C-4E05-ADB3-3B4B49E95C3D}"/>
    <hyperlink ref="E11" r:id="rId4" xr:uid="{2112292D-B08C-4D04-8ECE-C220152093B3}"/>
    <hyperlink ref="E13" r:id="rId5" xr:uid="{4633B38B-37E2-45CF-BBD3-69B844280F7F}"/>
    <hyperlink ref="E14" r:id="rId6" xr:uid="{BCFB3AD7-E568-4EF1-B8C6-6D36C01219F4}"/>
    <hyperlink ref="F14" r:id="rId7" xr:uid="{39EED4C6-9757-4F0B-975F-54D2B98A7A34}"/>
    <hyperlink ref="E6" r:id="rId8" xr:uid="{D0D61482-D1E5-4671-876A-526BA3353F40}"/>
    <hyperlink ref="E19" r:id="rId9" xr:uid="{5A4EE4BB-25D8-45BA-810C-C9DE183063AD}"/>
    <hyperlink ref="E15" r:id="rId10" xr:uid="{58446584-1B84-4777-A5E9-6898365BA1E5}"/>
    <hyperlink ref="E16" r:id="rId11" xr:uid="{C5D9A06C-0387-4FC0-AAA3-F9989453E08A}"/>
    <hyperlink ref="E25" r:id="rId12" xr:uid="{8A2236F5-86D0-410D-9B5C-81258D098FE0}"/>
    <hyperlink ref="E28" r:id="rId13" xr:uid="{59EE9B2E-D2F9-401E-9775-EF42BCE46BC3}"/>
    <hyperlink ref="E32" r:id="rId14" xr:uid="{5E06AC32-81C0-4A0E-8A2D-643C5CE6E28F}"/>
    <hyperlink ref="E33" r:id="rId15" xr:uid="{2FA3F88D-B68D-4D9A-AF6D-85C92761CD5E}"/>
    <hyperlink ref="E36" r:id="rId16" xr:uid="{D84017A6-5F8F-46AB-B0B1-867A1FEC5738}"/>
    <hyperlink ref="E38" r:id="rId17" xr:uid="{D619E4AC-0C09-455E-8305-30AF4AAFB06F}"/>
    <hyperlink ref="E39" r:id="rId18" xr:uid="{C86126A9-F92F-49C0-992A-DF52869D5DE6}"/>
    <hyperlink ref="E42" r:id="rId19" xr:uid="{68C1B54D-692F-4A32-AD6B-14747524828A}"/>
    <hyperlink ref="E45" r:id="rId20" xr:uid="{E3D3049C-A01C-4B19-A098-462AC782DC13}"/>
    <hyperlink ref="E46" r:id="rId21" xr:uid="{4B6471BF-04FA-4963-8AC1-87BD948E5C5A}"/>
    <hyperlink ref="E49" r:id="rId22" xr:uid="{C4205E75-9AAB-4745-A12B-65331301A0A6}"/>
    <hyperlink ref="E52" r:id="rId23" xr:uid="{0C2D9F0B-5BB3-4B84-946C-45C8CA66A796}"/>
    <hyperlink ref="E53" r:id="rId24" xr:uid="{F3A497AE-00B9-451E-A7E9-112D48633BF3}"/>
    <hyperlink ref="E56" r:id="rId25" xr:uid="{E9E78411-C4FF-4223-9D8A-A797F1EF6B96}"/>
    <hyperlink ref="E62" r:id="rId26" xr:uid="{203123FC-8149-4846-A324-0E084AADB77E}"/>
    <hyperlink ref="E85" r:id="rId27" xr:uid="{111ACAE6-C0A4-42A0-9CCC-9D465186D4A6}"/>
    <hyperlink ref="E88" r:id="rId28" xr:uid="{5BB5A54F-3FAE-49BE-8D14-FC76171FCA6D}"/>
    <hyperlink ref="E94" r:id="rId29" xr:uid="{303E043F-4724-46DC-9752-E461155D908B}"/>
    <hyperlink ref="E97" r:id="rId30" xr:uid="{BD805B39-228D-4BAE-B98B-224685A649A4}"/>
    <hyperlink ref="E101" r:id="rId31" xr:uid="{6EE7DDF8-9FDA-43EA-B004-EDC09C0BE63B}"/>
    <hyperlink ref="E102" r:id="rId32" xr:uid="{A58017EF-3DDD-482D-9590-58BEAA051002}"/>
    <hyperlink ref="E109" r:id="rId33" xr:uid="{0C7D8A65-51EB-487C-823E-A93410C065A0}"/>
    <hyperlink ref="E110" r:id="rId34" xr:uid="{0493B2B0-8F94-49EC-A70A-EBE78A6FA1CC}"/>
    <hyperlink ref="E113" r:id="rId35" xr:uid="{8172DA29-1E81-4AAE-9BA1-F59C3C1A8A8C}"/>
    <hyperlink ref="E115" r:id="rId36" xr:uid="{DA8BADA9-3FEA-4C06-A398-69C212BEF465}"/>
    <hyperlink ref="E116" r:id="rId37" xr:uid="{E94A4255-7642-4E78-82B4-CCF3F381AA16}"/>
    <hyperlink ref="E119" r:id="rId38" xr:uid="{DB814493-60C2-419C-9E9C-25D718F91ABC}"/>
  </hyperlinks>
  <pageMargins left="0.7" right="0.7" top="0.78740157499999996" bottom="0.78740157499999996" header="0.3" footer="0.3"/>
  <pageSetup paperSize="9" orientation="portrait" r:id="rId3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2391-8C79-4CE0-ADB4-180D048810A9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 xml:space="preserve"> 554 * Conversion!A2</f>
        <v>2.317936</v>
      </c>
      <c r="C2">
        <f>B2*Conversion!B2</f>
        <v>1.158968</v>
      </c>
      <c r="D2">
        <f>B2*Conversion!C2</f>
        <v>1.158968</v>
      </c>
      <c r="E2">
        <v>0</v>
      </c>
      <c r="F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528B-41B3-4AB8-98BF-8B5748C9ACDD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v>2.448</v>
      </c>
      <c r="C2">
        <f>B2*Conversion!B2</f>
        <v>1.224</v>
      </c>
      <c r="D2">
        <f>B2*Conversion!C2</f>
        <v>1.224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03EF-AFAD-418D-A279-1B1EA33033AD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v>12.97</v>
      </c>
      <c r="C2">
        <f>B2*Conversion!B2</f>
        <v>6.4850000000000003</v>
      </c>
      <c r="D2">
        <f>B2*Conversion!C2</f>
        <v>6.4850000000000003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98BD-8929-4A0A-9C27-8AF2E67D990E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 xml:space="preserve"> 141 * Conversion!A2</f>
        <v>0.58994400000000002</v>
      </c>
      <c r="C2">
        <f>B2*Conversion!B2</f>
        <v>0.29497200000000001</v>
      </c>
      <c r="D2">
        <f>B2*Conversion!C2</f>
        <v>0.29497200000000001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B0DE-562A-46AC-8DCB-CEE49E1493D8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 xml:space="preserve"> (148+151)/2 * Conversion!A2</f>
        <v>0.62550800000000006</v>
      </c>
      <c r="C2">
        <f>B2*Conversion!B2</f>
        <v>0.31275400000000003</v>
      </c>
      <c r="D2">
        <f>B2*Conversion!C2</f>
        <v>0.31275400000000003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85AB-16D4-4A0B-ADDF-850D42A5A729}">
  <dimension ref="A1:F3"/>
  <sheetViews>
    <sheetView workbookViewId="0">
      <selection activeCell="C21" sqref="C21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229</v>
      </c>
      <c r="B2">
        <f>C2+D2+F2</f>
        <v>9.9372436982176993</v>
      </c>
      <c r="C2">
        <v>6.8520344633919876</v>
      </c>
      <c r="D2">
        <v>3.0852092348257121</v>
      </c>
      <c r="E2">
        <v>0</v>
      </c>
      <c r="F2">
        <v>0</v>
      </c>
    </row>
    <row r="3" spans="1:6" x14ac:dyDescent="0.25">
      <c r="A3" t="s">
        <v>2</v>
      </c>
      <c r="B3">
        <f>C3+D3+F3</f>
        <v>4.45</v>
      </c>
      <c r="C3">
        <f xml:space="preserve"> 1.91+0.42</f>
        <v>2.33</v>
      </c>
      <c r="D3">
        <f>0.86+1.26</f>
        <v>2.12</v>
      </c>
      <c r="E3">
        <v>0</v>
      </c>
      <c r="F3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A530-CB75-4909-B261-732C194FA479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 xml:space="preserve"> (153+148)/2 * Conversion!A2</f>
        <v>0.62969200000000003</v>
      </c>
      <c r="C2">
        <f>B2*Conversion!B2</f>
        <v>0.31484600000000001</v>
      </c>
      <c r="D2">
        <f>B2*Conversion!C2</f>
        <v>0.31484600000000001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BEF3-3405-4769-A0DF-7F6DB23C9755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 xml:space="preserve"> 170 * Conversion!A2</f>
        <v>0.71128000000000002</v>
      </c>
      <c r="C2">
        <f>B2*Conversion!B2</f>
        <v>0.35564000000000001</v>
      </c>
      <c r="D2">
        <f>B2*Conversion!C2</f>
        <v>0.35564000000000001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4CDE-9C08-46C3-97C6-919E251B8D1E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 xml:space="preserve"> 0 * Conversion!A2</f>
        <v>0</v>
      </c>
      <c r="C2">
        <f>B2*Conversion!B2</f>
        <v>0</v>
      </c>
      <c r="D2">
        <f>B2*Conversion!C2</f>
        <v>0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25A4-413E-478E-8F33-EEC4384E5D8E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 xml:space="preserve"> 132 * Conversion!A2</f>
        <v>0.552288</v>
      </c>
      <c r="C2">
        <f>B2*Conversion!B2</f>
        <v>0.276144</v>
      </c>
      <c r="D2">
        <f>B2*Conversion!C2</f>
        <v>0.276144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6F0B-3B8C-4E32-A29A-76CD2D287223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 xml:space="preserve"> (139+146)/2 * Conversion!A2</f>
        <v>0.59622000000000008</v>
      </c>
      <c r="C2">
        <f>B2*Conversion!B2</f>
        <v>0.29811000000000004</v>
      </c>
      <c r="D2">
        <f>B2*Conversion!C2</f>
        <v>0.29811000000000004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ACB0-F539-4C6D-88BE-B28AD7535905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>0 * Conversion!A2</f>
        <v>0</v>
      </c>
      <c r="C2">
        <f>B2*Conversion!B2</f>
        <v>0</v>
      </c>
      <c r="D2">
        <f>B2*Conversion!C2</f>
        <v>0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3EA8-8FF8-4991-89AB-5735B7410C0F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 xml:space="preserve"> 120 * Conversion!A2</f>
        <v>0.50208000000000008</v>
      </c>
      <c r="C2">
        <f>B2*Conversion!B2</f>
        <v>0.25104000000000004</v>
      </c>
      <c r="D2">
        <f>B2*Conversion!C2</f>
        <v>0.25104000000000004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76B8-DE74-449A-9F47-FBE5666D31FD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 xml:space="preserve"> 125 * Conversion!A2</f>
        <v>0.52300000000000002</v>
      </c>
      <c r="C2">
        <f>B2*Conversion!B2</f>
        <v>0.26150000000000001</v>
      </c>
      <c r="D2">
        <f>B2*Conversion!C2</f>
        <v>0.26150000000000001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7FB5-47A8-4846-8420-20B2B0050F64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 xml:space="preserve"> 123 * Conversion!A2</f>
        <v>0.51463199999999998</v>
      </c>
      <c r="C2">
        <f>B2*Conversion!B2</f>
        <v>0.25731599999999999</v>
      </c>
      <c r="D2">
        <f>B2*Conversion!C2</f>
        <v>0.25731599999999999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4C55-CE43-4BCD-90B3-894DDFAFAB91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 xml:space="preserve"> 120 * Conversion!A2</f>
        <v>0.50208000000000008</v>
      </c>
      <c r="C2">
        <f>B2*Conversion!B2</f>
        <v>0.25104000000000004</v>
      </c>
      <c r="D2">
        <f>B2*Conversion!C2</f>
        <v>0.25104000000000004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>C2+F2</f>
        <v>7.5233591999999998</v>
      </c>
      <c r="C2">
        <f>0.828+0.288</f>
        <v>1.1159999999999999</v>
      </c>
      <c r="D2">
        <v>0</v>
      </c>
      <c r="E2">
        <v>0</v>
      </c>
      <c r="F2">
        <f>53.4*33.33*3.6/1000</f>
        <v>6.4073592000000001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40C-638F-400F-BBC0-8539D97E2E02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 xml:space="preserve"> (1499+5899)/2 * Conversion!A2</f>
        <v>15.476616</v>
      </c>
      <c r="C2">
        <f>B2*Conversion!B2</f>
        <v>7.738308</v>
      </c>
      <c r="D2">
        <f>B2*Conversion!C2</f>
        <v>7.738308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25EE-E2B3-44A5-B79D-159892A31534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 xml:space="preserve"> 120 * Conversion!A2</f>
        <v>0.50208000000000008</v>
      </c>
      <c r="C2">
        <f>B2*Conversion!B2</f>
        <v>0.25104000000000004</v>
      </c>
      <c r="D2">
        <f>B2*Conversion!C2</f>
        <v>0.25104000000000004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3AFB-A2CB-4DBD-9F7D-FFB3077A4A82}">
  <dimension ref="A1:F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</row>
    <row r="2" spans="1:6" x14ac:dyDescent="0.25">
      <c r="A2" t="s">
        <v>2</v>
      </c>
      <c r="B2">
        <f xml:space="preserve"> 131 * Conversion!A2</f>
        <v>0.54810400000000004</v>
      </c>
      <c r="C2">
        <f>B2*Conversion!B2</f>
        <v>0.27405200000000002</v>
      </c>
      <c r="D2">
        <f>B2*Conversion!C2</f>
        <v>0.27405200000000002</v>
      </c>
      <c r="E2">
        <v>0</v>
      </c>
      <c r="F2">
        <v>0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6EBD-34A1-4738-BADB-E10FD691DD1B}">
  <dimension ref="A1:C18"/>
  <sheetViews>
    <sheetView workbookViewId="0"/>
  </sheetViews>
  <sheetFormatPr baseColWidth="10" defaultRowHeight="15" x14ac:dyDescent="0.25"/>
  <sheetData>
    <row r="1" spans="1:3" x14ac:dyDescent="0.25">
      <c r="A1" t="s">
        <v>60</v>
      </c>
      <c r="B1" t="s">
        <v>61</v>
      </c>
    </row>
    <row r="5" spans="1:3" x14ac:dyDescent="0.25">
      <c r="A5" t="s">
        <v>62</v>
      </c>
      <c r="B5" t="s">
        <v>63</v>
      </c>
    </row>
    <row r="6" spans="1:3" x14ac:dyDescent="0.25">
      <c r="B6" t="s">
        <v>64</v>
      </c>
    </row>
    <row r="7" spans="1:3" x14ac:dyDescent="0.25">
      <c r="B7" t="s">
        <v>65</v>
      </c>
    </row>
    <row r="8" spans="1:3" x14ac:dyDescent="0.25">
      <c r="B8" s="4" t="s">
        <v>66</v>
      </c>
    </row>
    <row r="9" spans="1:3" x14ac:dyDescent="0.25">
      <c r="B9" s="9" t="s">
        <v>67</v>
      </c>
    </row>
    <row r="10" spans="1:3" x14ac:dyDescent="0.25">
      <c r="B10" s="10" t="s">
        <v>68</v>
      </c>
      <c r="C10" t="s">
        <v>69</v>
      </c>
    </row>
    <row r="11" spans="1:3" x14ac:dyDescent="0.25">
      <c r="C11" t="s">
        <v>70</v>
      </c>
    </row>
    <row r="12" spans="1:3" x14ac:dyDescent="0.25">
      <c r="B12" t="s">
        <v>71</v>
      </c>
    </row>
    <row r="13" spans="1:3" x14ac:dyDescent="0.25">
      <c r="B13" t="s">
        <v>72</v>
      </c>
    </row>
    <row r="14" spans="1:3" x14ac:dyDescent="0.25">
      <c r="B14" t="s">
        <v>73</v>
      </c>
    </row>
    <row r="15" spans="1:3" x14ac:dyDescent="0.25">
      <c r="B15" t="s">
        <v>74</v>
      </c>
    </row>
    <row r="16" spans="1:3" x14ac:dyDescent="0.25">
      <c r="B16" t="s">
        <v>75</v>
      </c>
    </row>
    <row r="17" spans="2:2" x14ac:dyDescent="0.25">
      <c r="B17" t="s">
        <v>76</v>
      </c>
    </row>
    <row r="18" spans="2:2" x14ac:dyDescent="0.25">
      <c r="B18" t="s">
        <v>77</v>
      </c>
    </row>
  </sheetData>
  <hyperlinks>
    <hyperlink ref="B8" r:id="rId1" xr:uid="{E09F07A1-802D-4682-99DF-F49E7061820B}"/>
  </hyperlinks>
  <pageMargins left="0.7" right="0.7" top="0.78740157499999996" bottom="0.78740157499999996" header="0.3" footer="0.3"/>
  <pageSetup paperSize="9"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F7E5-492C-489B-9BF9-9963E42EF4B5}">
  <dimension ref="A1:C2"/>
  <sheetViews>
    <sheetView workbookViewId="0"/>
  </sheetViews>
  <sheetFormatPr baseColWidth="10" defaultRowHeight="15" x14ac:dyDescent="0.25"/>
  <sheetData>
    <row r="1" spans="1:3" x14ac:dyDescent="0.25">
      <c r="A1" t="s">
        <v>78</v>
      </c>
      <c r="B1" t="s">
        <v>79</v>
      </c>
      <c r="C1" t="s">
        <v>80</v>
      </c>
    </row>
    <row r="2" spans="1:3" x14ac:dyDescent="0.25">
      <c r="A2">
        <f>4.184*10^-3</f>
        <v>4.1840000000000002E-3</v>
      </c>
      <c r="B2">
        <v>0.5</v>
      </c>
      <c r="C2">
        <v>0.5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D37" sqref="D37"/>
    </sheetView>
  </sheetViews>
  <sheetFormatPr baseColWidth="10" defaultRowHeight="15" x14ac:dyDescent="0.25"/>
  <cols>
    <col min="3" max="3" width="32.85546875" bestFit="1" customWidth="1"/>
  </cols>
  <sheetData>
    <row r="1" spans="1:8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  <c r="H1" t="s">
        <v>56</v>
      </c>
    </row>
    <row r="2" spans="1:8" x14ac:dyDescent="0.25">
      <c r="A2" t="s">
        <v>2</v>
      </c>
      <c r="B2">
        <f>C2+D2</f>
        <v>55.470000000000006</v>
      </c>
      <c r="C2">
        <v>52.2</v>
      </c>
      <c r="D2">
        <v>3.27</v>
      </c>
      <c r="E2" s="6">
        <v>20</v>
      </c>
      <c r="F2">
        <v>0</v>
      </c>
      <c r="H2" t="s">
        <v>57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baseColWidth="10" defaultRowHeight="15" x14ac:dyDescent="0.25"/>
  <cols>
    <col min="3" max="3" width="32.85546875" bestFit="1" customWidth="1"/>
  </cols>
  <sheetData>
    <row r="1" spans="1:8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  <c r="H1" t="s">
        <v>56</v>
      </c>
    </row>
    <row r="2" spans="1:8" x14ac:dyDescent="0.25">
      <c r="A2" t="s">
        <v>2</v>
      </c>
      <c r="B2">
        <f>C2+D2</f>
        <v>10.8</v>
      </c>
      <c r="C2">
        <v>1.8</v>
      </c>
      <c r="D2">
        <v>9</v>
      </c>
      <c r="E2" s="6">
        <v>20</v>
      </c>
      <c r="F2">
        <v>0</v>
      </c>
      <c r="H2" t="s">
        <v>57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E066-32DE-425F-8D73-79DC092500AB}">
  <dimension ref="A1:H2"/>
  <sheetViews>
    <sheetView workbookViewId="0"/>
  </sheetViews>
  <sheetFormatPr baseColWidth="10" defaultRowHeight="15" x14ac:dyDescent="0.25"/>
  <sheetData>
    <row r="1" spans="1:8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  <c r="H1" t="s">
        <v>56</v>
      </c>
    </row>
    <row r="2" spans="1:8" x14ac:dyDescent="0.25">
      <c r="A2" t="s">
        <v>2</v>
      </c>
      <c r="B2">
        <f>C2+D2</f>
        <v>23.65</v>
      </c>
      <c r="C2">
        <f>2.77+5.4</f>
        <v>8.17</v>
      </c>
      <c r="D2">
        <f>7.92+7.56</f>
        <v>15.48</v>
      </c>
      <c r="E2" s="6">
        <v>20</v>
      </c>
      <c r="F2">
        <v>0</v>
      </c>
      <c r="H2" t="s">
        <v>57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92C3B-022D-4400-9CCF-E3B13BD30224}">
  <dimension ref="A1:H2"/>
  <sheetViews>
    <sheetView tabSelected="1" workbookViewId="0">
      <selection activeCell="F11" sqref="F11"/>
    </sheetView>
  </sheetViews>
  <sheetFormatPr baseColWidth="10" defaultRowHeight="15" x14ac:dyDescent="0.25"/>
  <sheetData>
    <row r="1" spans="1:8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  <c r="H1" t="s">
        <v>56</v>
      </c>
    </row>
    <row r="2" spans="1:8" x14ac:dyDescent="0.25">
      <c r="A2" t="s">
        <v>2</v>
      </c>
      <c r="B2">
        <f>C2+D2</f>
        <v>19.22</v>
      </c>
      <c r="C2">
        <f>2.3+5.4</f>
        <v>7.7</v>
      </c>
      <c r="D2">
        <f>3.96+7.56</f>
        <v>11.52</v>
      </c>
      <c r="E2" s="6">
        <v>20</v>
      </c>
      <c r="F2">
        <v>0</v>
      </c>
      <c r="H2" t="s">
        <v>57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/>
  </sheetViews>
  <sheetFormatPr baseColWidth="10" defaultRowHeight="15" x14ac:dyDescent="0.25"/>
  <sheetData>
    <row r="1" spans="1:7" x14ac:dyDescent="0.25">
      <c r="A1" t="s">
        <v>0</v>
      </c>
      <c r="B1" t="s">
        <v>3</v>
      </c>
      <c r="C1" t="s">
        <v>5</v>
      </c>
      <c r="D1" t="s">
        <v>4</v>
      </c>
      <c r="E1" t="s">
        <v>53</v>
      </c>
      <c r="F1" t="s">
        <v>39</v>
      </c>
      <c r="G1" t="s">
        <v>58</v>
      </c>
    </row>
    <row r="2" spans="1:7" x14ac:dyDescent="0.25">
      <c r="A2" t="s">
        <v>30</v>
      </c>
      <c r="B2">
        <v>3.05</v>
      </c>
      <c r="C2">
        <f>12.38/100*B2</f>
        <v>0.37758999999999998</v>
      </c>
      <c r="D2">
        <f>87.62/100*B2</f>
        <v>2.6724100000000002</v>
      </c>
      <c r="E2">
        <v>34</v>
      </c>
      <c r="F2">
        <v>0</v>
      </c>
      <c r="G2" t="s">
        <v>59</v>
      </c>
    </row>
    <row r="3" spans="1:7" x14ac:dyDescent="0.25">
      <c r="A3" t="s">
        <v>31</v>
      </c>
      <c r="B3">
        <v>3.4</v>
      </c>
      <c r="C3">
        <f t="shared" ref="C3:C17" si="0">12.38/100*B3</f>
        <v>0.42092000000000002</v>
      </c>
      <c r="D3">
        <f t="shared" ref="D3:D17" si="1">87.62/100*B3</f>
        <v>2.9790800000000002</v>
      </c>
      <c r="E3">
        <v>34</v>
      </c>
      <c r="F3">
        <v>0</v>
      </c>
    </row>
    <row r="4" spans="1:7" x14ac:dyDescent="0.25">
      <c r="A4" t="s">
        <v>32</v>
      </c>
      <c r="B4">
        <v>3.4</v>
      </c>
      <c r="C4">
        <f t="shared" si="0"/>
        <v>0.42092000000000002</v>
      </c>
      <c r="D4">
        <f t="shared" si="1"/>
        <v>2.9790800000000002</v>
      </c>
      <c r="E4">
        <v>34</v>
      </c>
      <c r="F4">
        <v>0</v>
      </c>
    </row>
    <row r="5" spans="1:7" x14ac:dyDescent="0.25">
      <c r="A5" t="s">
        <v>33</v>
      </c>
      <c r="B5">
        <v>3.25</v>
      </c>
      <c r="C5">
        <f t="shared" si="0"/>
        <v>0.40235000000000004</v>
      </c>
      <c r="D5">
        <f t="shared" si="1"/>
        <v>2.8476500000000002</v>
      </c>
      <c r="E5">
        <v>34</v>
      </c>
      <c r="F5">
        <v>0</v>
      </c>
    </row>
    <row r="6" spans="1:7" x14ac:dyDescent="0.25">
      <c r="A6" t="s">
        <v>6</v>
      </c>
      <c r="B6">
        <v>3.3</v>
      </c>
      <c r="C6" s="19">
        <f>3.8*3600/34000</f>
        <v>0.40235294117647058</v>
      </c>
      <c r="D6" s="19">
        <f>26.9*3600/34000</f>
        <v>2.848235294117647</v>
      </c>
      <c r="E6">
        <v>34</v>
      </c>
      <c r="F6">
        <v>0</v>
      </c>
    </row>
    <row r="7" spans="1:7" x14ac:dyDescent="0.25">
      <c r="A7" t="s">
        <v>9</v>
      </c>
      <c r="B7">
        <v>3.75</v>
      </c>
      <c r="C7">
        <f t="shared" si="0"/>
        <v>0.46425000000000005</v>
      </c>
      <c r="D7">
        <f t="shared" si="1"/>
        <v>3.2857500000000002</v>
      </c>
      <c r="E7">
        <v>34</v>
      </c>
      <c r="F7">
        <v>0</v>
      </c>
    </row>
    <row r="8" spans="1:7" x14ac:dyDescent="0.25">
      <c r="A8" t="s">
        <v>34</v>
      </c>
      <c r="B8">
        <v>3.4</v>
      </c>
      <c r="C8">
        <f t="shared" si="0"/>
        <v>0.42092000000000002</v>
      </c>
      <c r="D8">
        <f t="shared" si="1"/>
        <v>2.9790800000000002</v>
      </c>
      <c r="E8">
        <v>34</v>
      </c>
      <c r="F8">
        <v>0</v>
      </c>
    </row>
    <row r="9" spans="1:7" x14ac:dyDescent="0.25">
      <c r="A9" t="s">
        <v>7</v>
      </c>
      <c r="B9">
        <v>3.4</v>
      </c>
      <c r="C9">
        <f t="shared" si="0"/>
        <v>0.42092000000000002</v>
      </c>
      <c r="D9">
        <f t="shared" si="1"/>
        <v>2.9790800000000002</v>
      </c>
      <c r="E9">
        <v>34</v>
      </c>
      <c r="F9">
        <v>0</v>
      </c>
    </row>
    <row r="10" spans="1:7" x14ac:dyDescent="0.25">
      <c r="A10" t="s">
        <v>8</v>
      </c>
      <c r="B10">
        <v>3.25</v>
      </c>
      <c r="C10">
        <f t="shared" si="0"/>
        <v>0.40235000000000004</v>
      </c>
      <c r="D10">
        <f t="shared" si="1"/>
        <v>2.8476500000000002</v>
      </c>
      <c r="E10">
        <v>34</v>
      </c>
      <c r="F10">
        <v>0</v>
      </c>
    </row>
    <row r="11" spans="1:7" x14ac:dyDescent="0.25">
      <c r="A11" t="s">
        <v>11</v>
      </c>
      <c r="B11">
        <v>3.1</v>
      </c>
      <c r="C11">
        <f t="shared" si="0"/>
        <v>0.38378000000000001</v>
      </c>
      <c r="D11">
        <f t="shared" si="1"/>
        <v>2.7162200000000003</v>
      </c>
      <c r="E11">
        <v>34</v>
      </c>
      <c r="F11">
        <v>0</v>
      </c>
    </row>
    <row r="12" spans="1:7" x14ac:dyDescent="0.25">
      <c r="A12" t="s">
        <v>35</v>
      </c>
      <c r="B12">
        <v>3.4</v>
      </c>
      <c r="C12">
        <f t="shared" si="0"/>
        <v>0.42092000000000002</v>
      </c>
      <c r="D12">
        <f t="shared" si="1"/>
        <v>2.9790800000000002</v>
      </c>
      <c r="E12">
        <v>34</v>
      </c>
      <c r="F12">
        <v>0</v>
      </c>
    </row>
    <row r="13" spans="1:7" x14ac:dyDescent="0.25">
      <c r="A13" t="s">
        <v>36</v>
      </c>
      <c r="B13">
        <v>3.4</v>
      </c>
      <c r="C13">
        <f t="shared" si="0"/>
        <v>0.42092000000000002</v>
      </c>
      <c r="D13">
        <f t="shared" si="1"/>
        <v>2.9790800000000002</v>
      </c>
      <c r="E13">
        <v>34</v>
      </c>
      <c r="F13">
        <v>0</v>
      </c>
    </row>
    <row r="14" spans="1:7" x14ac:dyDescent="0.25">
      <c r="A14" t="s">
        <v>37</v>
      </c>
      <c r="B14">
        <v>3.4</v>
      </c>
      <c r="C14">
        <f t="shared" si="0"/>
        <v>0.42092000000000002</v>
      </c>
      <c r="D14">
        <f t="shared" si="1"/>
        <v>2.9790800000000002</v>
      </c>
      <c r="E14">
        <v>34</v>
      </c>
      <c r="F14">
        <v>0</v>
      </c>
    </row>
    <row r="15" spans="1:7" x14ac:dyDescent="0.25">
      <c r="A15" t="s">
        <v>38</v>
      </c>
      <c r="B15">
        <v>3.4</v>
      </c>
      <c r="C15">
        <f t="shared" si="0"/>
        <v>0.42092000000000002</v>
      </c>
      <c r="D15">
        <f t="shared" si="1"/>
        <v>2.9790800000000002</v>
      </c>
      <c r="E15">
        <v>34</v>
      </c>
      <c r="F15">
        <v>0</v>
      </c>
    </row>
    <row r="16" spans="1:7" x14ac:dyDescent="0.25">
      <c r="A16" t="s">
        <v>10</v>
      </c>
      <c r="B16">
        <v>3.2</v>
      </c>
      <c r="C16">
        <f t="shared" si="0"/>
        <v>0.39616000000000007</v>
      </c>
      <c r="D16">
        <f t="shared" si="1"/>
        <v>2.8038400000000006</v>
      </c>
      <c r="E16">
        <v>34</v>
      </c>
      <c r="F16">
        <v>0</v>
      </c>
    </row>
    <row r="17" spans="1:6" x14ac:dyDescent="0.25">
      <c r="A17" t="s">
        <v>2</v>
      </c>
      <c r="B17">
        <v>3.4</v>
      </c>
      <c r="C17">
        <f t="shared" si="0"/>
        <v>0.42092000000000002</v>
      </c>
      <c r="D17">
        <f t="shared" si="1"/>
        <v>2.9790800000000002</v>
      </c>
      <c r="E17">
        <v>34</v>
      </c>
      <c r="F17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44</vt:i4>
      </vt:variant>
    </vt:vector>
  </HeadingPairs>
  <TitlesOfParts>
    <vt:vector size="44" baseType="lpstr">
      <vt:lpstr>steel</vt:lpstr>
      <vt:lpstr>steel_prim</vt:lpstr>
      <vt:lpstr>steel_sec</vt:lpstr>
      <vt:lpstr>steel_direct</vt:lpstr>
      <vt:lpstr>alu_prim</vt:lpstr>
      <vt:lpstr>alu_sec</vt:lpstr>
      <vt:lpstr>copper_prim</vt:lpstr>
      <vt:lpstr>copper_sec</vt:lpstr>
      <vt:lpstr>cement</vt:lpstr>
      <vt:lpstr>glass</vt:lpstr>
      <vt:lpstr>glass_detail</vt:lpstr>
      <vt:lpstr>paper</vt:lpstr>
      <vt:lpstr>chlorine</vt:lpstr>
      <vt:lpstr>ammonia</vt:lpstr>
      <vt:lpstr>ammonia_classic</vt:lpstr>
      <vt:lpstr>methanol</vt:lpstr>
      <vt:lpstr>methanol_classic</vt:lpstr>
      <vt:lpstr>ethylene</vt:lpstr>
      <vt:lpstr>ethylene_classic</vt:lpstr>
      <vt:lpstr>propylene</vt:lpstr>
      <vt:lpstr>propylene_classic</vt:lpstr>
      <vt:lpstr>aromate</vt:lpstr>
      <vt:lpstr>aromate_classic</vt:lpstr>
      <vt:lpstr>Info</vt:lpstr>
      <vt:lpstr>Cereals</vt:lpstr>
      <vt:lpstr>Rice</vt:lpstr>
      <vt:lpstr>Pulses</vt:lpstr>
      <vt:lpstr>Roots</vt:lpstr>
      <vt:lpstr>Brassiacas</vt:lpstr>
      <vt:lpstr>Leafy</vt:lpstr>
      <vt:lpstr>Tomatoes</vt:lpstr>
      <vt:lpstr>Cucumbers</vt:lpstr>
      <vt:lpstr>Watermelons</vt:lpstr>
      <vt:lpstr>Tuber</vt:lpstr>
      <vt:lpstr>Strawberries</vt:lpstr>
      <vt:lpstr>Pome</vt:lpstr>
      <vt:lpstr>Peaches</vt:lpstr>
      <vt:lpstr>Plums</vt:lpstr>
      <vt:lpstr>Tropics</vt:lpstr>
      <vt:lpstr>Nuts</vt:lpstr>
      <vt:lpstr>Citrus</vt:lpstr>
      <vt:lpstr>Grapes</vt:lpstr>
      <vt:lpstr>Info_food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2023-05-24T08:58:48Z</dcterms:modified>
</cp:coreProperties>
</file>