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0DBE6A62-2C33-4418-807B-664C891D6EF2}" xr6:coauthVersionLast="47" xr6:coauthVersionMax="47" xr10:uidLastSave="{00000000-0000-0000-0000-000000000000}"/>
  <bookViews>
    <workbookView xWindow="2160" yWindow="615" windowWidth="21600" windowHeight="16365" tabRatio="793" firstSheet="15" activeTab="21" xr2:uid="{00000000-000D-0000-FFFF-FFFF00000000}"/>
  </bookViews>
  <sheets>
    <sheet name="steel" sheetId="9" r:id="rId1"/>
    <sheet name="steel_prim" sheetId="46" r:id="rId2"/>
    <sheet name="steel_sec" sheetId="45" r:id="rId3"/>
    <sheet name="steel_direct" sheetId="7" r:id="rId4"/>
    <sheet name="alu_prim" sheetId="3" r:id="rId5"/>
    <sheet name="alu_sec" sheetId="17" r:id="rId6"/>
    <sheet name="cooper_prim" sheetId="38" r:id="rId7"/>
    <sheet name="cooper_sec" sheetId="39" r:id="rId8"/>
    <sheet name="chlorin" sheetId="12" r:id="rId9"/>
    <sheet name="cement" sheetId="5" r:id="rId10"/>
    <sheet name="glass" sheetId="11" r:id="rId11"/>
    <sheet name="glass_detail" sheetId="6" r:id="rId12"/>
    <sheet name="paper" sheetId="10" r:id="rId13"/>
    <sheet name="ammonia" sheetId="8" r:id="rId14"/>
    <sheet name="ammonia_classic" sheetId="40" r:id="rId15"/>
    <sheet name="methanol" sheetId="13" r:id="rId16"/>
    <sheet name="methanol_classic" sheetId="41" r:id="rId17"/>
    <sheet name="ethylene" sheetId="14" r:id="rId18"/>
    <sheet name="ethylene_classic" sheetId="44" r:id="rId19"/>
    <sheet name="propylene" sheetId="15" r:id="rId20"/>
    <sheet name="propylene_classic" sheetId="42" r:id="rId21"/>
    <sheet name="aromate" sheetId="16" r:id="rId22"/>
    <sheet name="aromate_classic" sheetId="43" r:id="rId23"/>
    <sheet name="Info" sheetId="2" r:id="rId24"/>
    <sheet name="Cereals" sheetId="18" r:id="rId25"/>
    <sheet name="Rice" sheetId="19" r:id="rId26"/>
    <sheet name="Pulses" sheetId="20" r:id="rId27"/>
    <sheet name="Roots" sheetId="21" r:id="rId28"/>
    <sheet name="Brassiacas" sheetId="22" r:id="rId29"/>
    <sheet name="Leafy" sheetId="23" r:id="rId30"/>
    <sheet name="Tomatoes" sheetId="24" r:id="rId31"/>
    <sheet name="Cucumbers" sheetId="25" r:id="rId32"/>
    <sheet name="Watermelons" sheetId="26" r:id="rId33"/>
    <sheet name="Tuber" sheetId="27" r:id="rId34"/>
    <sheet name="Strawberries" sheetId="28" r:id="rId35"/>
    <sheet name="Pome" sheetId="29" r:id="rId36"/>
    <sheet name="Peaches" sheetId="30" r:id="rId37"/>
    <sheet name="Plums" sheetId="31" r:id="rId38"/>
    <sheet name="Tropics" sheetId="32" r:id="rId39"/>
    <sheet name="Nuts" sheetId="33" r:id="rId40"/>
    <sheet name="Citrus" sheetId="34" r:id="rId41"/>
    <sheet name="Grapes" sheetId="35" r:id="rId42"/>
    <sheet name="Info_food" sheetId="36" r:id="rId43"/>
    <sheet name="Conversion" sheetId="37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6" l="1"/>
  <c r="F2" i="16"/>
  <c r="F2" i="15"/>
  <c r="C2" i="15"/>
  <c r="C2" i="14"/>
  <c r="F2" i="14"/>
  <c r="C2" i="13"/>
  <c r="C2" i="8"/>
  <c r="F2" i="8"/>
  <c r="C2" i="46"/>
  <c r="D2" i="46"/>
  <c r="C2" i="45"/>
  <c r="B2" i="46" l="1"/>
  <c r="B2" i="45"/>
  <c r="B2" i="10"/>
  <c r="D2" i="43"/>
  <c r="B2" i="43" s="1"/>
  <c r="D2" i="42"/>
  <c r="B2" i="42"/>
  <c r="D2" i="44"/>
  <c r="D2" i="41"/>
  <c r="D2" i="40" l="1"/>
  <c r="B2" i="40"/>
  <c r="B2" i="44"/>
  <c r="B2" i="41"/>
  <c r="D2" i="39"/>
  <c r="C2" i="39"/>
  <c r="B2" i="39" s="1"/>
  <c r="D2" i="38"/>
  <c r="C2" i="38"/>
  <c r="B2" i="38" l="1"/>
  <c r="A2" i="37"/>
  <c r="B2" i="30" s="1"/>
  <c r="B2" i="25"/>
  <c r="D2" i="25" s="1"/>
  <c r="D2" i="20"/>
  <c r="C2" i="20"/>
  <c r="D2" i="19"/>
  <c r="C2" i="19"/>
  <c r="B2" i="17"/>
  <c r="C2" i="30" l="1"/>
  <c r="D2" i="30"/>
  <c r="C2" i="25"/>
  <c r="B2" i="28"/>
  <c r="B2" i="23"/>
  <c r="B2" i="31"/>
  <c r="B2" i="26"/>
  <c r="B2" i="34"/>
  <c r="B2" i="33"/>
  <c r="B2" i="18"/>
  <c r="B2" i="24"/>
  <c r="B2" i="32"/>
  <c r="B2" i="21"/>
  <c r="B2" i="29"/>
  <c r="B2" i="27"/>
  <c r="B2" i="35"/>
  <c r="B2" i="22"/>
  <c r="B2" i="9"/>
  <c r="D2" i="31" l="1"/>
  <c r="C2" i="31"/>
  <c r="C2" i="35"/>
  <c r="D2" i="35"/>
  <c r="D2" i="29"/>
  <c r="C2" i="29"/>
  <c r="D2" i="21"/>
  <c r="C2" i="21"/>
  <c r="D2" i="23"/>
  <c r="C2" i="23"/>
  <c r="D2" i="34"/>
  <c r="C2" i="34"/>
  <c r="D2" i="24"/>
  <c r="C2" i="24"/>
  <c r="D2" i="26"/>
  <c r="C2" i="26"/>
  <c r="D2" i="28"/>
  <c r="C2" i="28"/>
  <c r="D2" i="18"/>
  <c r="C2" i="18"/>
  <c r="C2" i="27"/>
  <c r="D2" i="27"/>
  <c r="D2" i="32"/>
  <c r="C2" i="32"/>
  <c r="D2" i="22"/>
  <c r="C2" i="22"/>
  <c r="C2" i="33"/>
  <c r="D2" i="33"/>
  <c r="F2" i="13"/>
  <c r="B2" i="15" l="1"/>
  <c r="B2" i="16"/>
  <c r="B2" i="14" l="1"/>
  <c r="B23" i="12" l="1"/>
  <c r="B2" i="13" l="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B2" i="3" l="1"/>
  <c r="B2" i="8" l="1"/>
  <c r="B2" i="7" l="1"/>
  <c r="N3" i="6" l="1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S2" i="6"/>
  <c r="R2" i="6"/>
  <c r="Q2" i="6"/>
  <c r="P2" i="6"/>
  <c r="O2" i="6"/>
  <c r="N2" i="6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M2" i="6"/>
  <c r="L2" i="6"/>
  <c r="K2" i="6"/>
  <c r="J2" i="6"/>
  <c r="I7" i="6"/>
  <c r="I3" i="6"/>
  <c r="I4" i="6"/>
  <c r="I5" i="6"/>
  <c r="I6" i="6"/>
  <c r="I8" i="6"/>
  <c r="I2" i="6"/>
  <c r="H3" i="6" l="1"/>
  <c r="H4" i="6"/>
  <c r="H5" i="6"/>
  <c r="H6" i="6"/>
  <c r="H7" i="6"/>
  <c r="H8" i="6"/>
  <c r="H2" i="6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D2" i="5"/>
  <c r="C2" i="5"/>
</calcChain>
</file>

<file path=xl/sharedStrings.xml><?xml version="1.0" encoding="utf-8"?>
<sst xmlns="http://schemas.openxmlformats.org/spreadsheetml/2006/main" count="420" uniqueCount="101">
  <si>
    <t>Country</t>
  </si>
  <si>
    <t>Ab HR Annahme über Daten</t>
  </si>
  <si>
    <t>Quelle</t>
  </si>
  <si>
    <t>https://d-nb.info/1049260554/34</t>
  </si>
  <si>
    <t>Annahme steel</t>
  </si>
  <si>
    <t>Annahme cement</t>
  </si>
  <si>
    <t>EU-27 durchschnitt außer in AT, CZ, DE, ES, FR, IT, PL, UK wo genaue Werte</t>
  </si>
  <si>
    <t>all</t>
  </si>
  <si>
    <t>Spec energy consumption [GJ/t]</t>
  </si>
  <si>
    <t>Spec heat consumption [GJ/t]</t>
  </si>
  <si>
    <t>Spec electricity consumption [GJ/t]</t>
  </si>
  <si>
    <t>Germany</t>
  </si>
  <si>
    <t>France</t>
  </si>
  <si>
    <t>Italy</t>
  </si>
  <si>
    <t>Spain</t>
  </si>
  <si>
    <t>United Kingdom</t>
  </si>
  <si>
    <t>Poland</t>
  </si>
  <si>
    <t>Container spec energy consumption [GJ/t]</t>
  </si>
  <si>
    <t>Flat spec energy consumption [GJ/t]</t>
  </si>
  <si>
    <t>Continuous spec energy consumption [GJ/t]</t>
  </si>
  <si>
    <t>Domestic spec energy consumption [GJ/t]</t>
  </si>
  <si>
    <t>Special spec energy consumption [GJ/t]</t>
  </si>
  <si>
    <t>Mineral wool spec energy consumption [GJ/t]</t>
  </si>
  <si>
    <t>Container spec electricity consumption [GJ/t]</t>
  </si>
  <si>
    <t>Flat spec electricity consumption [GJ/t]</t>
  </si>
  <si>
    <t>Continuous spec electricity consumption [GJ/t]</t>
  </si>
  <si>
    <t>Domestic spec electricity consumption [GJ/t]</t>
  </si>
  <si>
    <t>Mineral wool spec electricity consumption [GJ/t]</t>
  </si>
  <si>
    <t>Special spec electricity consumption [GJ/t]</t>
  </si>
  <si>
    <t>Container spec heat consumption [GJ/t]</t>
  </si>
  <si>
    <t>Flat spec heat consumption [GJ/t]</t>
  </si>
  <si>
    <t>Continuous spec heat consumption [GJ/t]</t>
  </si>
  <si>
    <t>Domestic spec heat consumption [GJ/t]</t>
  </si>
  <si>
    <t>Special spec heat consumption [GJ/t]</t>
  </si>
  <si>
    <t>Mineral wool spec heat consumption [GJ/t]</t>
  </si>
  <si>
    <t>Austria</t>
  </si>
  <si>
    <t>Belgium</t>
  </si>
  <si>
    <t>Bulgaria</t>
  </si>
  <si>
    <t>Czechia</t>
  </si>
  <si>
    <t>Finland</t>
  </si>
  <si>
    <t>Portugal</t>
  </si>
  <si>
    <t>Romania</t>
  </si>
  <si>
    <t>Slovenia</t>
  </si>
  <si>
    <t>Slovakia</t>
  </si>
  <si>
    <t>Spec hydrogen consumption [GJ/t]</t>
  </si>
  <si>
    <t>Serbia</t>
  </si>
  <si>
    <t>Switzerland</t>
  </si>
  <si>
    <t>Norway</t>
  </si>
  <si>
    <t>Sweden</t>
  </si>
  <si>
    <t>Hungary</t>
  </si>
  <si>
    <t>Estonia</t>
  </si>
  <si>
    <t>Lithuania</t>
  </si>
  <si>
    <t>Latvia</t>
  </si>
  <si>
    <t>Croatia</t>
  </si>
  <si>
    <t>Greece</t>
  </si>
  <si>
    <t>Ireland</t>
  </si>
  <si>
    <t>Denmark</t>
  </si>
  <si>
    <t xml:space="preserve">Annahme glass: </t>
  </si>
  <si>
    <t>all as Germany</t>
  </si>
  <si>
    <t>Czech Republic</t>
  </si>
  <si>
    <t>The Netherlands</t>
  </si>
  <si>
    <t>Slovak Republic</t>
  </si>
  <si>
    <t>methanol</t>
  </si>
  <si>
    <t>https://static.agora-energiewende.de/fileadmin/Projekte/2018/Dekarbonisierung_Industrie/166_A-EW_Klimaneutrale_Industrie_Ausfuehrliche-Darstellung_WEB.pdf</t>
  </si>
  <si>
    <t>und ProPENS H2 Demand Saba 2020</t>
  </si>
  <si>
    <t>aromate</t>
  </si>
  <si>
    <t>https://dechema.de/dechema_media/Downloads/Positionspapiere/Technology_study_Low_carbon_energy_and_feedstock_for_the_European_chemical_industry.pdf</t>
  </si>
  <si>
    <t>olefine</t>
  </si>
  <si>
    <t>dechema has lower values than agora. In the summ, dechema assumption suits better with the result of prof. Hamacher, but sae side</t>
  </si>
  <si>
    <t>dechema 2.28</t>
  </si>
  <si>
    <t>agora 2.67</t>
  </si>
  <si>
    <t>fraunhofer 2.8 but cites dechema</t>
  </si>
  <si>
    <t>https://www.isi.fraunhofer.de/content/dam/isi/dokumente/cce/2020/6-110-20_Neuwirth.pdf&gt;</t>
  </si>
  <si>
    <t>max. subst. of heat with H2 [%]</t>
  </si>
  <si>
    <t>Kommentar</t>
  </si>
  <si>
    <t>max. subst nicht definiert. Annahme 20%</t>
  </si>
  <si>
    <t>Komment on max sub</t>
  </si>
  <si>
    <t>no info, Annahme 20%</t>
  </si>
  <si>
    <t>Komment</t>
  </si>
  <si>
    <t>34% possible</t>
  </si>
  <si>
    <t>Source:</t>
  </si>
  <si>
    <t>https://www.sciencedirect.com/science/article/pii/030691928190035X</t>
  </si>
  <si>
    <t>Assumption:</t>
  </si>
  <si>
    <t>fresh and not frozen food</t>
  </si>
  <si>
    <t>cereals = corn (no other source found)</t>
  </si>
  <si>
    <t>rice: ProPENS direkt, no source</t>
  </si>
  <si>
    <t>https://www.sciencedirect.com/science/article/pii/S0924224417303394?via%3Dihub</t>
  </si>
  <si>
    <t>Rice milling:</t>
  </si>
  <si>
    <t>= 0.42 GJ/t</t>
  </si>
  <si>
    <t>0.42/0.45*0.42 = 0.392 elec</t>
  </si>
  <si>
    <t>0.03/0.45*0.42 = 0.028 fuel = 0.0252 GJ/t heat (90% eff)</t>
  </si>
  <si>
    <t xml:space="preserve">Data from multiple sources from 1975to 1996 reported 66 MJ/kg was used for manufacture of breakfastcereals (Appendix </t>
  </si>
  <si>
    <t>pulses: ProPENS direkt, no source</t>
  </si>
  <si>
    <t>roots = potatos</t>
  </si>
  <si>
    <t>brassiacas = cabbage and brokoli</t>
  </si>
  <si>
    <t>leafy = lettuce, asparagus</t>
  </si>
  <si>
    <t>cucumbers : to be deleted</t>
  </si>
  <si>
    <t>tuber = carrots, onions</t>
  </si>
  <si>
    <t>Conversion factor kcal/kg to GJ/t</t>
  </si>
  <si>
    <t>Proportion elec in energy</t>
  </si>
  <si>
    <t>Proportion heat in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</si>
</sst>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2" fillId="0" borderId="0" xfId="1"/>
    <xf numFmtId="0" fontId="1" fillId="0" borderId="3" xfId="0" applyFont="1" applyBorder="1" applyAlignment="1">
      <alignment horizontal="center" vertical="top"/>
    </xf>
    <xf numFmtId="1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d-nb.info/1049260554/34" TargetMode="External"/><Relationship Id="rId2" Type="http://schemas.openxmlformats.org/officeDocument/2006/relationships/hyperlink" Target="https://www.isi.fraunhofer.de/content/dam/isi/dokumente/cce/2020/6-110-20_Neuwirth.pdf" TargetMode="External"/><Relationship Id="rId1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ciencedirect.com/science/article/pii/S0924224417303394?via%3Di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19.529999999999998</v>
      </c>
      <c r="C2">
        <v>1.4</v>
      </c>
      <c r="D2">
        <v>18.13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J35" sqref="J35"/>
    </sheetView>
  </sheetViews>
  <sheetFormatPr baseColWidth="10" defaultRowHeight="15" x14ac:dyDescent="0.25"/>
  <sheetData>
    <row r="1" spans="1:7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  <c r="G1" t="s">
        <v>78</v>
      </c>
    </row>
    <row r="2" spans="1:7" x14ac:dyDescent="0.25">
      <c r="A2" t="s">
        <v>35</v>
      </c>
      <c r="B2">
        <v>3.05</v>
      </c>
      <c r="C2">
        <f>12.38/100*B2</f>
        <v>0.37758999999999998</v>
      </c>
      <c r="D2">
        <f>87.62/100*B2</f>
        <v>2.6724100000000002</v>
      </c>
      <c r="E2">
        <v>34</v>
      </c>
      <c r="F2">
        <v>0</v>
      </c>
      <c r="G2" t="s">
        <v>79</v>
      </c>
    </row>
    <row r="3" spans="1:7" x14ac:dyDescent="0.25">
      <c r="A3" t="s">
        <v>36</v>
      </c>
      <c r="B3">
        <v>3.4</v>
      </c>
      <c r="C3">
        <f t="shared" ref="C3:C17" si="0">12.38/100*B3</f>
        <v>0.42092000000000002</v>
      </c>
      <c r="D3">
        <f t="shared" ref="D3:D17" si="1">87.62/100*B3</f>
        <v>2.9790800000000002</v>
      </c>
      <c r="E3">
        <v>34</v>
      </c>
      <c r="F3">
        <v>0</v>
      </c>
    </row>
    <row r="4" spans="1:7" x14ac:dyDescent="0.25">
      <c r="A4" t="s">
        <v>37</v>
      </c>
      <c r="B4">
        <v>3.4</v>
      </c>
      <c r="C4">
        <f t="shared" si="0"/>
        <v>0.42092000000000002</v>
      </c>
      <c r="D4">
        <f t="shared" si="1"/>
        <v>2.9790800000000002</v>
      </c>
      <c r="E4">
        <v>34</v>
      </c>
      <c r="F4">
        <v>0</v>
      </c>
    </row>
    <row r="5" spans="1:7" x14ac:dyDescent="0.25">
      <c r="A5" t="s">
        <v>38</v>
      </c>
      <c r="B5">
        <v>3.25</v>
      </c>
      <c r="C5">
        <f t="shared" si="0"/>
        <v>0.40235000000000004</v>
      </c>
      <c r="D5">
        <f t="shared" si="1"/>
        <v>2.8476500000000002</v>
      </c>
      <c r="E5">
        <v>34</v>
      </c>
      <c r="F5">
        <v>0</v>
      </c>
    </row>
    <row r="6" spans="1:7" x14ac:dyDescent="0.25">
      <c r="A6" t="s">
        <v>11</v>
      </c>
      <c r="B6">
        <v>3.3</v>
      </c>
      <c r="C6">
        <f t="shared" si="0"/>
        <v>0.40854000000000001</v>
      </c>
      <c r="D6">
        <f t="shared" si="1"/>
        <v>2.8914599999999999</v>
      </c>
      <c r="E6">
        <v>34</v>
      </c>
      <c r="F6">
        <v>0</v>
      </c>
    </row>
    <row r="7" spans="1:7" x14ac:dyDescent="0.25">
      <c r="A7" t="s">
        <v>14</v>
      </c>
      <c r="B7">
        <v>3.75</v>
      </c>
      <c r="C7">
        <f t="shared" si="0"/>
        <v>0.46425000000000005</v>
      </c>
      <c r="D7">
        <f t="shared" si="1"/>
        <v>3.2857500000000002</v>
      </c>
      <c r="E7">
        <v>34</v>
      </c>
      <c r="F7">
        <v>0</v>
      </c>
    </row>
    <row r="8" spans="1:7" x14ac:dyDescent="0.25">
      <c r="A8" t="s">
        <v>39</v>
      </c>
      <c r="B8">
        <v>3.4</v>
      </c>
      <c r="C8">
        <f t="shared" si="0"/>
        <v>0.42092000000000002</v>
      </c>
      <c r="D8">
        <f t="shared" si="1"/>
        <v>2.9790800000000002</v>
      </c>
      <c r="E8">
        <v>34</v>
      </c>
      <c r="F8">
        <v>0</v>
      </c>
    </row>
    <row r="9" spans="1:7" x14ac:dyDescent="0.25">
      <c r="A9" t="s">
        <v>12</v>
      </c>
      <c r="B9">
        <v>3.4</v>
      </c>
      <c r="C9">
        <f t="shared" si="0"/>
        <v>0.42092000000000002</v>
      </c>
      <c r="D9">
        <f t="shared" si="1"/>
        <v>2.9790800000000002</v>
      </c>
      <c r="E9">
        <v>34</v>
      </c>
      <c r="F9">
        <v>0</v>
      </c>
    </row>
    <row r="10" spans="1:7" x14ac:dyDescent="0.25">
      <c r="A10" t="s">
        <v>13</v>
      </c>
      <c r="B10">
        <v>3.25</v>
      </c>
      <c r="C10">
        <f t="shared" si="0"/>
        <v>0.40235000000000004</v>
      </c>
      <c r="D10">
        <f t="shared" si="1"/>
        <v>2.8476500000000002</v>
      </c>
      <c r="E10">
        <v>34</v>
      </c>
      <c r="F10">
        <v>0</v>
      </c>
    </row>
    <row r="11" spans="1:7" x14ac:dyDescent="0.25">
      <c r="A11" t="s">
        <v>16</v>
      </c>
      <c r="B11">
        <v>3.1</v>
      </c>
      <c r="C11">
        <f t="shared" si="0"/>
        <v>0.38378000000000001</v>
      </c>
      <c r="D11">
        <f t="shared" si="1"/>
        <v>2.7162200000000003</v>
      </c>
      <c r="E11">
        <v>34</v>
      </c>
      <c r="F11">
        <v>0</v>
      </c>
    </row>
    <row r="12" spans="1:7" x14ac:dyDescent="0.25">
      <c r="A12" t="s">
        <v>40</v>
      </c>
      <c r="B12">
        <v>3.4</v>
      </c>
      <c r="C12">
        <f t="shared" si="0"/>
        <v>0.42092000000000002</v>
      </c>
      <c r="D12">
        <f t="shared" si="1"/>
        <v>2.9790800000000002</v>
      </c>
      <c r="E12">
        <v>34</v>
      </c>
      <c r="F12">
        <v>0</v>
      </c>
    </row>
    <row r="13" spans="1:7" x14ac:dyDescent="0.25">
      <c r="A13" t="s">
        <v>41</v>
      </c>
      <c r="B13">
        <v>3.4</v>
      </c>
      <c r="C13">
        <f t="shared" si="0"/>
        <v>0.42092000000000002</v>
      </c>
      <c r="D13">
        <f t="shared" si="1"/>
        <v>2.9790800000000002</v>
      </c>
      <c r="E13">
        <v>34</v>
      </c>
      <c r="F13">
        <v>0</v>
      </c>
    </row>
    <row r="14" spans="1:7" x14ac:dyDescent="0.25">
      <c r="A14" t="s">
        <v>42</v>
      </c>
      <c r="B14">
        <v>3.4</v>
      </c>
      <c r="C14">
        <f t="shared" si="0"/>
        <v>0.42092000000000002</v>
      </c>
      <c r="D14">
        <f t="shared" si="1"/>
        <v>2.9790800000000002</v>
      </c>
      <c r="E14">
        <v>34</v>
      </c>
      <c r="F14">
        <v>0</v>
      </c>
    </row>
    <row r="15" spans="1:7" x14ac:dyDescent="0.25">
      <c r="A15" t="s">
        <v>43</v>
      </c>
      <c r="B15">
        <v>3.4</v>
      </c>
      <c r="C15">
        <f t="shared" si="0"/>
        <v>0.42092000000000002</v>
      </c>
      <c r="D15">
        <f t="shared" si="1"/>
        <v>2.9790800000000002</v>
      </c>
      <c r="E15">
        <v>34</v>
      </c>
      <c r="F15">
        <v>0</v>
      </c>
    </row>
    <row r="16" spans="1:7" x14ac:dyDescent="0.25">
      <c r="A16" t="s">
        <v>15</v>
      </c>
      <c r="B16">
        <v>3.2</v>
      </c>
      <c r="C16">
        <f t="shared" si="0"/>
        <v>0.39616000000000007</v>
      </c>
      <c r="D16">
        <f t="shared" si="1"/>
        <v>2.8038400000000006</v>
      </c>
      <c r="E16">
        <v>34</v>
      </c>
      <c r="F16">
        <v>0</v>
      </c>
    </row>
    <row r="17" spans="1:6" x14ac:dyDescent="0.25">
      <c r="A17" t="s">
        <v>7</v>
      </c>
      <c r="B17">
        <v>3.4</v>
      </c>
      <c r="C17">
        <f t="shared" si="0"/>
        <v>0.42092000000000002</v>
      </c>
      <c r="D17">
        <f t="shared" si="1"/>
        <v>2.9790800000000002</v>
      </c>
      <c r="E17">
        <v>34</v>
      </c>
      <c r="F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E37" sqref="E37"/>
    </sheetView>
  </sheetViews>
  <sheetFormatPr baseColWidth="10" defaultColWidth="9.140625" defaultRowHeight="15" x14ac:dyDescent="0.25"/>
  <cols>
    <col min="2" max="2" width="29.7109375" bestFit="1" customWidth="1"/>
    <col min="3" max="3" width="32.5703125" bestFit="1" customWidth="1"/>
    <col min="4" max="4" width="27.5703125" bestFit="1" customWidth="1"/>
    <col min="5" max="5" width="27.42578125" bestFit="1" customWidth="1"/>
  </cols>
  <sheetData>
    <row r="1" spans="1:7" x14ac:dyDescent="0.25">
      <c r="A1" s="3" t="s">
        <v>0</v>
      </c>
      <c r="B1" s="3" t="s">
        <v>8</v>
      </c>
      <c r="C1" s="3" t="s">
        <v>10</v>
      </c>
      <c r="D1" s="3" t="s">
        <v>9</v>
      </c>
      <c r="E1" s="3" t="s">
        <v>73</v>
      </c>
      <c r="F1" s="3" t="s">
        <v>44</v>
      </c>
      <c r="G1" s="5" t="s">
        <v>74</v>
      </c>
    </row>
    <row r="2" spans="1:7" x14ac:dyDescent="0.25">
      <c r="A2" t="s">
        <v>36</v>
      </c>
      <c r="B2">
        <v>9.0660859663798394</v>
      </c>
      <c r="C2">
        <v>1.5833107034555201</v>
      </c>
      <c r="D2">
        <v>7.482775262924326</v>
      </c>
      <c r="E2">
        <v>20</v>
      </c>
      <c r="F2">
        <v>0</v>
      </c>
      <c r="G2" t="s">
        <v>75</v>
      </c>
    </row>
    <row r="3" spans="1:7" x14ac:dyDescent="0.25">
      <c r="A3" t="s">
        <v>37</v>
      </c>
      <c r="B3">
        <v>9.7237367878319159</v>
      </c>
      <c r="C3">
        <v>1.380685253931426</v>
      </c>
      <c r="D3">
        <v>8.3430515339004891</v>
      </c>
      <c r="E3">
        <v>20</v>
      </c>
      <c r="F3">
        <v>0</v>
      </c>
    </row>
    <row r="4" spans="1:7" x14ac:dyDescent="0.25">
      <c r="A4" t="s">
        <v>56</v>
      </c>
      <c r="B4">
        <v>7.0720665531551461</v>
      </c>
      <c r="C4">
        <v>2.4479405419715552</v>
      </c>
      <c r="D4">
        <v>4.6241260111835896</v>
      </c>
      <c r="E4">
        <v>20</v>
      </c>
      <c r="F4">
        <v>0</v>
      </c>
    </row>
    <row r="5" spans="1:7" x14ac:dyDescent="0.25">
      <c r="A5" t="s">
        <v>11</v>
      </c>
      <c r="B5">
        <v>7.5230587222362084</v>
      </c>
      <c r="C5">
        <v>1.389896080003405</v>
      </c>
      <c r="D5">
        <v>6.1331626422328034</v>
      </c>
      <c r="E5">
        <v>20</v>
      </c>
      <c r="F5">
        <v>0</v>
      </c>
    </row>
    <row r="6" spans="1:7" x14ac:dyDescent="0.25">
      <c r="A6" t="s">
        <v>55</v>
      </c>
      <c r="B6">
        <v>11.901192052187749</v>
      </c>
      <c r="C6">
        <v>2.9658266763981702</v>
      </c>
      <c r="D6">
        <v>8.9353653757895817</v>
      </c>
      <c r="E6">
        <v>20</v>
      </c>
      <c r="F6">
        <v>0</v>
      </c>
    </row>
    <row r="7" spans="1:7" x14ac:dyDescent="0.25">
      <c r="A7" t="s">
        <v>54</v>
      </c>
      <c r="B7">
        <v>7.0439687205015487</v>
      </c>
      <c r="C7">
        <v>1.3377337885316221</v>
      </c>
      <c r="D7">
        <v>5.7062349319699264</v>
      </c>
      <c r="E7">
        <v>20</v>
      </c>
      <c r="F7">
        <v>0</v>
      </c>
    </row>
    <row r="8" spans="1:7" x14ac:dyDescent="0.25">
      <c r="A8" t="s">
        <v>14</v>
      </c>
      <c r="B8">
        <v>7.5701241071609964</v>
      </c>
      <c r="C8">
        <v>1.294389705186046</v>
      </c>
      <c r="D8">
        <v>6.2757344019749493</v>
      </c>
      <c r="E8">
        <v>20</v>
      </c>
      <c r="F8">
        <v>0</v>
      </c>
    </row>
    <row r="9" spans="1:7" x14ac:dyDescent="0.25">
      <c r="A9" t="s">
        <v>12</v>
      </c>
      <c r="B9">
        <v>8.1921937844927015</v>
      </c>
      <c r="C9">
        <v>1.4449081059447679</v>
      </c>
      <c r="D9">
        <v>6.7472856785479358</v>
      </c>
      <c r="E9">
        <v>20</v>
      </c>
      <c r="F9">
        <v>0</v>
      </c>
    </row>
    <row r="10" spans="1:7" x14ac:dyDescent="0.25">
      <c r="A10" t="s">
        <v>53</v>
      </c>
      <c r="B10">
        <v>9.974738004657695</v>
      </c>
      <c r="C10">
        <v>2.1473226309310052</v>
      </c>
      <c r="D10">
        <v>7.8274153737266872</v>
      </c>
      <c r="E10">
        <v>20</v>
      </c>
      <c r="F10">
        <v>0</v>
      </c>
    </row>
    <row r="11" spans="1:7" x14ac:dyDescent="0.25">
      <c r="A11" t="s">
        <v>13</v>
      </c>
      <c r="B11">
        <v>7.1144662893787514</v>
      </c>
      <c r="C11">
        <v>1.126689552739994</v>
      </c>
      <c r="D11">
        <v>5.9877767366387573</v>
      </c>
      <c r="E11">
        <v>20</v>
      </c>
      <c r="F11">
        <v>0</v>
      </c>
    </row>
    <row r="12" spans="1:7" x14ac:dyDescent="0.25">
      <c r="A12" t="s">
        <v>52</v>
      </c>
      <c r="B12">
        <v>13.7</v>
      </c>
      <c r="C12">
        <v>3.3839000000000001</v>
      </c>
      <c r="D12">
        <v>10.3161</v>
      </c>
      <c r="E12">
        <v>20</v>
      </c>
      <c r="F12">
        <v>0</v>
      </c>
    </row>
    <row r="13" spans="1:7" x14ac:dyDescent="0.25">
      <c r="A13" t="s">
        <v>51</v>
      </c>
      <c r="B13">
        <v>7.5</v>
      </c>
      <c r="C13">
        <v>3.375</v>
      </c>
      <c r="D13">
        <v>4.125</v>
      </c>
      <c r="E13">
        <v>20</v>
      </c>
      <c r="F13">
        <v>0</v>
      </c>
    </row>
    <row r="14" spans="1:7" x14ac:dyDescent="0.25">
      <c r="A14" t="s">
        <v>50</v>
      </c>
      <c r="B14">
        <v>6.4</v>
      </c>
      <c r="C14">
        <v>0.99199999999999999</v>
      </c>
      <c r="D14">
        <v>5.4080000000000004</v>
      </c>
      <c r="E14">
        <v>20</v>
      </c>
      <c r="F14">
        <v>0</v>
      </c>
    </row>
    <row r="15" spans="1:7" x14ac:dyDescent="0.25">
      <c r="A15" t="s">
        <v>49</v>
      </c>
      <c r="B15">
        <v>8.92406441312548</v>
      </c>
      <c r="C15">
        <v>1.902495800482382</v>
      </c>
      <c r="D15">
        <v>7.0215686126430992</v>
      </c>
      <c r="E15">
        <v>20</v>
      </c>
      <c r="F15">
        <v>0</v>
      </c>
    </row>
    <row r="16" spans="1:7" x14ac:dyDescent="0.25">
      <c r="A16" t="s">
        <v>16</v>
      </c>
      <c r="B16">
        <v>7.9022755064403132</v>
      </c>
      <c r="C16">
        <v>1.6852027607039981</v>
      </c>
      <c r="D16">
        <v>6.2170727457363153</v>
      </c>
      <c r="E16">
        <v>20</v>
      </c>
      <c r="F16">
        <v>0</v>
      </c>
    </row>
    <row r="17" spans="1:6" x14ac:dyDescent="0.25">
      <c r="A17" t="s">
        <v>40</v>
      </c>
      <c r="B17">
        <v>6.8439162245219309</v>
      </c>
      <c r="C17">
        <v>1.1037901930135849</v>
      </c>
      <c r="D17">
        <v>5.7401260315083462</v>
      </c>
      <c r="E17">
        <v>20</v>
      </c>
      <c r="F17">
        <v>0</v>
      </c>
    </row>
    <row r="18" spans="1:6" x14ac:dyDescent="0.25">
      <c r="A18" t="s">
        <v>41</v>
      </c>
      <c r="B18">
        <v>8.3327287347608117</v>
      </c>
      <c r="C18">
        <v>1.176503121178871</v>
      </c>
      <c r="D18">
        <v>7.1562256135819426</v>
      </c>
      <c r="E18">
        <v>20</v>
      </c>
      <c r="F18">
        <v>0</v>
      </c>
    </row>
    <row r="19" spans="1:6" x14ac:dyDescent="0.25">
      <c r="A19" t="s">
        <v>42</v>
      </c>
      <c r="B19">
        <v>7.666374219387877</v>
      </c>
      <c r="C19">
        <v>3.3595323967912831</v>
      </c>
      <c r="D19">
        <v>4.3068418225965939</v>
      </c>
      <c r="E19">
        <v>20</v>
      </c>
      <c r="F19">
        <v>0</v>
      </c>
    </row>
    <row r="20" spans="1:6" x14ac:dyDescent="0.25">
      <c r="A20" t="s">
        <v>43</v>
      </c>
      <c r="B20">
        <v>9.3820538420672701</v>
      </c>
      <c r="C20">
        <v>2.3591306267040348</v>
      </c>
      <c r="D20">
        <v>7.0229232153632344</v>
      </c>
      <c r="E20">
        <v>20</v>
      </c>
      <c r="F20">
        <v>0</v>
      </c>
    </row>
    <row r="21" spans="1:6" x14ac:dyDescent="0.25">
      <c r="A21" t="s">
        <v>39</v>
      </c>
      <c r="B21">
        <v>8.6475104362617365</v>
      </c>
      <c r="C21">
        <v>2.2486530696171441</v>
      </c>
      <c r="D21">
        <v>6.3988573666445934</v>
      </c>
      <c r="E21">
        <v>20</v>
      </c>
      <c r="F21">
        <v>0</v>
      </c>
    </row>
    <row r="22" spans="1:6" x14ac:dyDescent="0.25">
      <c r="A22" t="s">
        <v>48</v>
      </c>
      <c r="B22">
        <v>7.8490712494216179</v>
      </c>
      <c r="C22">
        <v>1.9109730876951661</v>
      </c>
      <c r="D22">
        <v>5.9380981617264519</v>
      </c>
      <c r="E22">
        <v>20</v>
      </c>
      <c r="F22">
        <v>0</v>
      </c>
    </row>
    <row r="23" spans="1:6" x14ac:dyDescent="0.25">
      <c r="A23" t="s">
        <v>15</v>
      </c>
      <c r="B23">
        <v>7.2928768674980464</v>
      </c>
      <c r="C23">
        <v>1.277880252591022</v>
      </c>
      <c r="D23">
        <v>6.0149966149070249</v>
      </c>
      <c r="E23">
        <v>20</v>
      </c>
      <c r="F23">
        <v>0</v>
      </c>
    </row>
    <row r="24" spans="1:6" x14ac:dyDescent="0.25">
      <c r="A24" t="s">
        <v>45</v>
      </c>
      <c r="B24">
        <v>6.4</v>
      </c>
      <c r="C24">
        <v>0.99199999999999999</v>
      </c>
      <c r="D24">
        <v>5.4080000000000004</v>
      </c>
      <c r="E24">
        <v>20</v>
      </c>
      <c r="F24">
        <v>0</v>
      </c>
    </row>
    <row r="25" spans="1:6" x14ac:dyDescent="0.25">
      <c r="A25" t="s">
        <v>7</v>
      </c>
      <c r="B25">
        <v>7.5230587222362084</v>
      </c>
      <c r="C25">
        <v>1.389896080003405</v>
      </c>
      <c r="D25">
        <v>6.1331626422328034</v>
      </c>
      <c r="E25">
        <v>20</v>
      </c>
      <c r="F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"/>
  <sheetViews>
    <sheetView workbookViewId="0">
      <selection activeCell="E21" sqref="E21"/>
    </sheetView>
  </sheetViews>
  <sheetFormatPr baseColWidth="10" defaultRowHeight="15" x14ac:dyDescent="0.25"/>
  <cols>
    <col min="1" max="1" width="16.28515625" bestFit="1" customWidth="1"/>
  </cols>
  <sheetData>
    <row r="1" spans="1:20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2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s="2" t="s">
        <v>27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s="2" t="s">
        <v>34</v>
      </c>
      <c r="T1" t="s">
        <v>73</v>
      </c>
    </row>
    <row r="2" spans="1:20" x14ac:dyDescent="0.25">
      <c r="A2" s="1" t="s">
        <v>11</v>
      </c>
      <c r="B2">
        <v>6.3</v>
      </c>
      <c r="C2">
        <v>8.5</v>
      </c>
      <c r="D2">
        <v>13.7</v>
      </c>
      <c r="E2">
        <v>13.9</v>
      </c>
      <c r="F2">
        <v>10.6</v>
      </c>
      <c r="G2">
        <v>7.5</v>
      </c>
      <c r="H2">
        <f>15.5/100*B2</f>
        <v>0.97649999999999992</v>
      </c>
      <c r="I2">
        <f>13.1/100*C2</f>
        <v>1.1135000000000002</v>
      </c>
      <c r="J2">
        <f>24.7/100*D2</f>
        <v>3.3838999999999997</v>
      </c>
      <c r="K2">
        <f>20/100*E2</f>
        <v>2.7800000000000002</v>
      </c>
      <c r="L2">
        <f>21/100*F2</f>
        <v>2.226</v>
      </c>
      <c r="M2">
        <f>45/100*G2</f>
        <v>3.375</v>
      </c>
      <c r="N2">
        <f>(100-15.5)/100*B2</f>
        <v>5.3235000000000001</v>
      </c>
      <c r="O2">
        <f>(100-13.1)/100*C2</f>
        <v>7.3865000000000007</v>
      </c>
      <c r="P2">
        <f>(100-24.7)/100*D2</f>
        <v>10.316099999999999</v>
      </c>
      <c r="Q2">
        <f>80/100*E2</f>
        <v>11.120000000000001</v>
      </c>
      <c r="R2">
        <f>79/100*F2</f>
        <v>8.3740000000000006</v>
      </c>
      <c r="S2">
        <f>55/100*G2</f>
        <v>4.125</v>
      </c>
    </row>
    <row r="3" spans="1:20" x14ac:dyDescent="0.25">
      <c r="A3" t="s">
        <v>12</v>
      </c>
      <c r="B3">
        <v>7.1</v>
      </c>
      <c r="C3">
        <v>9.4</v>
      </c>
      <c r="D3">
        <v>13.7</v>
      </c>
      <c r="E3">
        <v>13.9</v>
      </c>
      <c r="F3">
        <v>10.6</v>
      </c>
      <c r="G3">
        <v>7.5</v>
      </c>
      <c r="H3">
        <f t="shared" ref="H3:H8" si="0">15.5/100*B3</f>
        <v>1.1005</v>
      </c>
      <c r="I3">
        <f t="shared" ref="I3:I8" si="1">13.1/100*C3</f>
        <v>1.2314000000000001</v>
      </c>
      <c r="J3">
        <f t="shared" ref="J3:J8" si="2">24.7/100*D3</f>
        <v>3.3838999999999997</v>
      </c>
      <c r="K3">
        <f t="shared" ref="K3:K8" si="3">20/100*E3</f>
        <v>2.7800000000000002</v>
      </c>
      <c r="L3">
        <f t="shared" ref="L3:L8" si="4">21/100*F3</f>
        <v>2.226</v>
      </c>
      <c r="M3">
        <f t="shared" ref="M3:M8" si="5">45/100*G3</f>
        <v>3.375</v>
      </c>
      <c r="N3">
        <f t="shared" ref="N3:N8" si="6">(100-15.5)/100*B3</f>
        <v>5.9994999999999994</v>
      </c>
      <c r="O3">
        <f t="shared" ref="O3:O8" si="7">(100-13.1)/100*C3</f>
        <v>8.1686000000000014</v>
      </c>
      <c r="P3">
        <f t="shared" ref="P3:P8" si="8">(100-24.7)/100*D3</f>
        <v>10.316099999999999</v>
      </c>
      <c r="Q3">
        <f t="shared" ref="Q3:Q8" si="9">80/100*E3</f>
        <v>11.120000000000001</v>
      </c>
      <c r="R3">
        <f t="shared" ref="R3:R8" si="10">79/100*F3</f>
        <v>8.3740000000000006</v>
      </c>
      <c r="S3">
        <f t="shared" ref="S3:S8" si="11">55/100*G3</f>
        <v>4.125</v>
      </c>
    </row>
    <row r="4" spans="1:20" x14ac:dyDescent="0.25">
      <c r="A4" t="s">
        <v>13</v>
      </c>
      <c r="B4">
        <v>5.8</v>
      </c>
      <c r="C4">
        <v>9.6999999999999993</v>
      </c>
      <c r="D4">
        <v>13.7</v>
      </c>
      <c r="E4">
        <v>13.9</v>
      </c>
      <c r="F4">
        <v>10.6</v>
      </c>
      <c r="G4">
        <v>7.5</v>
      </c>
      <c r="H4">
        <f t="shared" si="0"/>
        <v>0.89900000000000002</v>
      </c>
      <c r="I4">
        <f t="shared" si="1"/>
        <v>1.2706999999999999</v>
      </c>
      <c r="J4">
        <f t="shared" si="2"/>
        <v>3.3838999999999997</v>
      </c>
      <c r="K4">
        <f t="shared" si="3"/>
        <v>2.7800000000000002</v>
      </c>
      <c r="L4">
        <f t="shared" si="4"/>
        <v>2.226</v>
      </c>
      <c r="M4">
        <f t="shared" si="5"/>
        <v>3.375</v>
      </c>
      <c r="N4">
        <f t="shared" si="6"/>
        <v>4.9009999999999998</v>
      </c>
      <c r="O4">
        <f t="shared" si="7"/>
        <v>8.4292999999999996</v>
      </c>
      <c r="P4">
        <f t="shared" si="8"/>
        <v>10.316099999999999</v>
      </c>
      <c r="Q4">
        <f t="shared" si="9"/>
        <v>11.120000000000001</v>
      </c>
      <c r="R4">
        <f t="shared" si="10"/>
        <v>8.3740000000000006</v>
      </c>
      <c r="S4">
        <f t="shared" si="11"/>
        <v>4.125</v>
      </c>
    </row>
    <row r="5" spans="1:20" x14ac:dyDescent="0.25">
      <c r="A5" t="s">
        <v>14</v>
      </c>
      <c r="B5">
        <v>6.6</v>
      </c>
      <c r="C5">
        <v>8.6</v>
      </c>
      <c r="D5">
        <v>13.7</v>
      </c>
      <c r="E5">
        <v>13.9</v>
      </c>
      <c r="F5">
        <v>10.6</v>
      </c>
      <c r="G5">
        <v>7.5</v>
      </c>
      <c r="H5">
        <f t="shared" si="0"/>
        <v>1.0229999999999999</v>
      </c>
      <c r="I5">
        <f t="shared" si="1"/>
        <v>1.1266</v>
      </c>
      <c r="J5">
        <f t="shared" si="2"/>
        <v>3.3838999999999997</v>
      </c>
      <c r="K5">
        <f t="shared" si="3"/>
        <v>2.7800000000000002</v>
      </c>
      <c r="L5">
        <f t="shared" si="4"/>
        <v>2.226</v>
      </c>
      <c r="M5">
        <f t="shared" si="5"/>
        <v>3.375</v>
      </c>
      <c r="N5">
        <f t="shared" si="6"/>
        <v>5.577</v>
      </c>
      <c r="O5">
        <f t="shared" si="7"/>
        <v>7.4734000000000007</v>
      </c>
      <c r="P5">
        <f t="shared" si="8"/>
        <v>10.316099999999999</v>
      </c>
      <c r="Q5">
        <f t="shared" si="9"/>
        <v>11.120000000000001</v>
      </c>
      <c r="R5">
        <f t="shared" si="10"/>
        <v>8.3740000000000006</v>
      </c>
      <c r="S5">
        <f t="shared" si="11"/>
        <v>4.125</v>
      </c>
    </row>
    <row r="6" spans="1:20" x14ac:dyDescent="0.25">
      <c r="A6" t="s">
        <v>15</v>
      </c>
      <c r="B6">
        <v>6.4</v>
      </c>
      <c r="C6">
        <v>9.1999999999999993</v>
      </c>
      <c r="D6">
        <v>13.7</v>
      </c>
      <c r="E6">
        <v>13.9</v>
      </c>
      <c r="F6">
        <v>10.6</v>
      </c>
      <c r="G6">
        <v>7.5</v>
      </c>
      <c r="H6">
        <f t="shared" si="0"/>
        <v>0.99199999999999999</v>
      </c>
      <c r="I6">
        <f t="shared" si="1"/>
        <v>1.2052</v>
      </c>
      <c r="J6">
        <f t="shared" si="2"/>
        <v>3.3838999999999997</v>
      </c>
      <c r="K6">
        <f t="shared" si="3"/>
        <v>2.7800000000000002</v>
      </c>
      <c r="L6">
        <f t="shared" si="4"/>
        <v>2.226</v>
      </c>
      <c r="M6">
        <f t="shared" si="5"/>
        <v>3.375</v>
      </c>
      <c r="N6">
        <f t="shared" si="6"/>
        <v>5.4080000000000004</v>
      </c>
      <c r="O6">
        <f t="shared" si="7"/>
        <v>7.9948000000000006</v>
      </c>
      <c r="P6">
        <f t="shared" si="8"/>
        <v>10.316099999999999</v>
      </c>
      <c r="Q6">
        <f t="shared" si="9"/>
        <v>11.120000000000001</v>
      </c>
      <c r="R6">
        <f t="shared" si="10"/>
        <v>8.3740000000000006</v>
      </c>
      <c r="S6">
        <f t="shared" si="11"/>
        <v>4.125</v>
      </c>
    </row>
    <row r="7" spans="1:20" x14ac:dyDescent="0.25">
      <c r="A7" t="s">
        <v>16</v>
      </c>
      <c r="B7">
        <v>7.1</v>
      </c>
      <c r="C7">
        <v>8.8000000000000007</v>
      </c>
      <c r="D7">
        <v>13.7</v>
      </c>
      <c r="E7">
        <v>13.9</v>
      </c>
      <c r="F7">
        <v>10.6</v>
      </c>
      <c r="G7">
        <v>7.5</v>
      </c>
      <c r="H7">
        <f t="shared" si="0"/>
        <v>1.1005</v>
      </c>
      <c r="I7">
        <f>13.1/100*C7</f>
        <v>1.1528</v>
      </c>
      <c r="J7">
        <f t="shared" si="2"/>
        <v>3.3838999999999997</v>
      </c>
      <c r="K7">
        <f t="shared" si="3"/>
        <v>2.7800000000000002</v>
      </c>
      <c r="L7">
        <f t="shared" si="4"/>
        <v>2.226</v>
      </c>
      <c r="M7">
        <f t="shared" si="5"/>
        <v>3.375</v>
      </c>
      <c r="N7">
        <f t="shared" si="6"/>
        <v>5.9994999999999994</v>
      </c>
      <c r="O7">
        <f t="shared" si="7"/>
        <v>7.6472000000000016</v>
      </c>
      <c r="P7">
        <f t="shared" si="8"/>
        <v>10.316099999999999</v>
      </c>
      <c r="Q7">
        <f t="shared" si="9"/>
        <v>11.120000000000001</v>
      </c>
      <c r="R7">
        <f t="shared" si="10"/>
        <v>8.3740000000000006</v>
      </c>
      <c r="S7">
        <f t="shared" si="11"/>
        <v>4.125</v>
      </c>
    </row>
    <row r="8" spans="1:20" x14ac:dyDescent="0.25">
      <c r="A8" t="s">
        <v>7</v>
      </c>
      <c r="B8">
        <v>6.4</v>
      </c>
      <c r="C8">
        <v>9.1999999999999993</v>
      </c>
      <c r="D8">
        <v>13.7</v>
      </c>
      <c r="E8">
        <v>13.9</v>
      </c>
      <c r="F8">
        <v>10.6</v>
      </c>
      <c r="G8">
        <v>7.5</v>
      </c>
      <c r="H8">
        <f t="shared" si="0"/>
        <v>0.99199999999999999</v>
      </c>
      <c r="I8">
        <f t="shared" si="1"/>
        <v>1.2052</v>
      </c>
      <c r="J8">
        <f t="shared" si="2"/>
        <v>3.3838999999999997</v>
      </c>
      <c r="K8">
        <f t="shared" si="3"/>
        <v>2.7800000000000002</v>
      </c>
      <c r="L8">
        <f t="shared" si="4"/>
        <v>2.226</v>
      </c>
      <c r="M8">
        <f t="shared" si="5"/>
        <v>3.375</v>
      </c>
      <c r="N8">
        <f t="shared" si="6"/>
        <v>5.4080000000000004</v>
      </c>
      <c r="O8">
        <f t="shared" si="7"/>
        <v>7.9948000000000006</v>
      </c>
      <c r="P8">
        <f t="shared" si="8"/>
        <v>10.316099999999999</v>
      </c>
      <c r="Q8">
        <f t="shared" si="9"/>
        <v>11.120000000000001</v>
      </c>
      <c r="R8">
        <f t="shared" si="10"/>
        <v>8.3740000000000006</v>
      </c>
      <c r="S8">
        <f t="shared" si="11"/>
        <v>4.125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 s="8">
        <f>C2+D2</f>
        <v>11.493</v>
      </c>
      <c r="C2" s="8">
        <v>3.6753</v>
      </c>
      <c r="D2" s="7">
        <v>7.8177000000000003</v>
      </c>
      <c r="E2">
        <v>0</v>
      </c>
      <c r="F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SUM(C2,D2,F2)</f>
        <v>27.547863999999997</v>
      </c>
      <c r="C2">
        <f xml:space="preserve"> 5+1.19</f>
        <v>6.1899999999999995</v>
      </c>
      <c r="D2">
        <v>0</v>
      </c>
      <c r="E2">
        <v>0</v>
      </c>
      <c r="F2">
        <f>0.178*33.33*3.6</f>
        <v>21.357863999999996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9583-556F-4C5A-8AA7-ABEDBA75267D}">
  <dimension ref="A1:F2"/>
  <sheetViews>
    <sheetView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SUM(C2,D2,F2)</f>
        <v>7.3400000000000007</v>
      </c>
      <c r="C2">
        <v>0.74</v>
      </c>
      <c r="D2">
        <f>10.9-4.3</f>
        <v>6.6000000000000005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F4" sqref="F4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28.077731999999997</v>
      </c>
      <c r="C2">
        <f>5.4</f>
        <v>5.4</v>
      </c>
      <c r="D2">
        <v>0</v>
      </c>
      <c r="E2">
        <v>0</v>
      </c>
      <c r="F2">
        <f>0.189*1000*33.33*3600/1000000</f>
        <v>22.677731999999999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C87A-4141-469D-ACE0-28809616425F}">
  <dimension ref="A1:F2"/>
  <sheetViews>
    <sheetView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12.5</v>
      </c>
      <c r="C2">
        <v>0.6</v>
      </c>
      <c r="D2">
        <f>13.9-2</f>
        <v>11.9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74.967544439999998</v>
      </c>
      <c r="C2">
        <f>2.67*methanol!C2</f>
        <v>14.418000000000001</v>
      </c>
      <c r="D2">
        <v>0</v>
      </c>
      <c r="E2">
        <v>0</v>
      </c>
      <c r="F2">
        <f>2.67*methanol!F2</f>
        <v>60.549544439999998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D5F1-DF92-457F-9734-49A00042D060}">
  <dimension ref="A1:F2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27D6-8D65-4671-8DD1-43F950DA3662}">
  <dimension ref="A1:F2"/>
  <sheetViews>
    <sheetView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21.21</v>
      </c>
      <c r="C2">
        <f>1.4+0.42</f>
        <v>1.8199999999999998</v>
      </c>
      <c r="D2">
        <f>18.13+1.26</f>
        <v>19.39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74.967544439999998</v>
      </c>
      <c r="C2">
        <f>2.67*methanol!C2</f>
        <v>14.418000000000001</v>
      </c>
      <c r="D2">
        <v>0</v>
      </c>
      <c r="E2">
        <v>0</v>
      </c>
      <c r="F2">
        <f>2.67*methanol!F2</f>
        <v>60.549544439999998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BDA1-717C-44BC-85D7-EE959F92FFAD}">
  <dimension ref="A1:F2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tabSelected="1" workbookViewId="0">
      <selection activeCell="D9" sqref="D9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125.73424759999999</v>
      </c>
      <c r="C2">
        <f>4.3*methanol!C2 +5</f>
        <v>28.22</v>
      </c>
      <c r="D2">
        <v>0</v>
      </c>
      <c r="E2">
        <v>0</v>
      </c>
      <c r="F2">
        <f>4.3*methanol!F2</f>
        <v>97.51424759999999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0768-264A-48C8-A47A-CA806FD42378}">
  <dimension ref="A1:F2"/>
  <sheetViews>
    <sheetView workbookViewId="0">
      <selection activeCell="E16" sqref="E16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19"/>
  <sheetViews>
    <sheetView workbookViewId="0">
      <selection activeCell="A6" sqref="A6"/>
    </sheetView>
  </sheetViews>
  <sheetFormatPr baseColWidth="10" defaultRowHeight="15" x14ac:dyDescent="0.25"/>
  <sheetData>
    <row r="2" spans="1:2" x14ac:dyDescent="0.25">
      <c r="A2" t="s">
        <v>2</v>
      </c>
      <c r="B2" s="4" t="s">
        <v>3</v>
      </c>
    </row>
    <row r="4" spans="1:2" x14ac:dyDescent="0.25">
      <c r="A4" t="s">
        <v>4</v>
      </c>
      <c r="B4" t="s">
        <v>1</v>
      </c>
    </row>
    <row r="6" spans="1:2" x14ac:dyDescent="0.25">
      <c r="A6" t="s">
        <v>5</v>
      </c>
      <c r="B6" t="s">
        <v>6</v>
      </c>
    </row>
    <row r="8" spans="1:2" x14ac:dyDescent="0.25">
      <c r="A8" t="s">
        <v>57</v>
      </c>
      <c r="B8" t="s">
        <v>58</v>
      </c>
    </row>
    <row r="10" spans="1:2" x14ac:dyDescent="0.25">
      <c r="A10" t="s">
        <v>62</v>
      </c>
      <c r="B10" t="s">
        <v>63</v>
      </c>
    </row>
    <row r="11" spans="1:2" x14ac:dyDescent="0.25">
      <c r="B11" t="s">
        <v>64</v>
      </c>
    </row>
    <row r="12" spans="1:2" x14ac:dyDescent="0.25">
      <c r="A12" t="s">
        <v>65</v>
      </c>
      <c r="B12" t="s">
        <v>63</v>
      </c>
    </row>
    <row r="13" spans="1:2" x14ac:dyDescent="0.25">
      <c r="B13" s="4" t="s">
        <v>66</v>
      </c>
    </row>
    <row r="14" spans="1:2" x14ac:dyDescent="0.25">
      <c r="A14" t="s">
        <v>67</v>
      </c>
      <c r="B14" t="s">
        <v>68</v>
      </c>
    </row>
    <row r="15" spans="1:2" x14ac:dyDescent="0.25">
      <c r="B15" t="s">
        <v>63</v>
      </c>
    </row>
    <row r="16" spans="1:2" x14ac:dyDescent="0.25">
      <c r="B16" s="4" t="s">
        <v>72</v>
      </c>
    </row>
    <row r="17" spans="2:2" x14ac:dyDescent="0.25">
      <c r="B17" t="s">
        <v>69</v>
      </c>
    </row>
    <row r="18" spans="2:2" x14ac:dyDescent="0.25">
      <c r="B18" t="s">
        <v>70</v>
      </c>
    </row>
    <row r="19" spans="2:2" x14ac:dyDescent="0.25">
      <c r="B19" t="s">
        <v>71</v>
      </c>
    </row>
  </sheetData>
  <hyperlinks>
    <hyperlink ref="B13" r:id="rId1" xr:uid="{00000000-0004-0000-0E00-000000000000}"/>
    <hyperlink ref="B16" r:id="rId2" display="https://www.isi.fraunhofer.de/content/dam/isi/dokumente/cce/2020/6-110-20_Neuwirth.pdf" xr:uid="{00000000-0004-0000-0E00-000001000000}"/>
    <hyperlink ref="B2" r:id="rId3" xr:uid="{00000000-0004-0000-0E00-000002000000}"/>
  </hyperlinks>
  <pageMargins left="0.7" right="0.7" top="0.78740157499999996" bottom="0.78740157499999996" header="0.3" footer="0.3"/>
  <pageSetup paperSize="9"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2391-8C79-4CE0-ADB4-180D048810A9}">
  <dimension ref="A1:F2"/>
  <sheetViews>
    <sheetView workbookViewId="0">
      <selection activeCell="C28" sqref="C28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554 * Conversion!A2</f>
        <v>2.317936</v>
      </c>
      <c r="C2">
        <f>B2*Conversion!B2</f>
        <v>1.158968</v>
      </c>
      <c r="D2">
        <f>B2*Conversion!C2</f>
        <v>1.158968</v>
      </c>
      <c r="E2">
        <v>0</v>
      </c>
      <c r="F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528B-41B3-4AB8-98BF-8B5748C9ACDD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v>2.448</v>
      </c>
      <c r="C2">
        <f>B2*Conversion!B2</f>
        <v>1.224</v>
      </c>
      <c r="D2">
        <f>B2*Conversion!C2</f>
        <v>1.224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03EF-AFAD-418D-A279-1B1EA33033AD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v>12.97</v>
      </c>
      <c r="C2">
        <f>B2*Conversion!B2</f>
        <v>6.4850000000000003</v>
      </c>
      <c r="D2">
        <f>B2*Conversion!C2</f>
        <v>6.4850000000000003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8BD-8929-4A0A-9C27-8AF2E67D990E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141 * Conversion!A2</f>
        <v>0.58994400000000002</v>
      </c>
      <c r="C2">
        <f>B2*Conversion!B2</f>
        <v>0.29497200000000001</v>
      </c>
      <c r="D2">
        <f>B2*Conversion!C2</f>
        <v>0.29497200000000001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B0DE-562A-46AC-8DCB-CEE49E1493D8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(148+151)/2 * Conversion!A2</f>
        <v>0.62550800000000006</v>
      </c>
      <c r="C2">
        <f>B2*Conversion!B2</f>
        <v>0.31275400000000003</v>
      </c>
      <c r="D2">
        <f>B2*Conversion!C2</f>
        <v>0.31275400000000003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85AB-16D4-4A0B-ADDF-850D42A5A729}">
  <dimension ref="A1:F2"/>
  <sheetViews>
    <sheetView workbookViewId="0">
      <selection activeCell="E29" sqref="E29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C2+D2+F2</f>
        <v>2.77</v>
      </c>
      <c r="C2">
        <f xml:space="preserve"> 1.91</f>
        <v>1.91</v>
      </c>
      <c r="D2">
        <v>0.86</v>
      </c>
      <c r="E2">
        <v>0</v>
      </c>
      <c r="F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A530-CB75-4909-B261-732C194FA479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(153+148)/2 * Conversion!A2</f>
        <v>0.62969200000000003</v>
      </c>
      <c r="C2">
        <f>B2*Conversion!B2</f>
        <v>0.31484600000000001</v>
      </c>
      <c r="D2">
        <f>B2*Conversion!C2</f>
        <v>0.31484600000000001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BEF3-3405-4769-A0DF-7F6DB23C9755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170 * Conversion!A2</f>
        <v>0.71128000000000002</v>
      </c>
      <c r="C2">
        <f>B2*Conversion!B2</f>
        <v>0.35564000000000001</v>
      </c>
      <c r="D2">
        <f>B2*Conversion!C2</f>
        <v>0.35564000000000001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4CDE-9C08-46C3-97C6-919E251B8D1E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0 * Conversion!A2</f>
        <v>0</v>
      </c>
      <c r="C2">
        <f>B2*Conversion!B2</f>
        <v>0</v>
      </c>
      <c r="D2">
        <f>B2*Conversion!C2</f>
        <v>0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25A4-413E-478E-8F33-EEC4384E5D8E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132 * Conversion!A2</f>
        <v>0.552288</v>
      </c>
      <c r="C2">
        <f>B2*Conversion!B2</f>
        <v>0.276144</v>
      </c>
      <c r="D2">
        <f>B2*Conversion!C2</f>
        <v>0.276144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6F0B-3B8C-4E32-A29A-76CD2D287223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(139+146)/2 * Conversion!A2</f>
        <v>0.59622000000000008</v>
      </c>
      <c r="C2">
        <f>B2*Conversion!B2</f>
        <v>0.29811000000000004</v>
      </c>
      <c r="D2">
        <f>B2*Conversion!C2</f>
        <v>0.29811000000000004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ACB0-F539-4C6D-88BE-B28AD7535905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0 * Conversion!A2</f>
        <v>0</v>
      </c>
      <c r="C2">
        <f>B2*Conversion!B2</f>
        <v>0</v>
      </c>
      <c r="D2">
        <f>B2*Conversion!C2</f>
        <v>0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3EA8-8FF8-4991-89AB-5735B7410C0F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76B8-DE74-449A-9F47-FBE5666D31FD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125 * Conversion!A2</f>
        <v>0.52300000000000002</v>
      </c>
      <c r="C2">
        <f>B2*Conversion!B2</f>
        <v>0.26150000000000001</v>
      </c>
      <c r="D2">
        <f>B2*Conversion!C2</f>
        <v>0.26150000000000001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7FB5-47A8-4846-8420-20B2B0050F64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123 * Conversion!A2</f>
        <v>0.51463199999999998</v>
      </c>
      <c r="C2">
        <f>B2*Conversion!B2</f>
        <v>0.25731599999999999</v>
      </c>
      <c r="D2">
        <f>B2*Conversion!C2</f>
        <v>0.25731599999999999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C55-CE43-4BCD-90B3-894DDFAFAB91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>C2+F2</f>
        <v>7.5180000000000007</v>
      </c>
      <c r="C2">
        <v>1.1160000000000001</v>
      </c>
      <c r="D2">
        <v>0</v>
      </c>
      <c r="E2">
        <v>0</v>
      </c>
      <c r="F2">
        <v>6.4020000000000001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40C-638F-400F-BBC0-8539D97E2E02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(1499+5899)/2 * Conversion!A2</f>
        <v>15.476616</v>
      </c>
      <c r="C2">
        <f>B2*Conversion!B2</f>
        <v>7.738308</v>
      </c>
      <c r="D2">
        <f>B2*Conversion!C2</f>
        <v>7.738308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25EE-E2B3-44A5-B79D-159892A31534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AFB-A2CB-4DBD-9F7D-FFB3077A4A82}">
  <dimension ref="A1:F2"/>
  <sheetViews>
    <sheetView workbookViewId="0">
      <selection activeCell="C28" sqref="C28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7</v>
      </c>
      <c r="B2">
        <f xml:space="preserve"> 131 * Conversion!A2</f>
        <v>0.54810400000000004</v>
      </c>
      <c r="C2">
        <f>B2*Conversion!B2</f>
        <v>0.27405200000000002</v>
      </c>
      <c r="D2">
        <f>B2*Conversion!C2</f>
        <v>0.27405200000000002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6EBD-34A1-4738-BADB-E10FD691DD1B}">
  <dimension ref="A1:C18"/>
  <sheetViews>
    <sheetView workbookViewId="0">
      <selection activeCell="C28" sqref="C28"/>
    </sheetView>
  </sheetViews>
  <sheetFormatPr baseColWidth="10" defaultRowHeight="15" x14ac:dyDescent="0.25"/>
  <sheetData>
    <row r="1" spans="1:3" x14ac:dyDescent="0.25">
      <c r="A1" t="s">
        <v>80</v>
      </c>
      <c r="B1" t="s">
        <v>81</v>
      </c>
    </row>
    <row r="5" spans="1:3" x14ac:dyDescent="0.25">
      <c r="A5" t="s">
        <v>82</v>
      </c>
      <c r="B5" t="s">
        <v>83</v>
      </c>
    </row>
    <row r="6" spans="1:3" x14ac:dyDescent="0.25">
      <c r="B6" t="s">
        <v>84</v>
      </c>
    </row>
    <row r="7" spans="1:3" x14ac:dyDescent="0.25">
      <c r="B7" t="s">
        <v>85</v>
      </c>
    </row>
    <row r="8" spans="1:3" x14ac:dyDescent="0.25">
      <c r="B8" s="4" t="s">
        <v>86</v>
      </c>
    </row>
    <row r="9" spans="1:3" x14ac:dyDescent="0.25">
      <c r="B9" s="9" t="s">
        <v>87</v>
      </c>
    </row>
    <row r="10" spans="1:3" x14ac:dyDescent="0.25">
      <c r="B10" s="10" t="s">
        <v>88</v>
      </c>
      <c r="C10" t="s">
        <v>89</v>
      </c>
    </row>
    <row r="11" spans="1:3" x14ac:dyDescent="0.25">
      <c r="C11" t="s">
        <v>90</v>
      </c>
    </row>
    <row r="12" spans="1:3" x14ac:dyDescent="0.25">
      <c r="B12" t="s">
        <v>91</v>
      </c>
    </row>
    <row r="13" spans="1:3" x14ac:dyDescent="0.25">
      <c r="B13" t="s">
        <v>92</v>
      </c>
    </row>
    <row r="14" spans="1:3" x14ac:dyDescent="0.25">
      <c r="B14" t="s">
        <v>93</v>
      </c>
    </row>
    <row r="15" spans="1:3" x14ac:dyDescent="0.25">
      <c r="B15" t="s">
        <v>94</v>
      </c>
    </row>
    <row r="16" spans="1:3" x14ac:dyDescent="0.25">
      <c r="B16" t="s">
        <v>95</v>
      </c>
    </row>
    <row r="17" spans="2:2" x14ac:dyDescent="0.25">
      <c r="B17" t="s">
        <v>96</v>
      </c>
    </row>
    <row r="18" spans="2:2" x14ac:dyDescent="0.25">
      <c r="B18" t="s">
        <v>97</v>
      </c>
    </row>
  </sheetData>
  <hyperlinks>
    <hyperlink ref="B8" r:id="rId1" xr:uid="{E09F07A1-802D-4682-99DF-F49E7061820B}"/>
  </hyperlinks>
  <pageMargins left="0.7" right="0.7" top="0.78740157499999996" bottom="0.78740157499999996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7E5-492C-489B-9BF9-9963E42EF4B5}">
  <dimension ref="A1:C2"/>
  <sheetViews>
    <sheetView workbookViewId="0">
      <selection activeCell="C28" sqref="C28"/>
    </sheetView>
  </sheetViews>
  <sheetFormatPr baseColWidth="10" defaultRowHeight="15" x14ac:dyDescent="0.25"/>
  <sheetData>
    <row r="1" spans="1:3" x14ac:dyDescent="0.25">
      <c r="A1" t="s">
        <v>98</v>
      </c>
      <c r="B1" t="s">
        <v>99</v>
      </c>
      <c r="C1" t="s">
        <v>100</v>
      </c>
    </row>
    <row r="2" spans="1:3" x14ac:dyDescent="0.25">
      <c r="A2">
        <f>4.184*10^-3</f>
        <v>4.1840000000000002E-3</v>
      </c>
      <c r="B2">
        <v>0.5</v>
      </c>
      <c r="C2">
        <v>0.5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opLeftCell="B1" workbookViewId="0">
      <selection activeCell="C2" sqref="C2"/>
    </sheetView>
  </sheetViews>
  <sheetFormatPr baseColWidth="10" defaultRowHeight="15" x14ac:dyDescent="0.25"/>
  <cols>
    <col min="3" max="3" width="32.85546875" bestFit="1" customWidth="1"/>
  </cols>
  <sheetData>
    <row r="1" spans="1:8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  <c r="H1" t="s">
        <v>76</v>
      </c>
    </row>
    <row r="2" spans="1:8" x14ac:dyDescent="0.25">
      <c r="A2" t="s">
        <v>7</v>
      </c>
      <c r="B2">
        <f>C2+D2</f>
        <v>55.470000000000006</v>
      </c>
      <c r="C2">
        <v>52.2</v>
      </c>
      <c r="D2">
        <v>3.27</v>
      </c>
      <c r="E2" s="6">
        <v>20</v>
      </c>
      <c r="F2">
        <v>0</v>
      </c>
      <c r="H2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sqref="A1:A2"/>
    </sheetView>
  </sheetViews>
  <sheetFormatPr baseColWidth="10" defaultRowHeight="15" x14ac:dyDescent="0.25"/>
  <cols>
    <col min="3" max="3" width="32.85546875" bestFit="1" customWidth="1"/>
  </cols>
  <sheetData>
    <row r="1" spans="1:8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  <c r="H1" t="s">
        <v>76</v>
      </c>
    </row>
    <row r="2" spans="1:8" x14ac:dyDescent="0.25">
      <c r="A2" t="s">
        <v>7</v>
      </c>
      <c r="B2">
        <f>C2+D2</f>
        <v>10.8</v>
      </c>
      <c r="C2">
        <v>1.8</v>
      </c>
      <c r="D2">
        <v>9</v>
      </c>
      <c r="E2" s="6">
        <v>20</v>
      </c>
      <c r="F2">
        <v>0</v>
      </c>
      <c r="H2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E066-32DE-425F-8D73-79DC092500AB}">
  <dimension ref="A1:H2"/>
  <sheetViews>
    <sheetView workbookViewId="0">
      <selection sqref="A1:A2"/>
    </sheetView>
  </sheetViews>
  <sheetFormatPr baseColWidth="10" defaultRowHeight="15" x14ac:dyDescent="0.25"/>
  <sheetData>
    <row r="1" spans="1:8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  <c r="H1" t="s">
        <v>76</v>
      </c>
    </row>
    <row r="2" spans="1:8" x14ac:dyDescent="0.25">
      <c r="A2" t="s">
        <v>7</v>
      </c>
      <c r="B2">
        <f>C2+D2</f>
        <v>23.65</v>
      </c>
      <c r="C2">
        <f>7.92+5.4</f>
        <v>13.32</v>
      </c>
      <c r="D2">
        <f>2.77+7.56</f>
        <v>10.33</v>
      </c>
      <c r="E2" s="6">
        <v>20</v>
      </c>
      <c r="F2">
        <v>0</v>
      </c>
      <c r="H2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2C3B-022D-4400-9CCF-E3B13BD30224}">
  <dimension ref="A1:H2"/>
  <sheetViews>
    <sheetView workbookViewId="0">
      <selection activeCell="F35" sqref="F35"/>
    </sheetView>
  </sheetViews>
  <sheetFormatPr baseColWidth="10" defaultRowHeight="15" x14ac:dyDescent="0.25"/>
  <sheetData>
    <row r="1" spans="1:8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  <c r="H1" t="s">
        <v>76</v>
      </c>
    </row>
    <row r="2" spans="1:8" x14ac:dyDescent="0.25">
      <c r="A2" t="s">
        <v>7</v>
      </c>
      <c r="B2">
        <f>C2+D2</f>
        <v>19.22</v>
      </c>
      <c r="C2">
        <f>3.96+5.4</f>
        <v>9.36</v>
      </c>
      <c r="D2">
        <f>2.3+7.56</f>
        <v>9.86</v>
      </c>
      <c r="E2" s="6">
        <v>20</v>
      </c>
      <c r="F2">
        <v>0</v>
      </c>
      <c r="H2" t="s">
        <v>77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K13" sqref="K13"/>
    </sheetView>
  </sheetViews>
  <sheetFormatPr baseColWidth="10" defaultRowHeight="15" x14ac:dyDescent="0.25"/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73</v>
      </c>
      <c r="F1" t="s">
        <v>44</v>
      </c>
    </row>
    <row r="2" spans="1:6" x14ac:dyDescent="0.25">
      <c r="A2" t="s">
        <v>35</v>
      </c>
      <c r="B2">
        <f>C2+D2</f>
        <v>9.5</v>
      </c>
      <c r="C2">
        <v>8.9</v>
      </c>
      <c r="D2">
        <v>0.6</v>
      </c>
      <c r="E2">
        <v>0</v>
      </c>
      <c r="F2">
        <v>0</v>
      </c>
    </row>
    <row r="3" spans="1:6" x14ac:dyDescent="0.25">
      <c r="A3" t="s">
        <v>36</v>
      </c>
      <c r="B3">
        <f t="shared" ref="B3:B22" si="0">C3+D3</f>
        <v>9.5</v>
      </c>
      <c r="C3">
        <v>8.9</v>
      </c>
      <c r="D3">
        <v>0.6</v>
      </c>
      <c r="E3">
        <v>0</v>
      </c>
      <c r="F3">
        <v>0</v>
      </c>
    </row>
    <row r="4" spans="1:6" x14ac:dyDescent="0.25">
      <c r="A4" t="s">
        <v>59</v>
      </c>
      <c r="B4">
        <f t="shared" si="0"/>
        <v>9.5</v>
      </c>
      <c r="C4">
        <v>8.9</v>
      </c>
      <c r="D4">
        <v>0.6</v>
      </c>
      <c r="E4">
        <v>0</v>
      </c>
      <c r="F4">
        <v>0</v>
      </c>
    </row>
    <row r="5" spans="1:6" x14ac:dyDescent="0.25">
      <c r="A5" t="s">
        <v>39</v>
      </c>
      <c r="B5">
        <f t="shared" si="0"/>
        <v>9.5</v>
      </c>
      <c r="C5">
        <v>8.9</v>
      </c>
      <c r="D5">
        <v>0.6</v>
      </c>
      <c r="E5">
        <v>0</v>
      </c>
      <c r="F5">
        <v>0</v>
      </c>
    </row>
    <row r="6" spans="1:6" x14ac:dyDescent="0.25">
      <c r="A6" t="s">
        <v>12</v>
      </c>
      <c r="B6">
        <f t="shared" si="0"/>
        <v>9.9313725490196081</v>
      </c>
      <c r="C6">
        <v>9.0757443718228039</v>
      </c>
      <c r="D6">
        <v>0.85562817719680473</v>
      </c>
      <c r="E6">
        <v>0</v>
      </c>
      <c r="F6">
        <v>0</v>
      </c>
    </row>
    <row r="7" spans="1:6" x14ac:dyDescent="0.25">
      <c r="A7" t="s">
        <v>11</v>
      </c>
      <c r="B7">
        <f t="shared" si="0"/>
        <v>9.216505755662828</v>
      </c>
      <c r="C7">
        <v>8.228871147419234</v>
      </c>
      <c r="D7">
        <v>0.98763460824359461</v>
      </c>
      <c r="E7">
        <v>0</v>
      </c>
      <c r="F7">
        <v>0</v>
      </c>
    </row>
    <row r="8" spans="1:6" x14ac:dyDescent="0.25">
      <c r="A8" t="s">
        <v>54</v>
      </c>
      <c r="B8">
        <f t="shared" si="0"/>
        <v>9.5</v>
      </c>
      <c r="C8">
        <v>8.9</v>
      </c>
      <c r="D8">
        <v>0.6</v>
      </c>
      <c r="E8">
        <v>0</v>
      </c>
      <c r="F8">
        <v>0</v>
      </c>
    </row>
    <row r="9" spans="1:6" x14ac:dyDescent="0.25">
      <c r="A9" t="s">
        <v>49</v>
      </c>
      <c r="B9">
        <f t="shared" si="0"/>
        <v>10.040000000000001</v>
      </c>
      <c r="C9">
        <v>9.120000000000001</v>
      </c>
      <c r="D9">
        <v>0.92</v>
      </c>
      <c r="E9">
        <v>0</v>
      </c>
      <c r="F9">
        <v>0</v>
      </c>
    </row>
    <row r="10" spans="1:6" x14ac:dyDescent="0.25">
      <c r="A10" t="s">
        <v>55</v>
      </c>
      <c r="B10">
        <f t="shared" si="0"/>
        <v>9.5</v>
      </c>
      <c r="C10">
        <v>8.9</v>
      </c>
      <c r="D10">
        <v>0.6</v>
      </c>
      <c r="E10">
        <v>0</v>
      </c>
      <c r="F10">
        <v>0</v>
      </c>
    </row>
    <row r="11" spans="1:6" x14ac:dyDescent="0.25">
      <c r="A11" t="s">
        <v>13</v>
      </c>
      <c r="B11">
        <f t="shared" si="0"/>
        <v>9.5</v>
      </c>
      <c r="C11">
        <v>8.9</v>
      </c>
      <c r="D11">
        <v>0.6</v>
      </c>
      <c r="E11">
        <v>0</v>
      </c>
      <c r="F11">
        <v>0</v>
      </c>
    </row>
    <row r="12" spans="1:6" x14ac:dyDescent="0.25">
      <c r="A12" t="s">
        <v>60</v>
      </c>
      <c r="B12">
        <f t="shared" si="0"/>
        <v>9.5</v>
      </c>
      <c r="C12">
        <v>8.9</v>
      </c>
      <c r="D12">
        <v>0.6</v>
      </c>
      <c r="E12">
        <v>0</v>
      </c>
      <c r="F12">
        <v>0</v>
      </c>
    </row>
    <row r="13" spans="1:6" x14ac:dyDescent="0.25">
      <c r="A13" t="s">
        <v>47</v>
      </c>
      <c r="B13">
        <f t="shared" si="0"/>
        <v>9.5</v>
      </c>
      <c r="C13">
        <v>8.9</v>
      </c>
      <c r="D13">
        <v>0.6</v>
      </c>
      <c r="E13">
        <v>0</v>
      </c>
      <c r="F13">
        <v>0</v>
      </c>
    </row>
    <row r="14" spans="1:6" x14ac:dyDescent="0.25">
      <c r="A14" t="s">
        <v>16</v>
      </c>
      <c r="B14">
        <f t="shared" si="0"/>
        <v>9.5</v>
      </c>
      <c r="C14">
        <v>8.9</v>
      </c>
      <c r="D14">
        <v>0.6</v>
      </c>
      <c r="E14">
        <v>0</v>
      </c>
      <c r="F14">
        <v>0</v>
      </c>
    </row>
    <row r="15" spans="1:6" x14ac:dyDescent="0.25">
      <c r="A15" t="s">
        <v>40</v>
      </c>
      <c r="B15">
        <f t="shared" si="0"/>
        <v>10.412676056338029</v>
      </c>
      <c r="C15">
        <v>9.2718309859154928</v>
      </c>
      <c r="D15">
        <v>1.1408450704225352</v>
      </c>
      <c r="E15">
        <v>0</v>
      </c>
      <c r="F15">
        <v>0</v>
      </c>
    </row>
    <row r="16" spans="1:6" x14ac:dyDescent="0.25">
      <c r="A16" t="s">
        <v>41</v>
      </c>
      <c r="B16">
        <f t="shared" si="0"/>
        <v>9.5</v>
      </c>
      <c r="C16">
        <v>8.9</v>
      </c>
      <c r="D16">
        <v>0.6</v>
      </c>
      <c r="E16">
        <v>0</v>
      </c>
      <c r="F16">
        <v>0</v>
      </c>
    </row>
    <row r="17" spans="1:6" x14ac:dyDescent="0.25">
      <c r="A17" t="s">
        <v>61</v>
      </c>
      <c r="B17">
        <f t="shared" si="0"/>
        <v>9.5</v>
      </c>
      <c r="C17">
        <v>8.9</v>
      </c>
      <c r="D17">
        <v>0.6</v>
      </c>
      <c r="E17">
        <v>0</v>
      </c>
      <c r="F17">
        <v>0</v>
      </c>
    </row>
    <row r="18" spans="1:6" x14ac:dyDescent="0.25">
      <c r="A18" t="s">
        <v>42</v>
      </c>
      <c r="B18">
        <f t="shared" si="0"/>
        <v>9.5</v>
      </c>
      <c r="C18">
        <v>8.9</v>
      </c>
      <c r="D18">
        <v>0.6</v>
      </c>
      <c r="E18">
        <v>0</v>
      </c>
      <c r="F18">
        <v>0</v>
      </c>
    </row>
    <row r="19" spans="1:6" x14ac:dyDescent="0.25">
      <c r="A19" t="s">
        <v>14</v>
      </c>
      <c r="B19">
        <f t="shared" si="0"/>
        <v>9.5</v>
      </c>
      <c r="C19">
        <v>8.9</v>
      </c>
      <c r="D19">
        <v>0.6</v>
      </c>
      <c r="E19">
        <v>0</v>
      </c>
      <c r="F19">
        <v>0</v>
      </c>
    </row>
    <row r="20" spans="1:6" x14ac:dyDescent="0.25">
      <c r="A20" t="s">
        <v>48</v>
      </c>
      <c r="B20">
        <f t="shared" si="0"/>
        <v>9.5</v>
      </c>
      <c r="C20">
        <v>8.9</v>
      </c>
      <c r="D20">
        <v>0.6</v>
      </c>
      <c r="E20">
        <v>0</v>
      </c>
      <c r="F20">
        <v>0</v>
      </c>
    </row>
    <row r="21" spans="1:6" x14ac:dyDescent="0.25">
      <c r="A21" t="s">
        <v>46</v>
      </c>
      <c r="B21">
        <f t="shared" si="0"/>
        <v>9.5</v>
      </c>
      <c r="C21">
        <v>8.9</v>
      </c>
      <c r="D21">
        <v>0.6</v>
      </c>
      <c r="E21">
        <v>0</v>
      </c>
      <c r="F21">
        <v>0</v>
      </c>
    </row>
    <row r="22" spans="1:6" x14ac:dyDescent="0.25">
      <c r="A22" t="s">
        <v>15</v>
      </c>
      <c r="B22">
        <f t="shared" si="0"/>
        <v>9.5</v>
      </c>
      <c r="C22">
        <v>8.9</v>
      </c>
      <c r="D22">
        <v>0.6</v>
      </c>
      <c r="E22">
        <v>0</v>
      </c>
      <c r="F22">
        <v>0</v>
      </c>
    </row>
    <row r="23" spans="1:6" x14ac:dyDescent="0.25">
      <c r="A23" t="s">
        <v>7</v>
      </c>
      <c r="B23">
        <f t="shared" ref="B23" si="1">C23+D23</f>
        <v>9.5</v>
      </c>
      <c r="C23">
        <v>8.9</v>
      </c>
      <c r="D23">
        <v>0.6</v>
      </c>
      <c r="E23">
        <v>0</v>
      </c>
      <c r="F2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steel</vt:lpstr>
      <vt:lpstr>steel_prim</vt:lpstr>
      <vt:lpstr>steel_sec</vt:lpstr>
      <vt:lpstr>steel_direct</vt:lpstr>
      <vt:lpstr>alu_prim</vt:lpstr>
      <vt:lpstr>alu_sec</vt:lpstr>
      <vt:lpstr>cooper_prim</vt:lpstr>
      <vt:lpstr>cooper_sec</vt:lpstr>
      <vt:lpstr>chlorin</vt:lpstr>
      <vt:lpstr>cement</vt:lpstr>
      <vt:lpstr>glass</vt:lpstr>
      <vt:lpstr>glass_detail</vt:lpstr>
      <vt:lpstr>paper</vt:lpstr>
      <vt:lpstr>ammonia</vt:lpstr>
      <vt:lpstr>ammonia_classic</vt:lpstr>
      <vt:lpstr>methanol</vt:lpstr>
      <vt:lpstr>methanol_classic</vt:lpstr>
      <vt:lpstr>ethylene</vt:lpstr>
      <vt:lpstr>ethylene_classic</vt:lpstr>
      <vt:lpstr>propylene</vt:lpstr>
      <vt:lpstr>propylene_classic</vt:lpstr>
      <vt:lpstr>aromate</vt:lpstr>
      <vt:lpstr>aromate_classic</vt:lpstr>
      <vt:lpstr>Info</vt:lpstr>
      <vt:lpstr>Cereals</vt:lpstr>
      <vt:lpstr>Rice</vt:lpstr>
      <vt:lpstr>Pulses</vt:lpstr>
      <vt:lpstr>Roots</vt:lpstr>
      <vt:lpstr>Brassiacas</vt:lpstr>
      <vt:lpstr>Leafy</vt:lpstr>
      <vt:lpstr>Tomatoes</vt:lpstr>
      <vt:lpstr>Cucumbers</vt:lpstr>
      <vt:lpstr>Watermelons</vt:lpstr>
      <vt:lpstr>Tuber</vt:lpstr>
      <vt:lpstr>Strawberries</vt:lpstr>
      <vt:lpstr>Pome</vt:lpstr>
      <vt:lpstr>Peaches</vt:lpstr>
      <vt:lpstr>Plums</vt:lpstr>
      <vt:lpstr>Tropics</vt:lpstr>
      <vt:lpstr>Nuts</vt:lpstr>
      <vt:lpstr>Citrus</vt:lpstr>
      <vt:lpstr>Grapes</vt:lpstr>
      <vt:lpstr>Info_food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2023-01-31T09:41:04Z</dcterms:modified>
</cp:coreProperties>
</file>