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Projekte\IPP\08 Daten\Nachfrage\Nachfragemodell\endemo\input\traffic\"/>
    </mc:Choice>
  </mc:AlternateContent>
  <bookViews>
    <workbookView minimized="1" xWindow="0" yWindow="0" windowWidth="19200" windowHeight="7056" tabRatio="870" firstSheet="2" activeTab="12"/>
  </bookViews>
  <sheets>
    <sheet name="Tonnenkm_road_train" sheetId="18" r:id="rId1"/>
    <sheet name="Tonnenkm_fligth" sheetId="21" r:id="rId2"/>
    <sheet name="Tonnenkm_transportperformance" sheetId="1" r:id="rId3"/>
    <sheet name="production_volume_his" sheetId="17" r:id="rId4"/>
    <sheet name="productionvolume_2050" sheetId="16" r:id="rId5"/>
    <sheet name="Results_2050" sheetId="19" r:id="rId6"/>
    <sheet name="ModalSplit_Railways" sheetId="11" r:id="rId7"/>
    <sheet name="ModalSplit_Roads" sheetId="13" r:id="rId8"/>
    <sheet name="ModalSplit_ship" sheetId="14" r:id="rId9"/>
    <sheet name="flight_tkm" sheetId="15" r:id="rId10"/>
    <sheet name="EnergyperModal" sheetId="20" r:id="rId11"/>
    <sheet name="literatur" sheetId="4" r:id="rId12"/>
    <sheet name="Validierung" sheetId="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9" l="1"/>
  <c r="W4" i="19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10" i="21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10" i="15"/>
  <c r="D2" i="15"/>
  <c r="D11" i="16"/>
  <c r="E11" i="16" s="1"/>
  <c r="D12" i="16"/>
  <c r="F12" i="19" s="1"/>
  <c r="D13" i="16"/>
  <c r="F13" i="19" s="1"/>
  <c r="D14" i="16"/>
  <c r="F14" i="19" s="1"/>
  <c r="D15" i="16"/>
  <c r="E15" i="16" s="1"/>
  <c r="D16" i="16"/>
  <c r="F16" i="19" s="1"/>
  <c r="D17" i="16"/>
  <c r="F17" i="19" s="1"/>
  <c r="D18" i="16"/>
  <c r="F18" i="19" s="1"/>
  <c r="D19" i="16"/>
  <c r="E19" i="16" s="1"/>
  <c r="D20" i="16"/>
  <c r="E20" i="16" s="1"/>
  <c r="D20" i="19" s="1"/>
  <c r="D21" i="16"/>
  <c r="F21" i="19" s="1"/>
  <c r="D22" i="16"/>
  <c r="F22" i="19" s="1"/>
  <c r="D23" i="16"/>
  <c r="E23" i="16" s="1"/>
  <c r="D24" i="16"/>
  <c r="F24" i="19" s="1"/>
  <c r="D25" i="16"/>
  <c r="F25" i="19" s="1"/>
  <c r="D26" i="16"/>
  <c r="F26" i="19" s="1"/>
  <c r="D27" i="16"/>
  <c r="E27" i="16" s="1"/>
  <c r="D28" i="16"/>
  <c r="F28" i="19" s="1"/>
  <c r="D29" i="16"/>
  <c r="F29" i="19" s="1"/>
  <c r="D30" i="16"/>
  <c r="F30" i="19" s="1"/>
  <c r="D31" i="16"/>
  <c r="E31" i="16" s="1"/>
  <c r="D32" i="16"/>
  <c r="F32" i="19" s="1"/>
  <c r="D33" i="16"/>
  <c r="F33" i="19" s="1"/>
  <c r="D34" i="16"/>
  <c r="F34" i="19" s="1"/>
  <c r="D35" i="16"/>
  <c r="E35" i="16" s="1"/>
  <c r="D36" i="16"/>
  <c r="E36" i="16" s="1"/>
  <c r="D36" i="19" s="1"/>
  <c r="D37" i="16"/>
  <c r="F37" i="19" s="1"/>
  <c r="D38" i="16"/>
  <c r="F38" i="19" s="1"/>
  <c r="D39" i="16"/>
  <c r="E39" i="16" s="1"/>
  <c r="D40" i="16"/>
  <c r="F40" i="19" s="1"/>
  <c r="D41" i="16"/>
  <c r="F41" i="19" s="1"/>
  <c r="D42" i="16"/>
  <c r="F42" i="19" s="1"/>
  <c r="D43" i="16"/>
  <c r="F43" i="19" s="1"/>
  <c r="D44" i="16"/>
  <c r="E44" i="16" s="1"/>
  <c r="D44" i="19" s="1"/>
  <c r="D45" i="16"/>
  <c r="F45" i="19" s="1"/>
  <c r="D10" i="16"/>
  <c r="F10" i="19" s="1"/>
  <c r="C10" i="17"/>
  <c r="E34" i="16" l="1"/>
  <c r="E12" i="16"/>
  <c r="D12" i="19" s="1"/>
  <c r="E33" i="16"/>
  <c r="E33" i="19" s="1"/>
  <c r="F44" i="19"/>
  <c r="E28" i="16"/>
  <c r="D28" i="19" s="1"/>
  <c r="F36" i="19"/>
  <c r="E26" i="16"/>
  <c r="E25" i="16"/>
  <c r="E25" i="19" s="1"/>
  <c r="F20" i="19"/>
  <c r="E42" i="16"/>
  <c r="E18" i="16"/>
  <c r="E17" i="16"/>
  <c r="E17" i="19" s="1"/>
  <c r="C31" i="19"/>
  <c r="D31" i="19"/>
  <c r="E31" i="19"/>
  <c r="D15" i="19"/>
  <c r="E15" i="19"/>
  <c r="C15" i="19"/>
  <c r="E35" i="19"/>
  <c r="C35" i="19"/>
  <c r="D35" i="19"/>
  <c r="D19" i="19"/>
  <c r="E19" i="19"/>
  <c r="C19" i="19"/>
  <c r="D39" i="19"/>
  <c r="E39" i="19"/>
  <c r="C39" i="19"/>
  <c r="E11" i="19"/>
  <c r="C11" i="19"/>
  <c r="D11" i="19"/>
  <c r="E27" i="19"/>
  <c r="C27" i="19"/>
  <c r="G27" i="19" s="1"/>
  <c r="D27" i="19"/>
  <c r="C23" i="19"/>
  <c r="D23" i="19"/>
  <c r="E23" i="19"/>
  <c r="E43" i="16"/>
  <c r="F27" i="19"/>
  <c r="F19" i="19"/>
  <c r="F11" i="19"/>
  <c r="F35" i="19"/>
  <c r="D33" i="19"/>
  <c r="D17" i="19"/>
  <c r="E41" i="16"/>
  <c r="C44" i="19"/>
  <c r="C36" i="19"/>
  <c r="C20" i="19"/>
  <c r="C12" i="19"/>
  <c r="E40" i="16"/>
  <c r="E32" i="16"/>
  <c r="E24" i="16"/>
  <c r="E16" i="16"/>
  <c r="E44" i="19"/>
  <c r="E36" i="19"/>
  <c r="E20" i="19"/>
  <c r="E12" i="19"/>
  <c r="F39" i="19"/>
  <c r="F31" i="19"/>
  <c r="F23" i="19"/>
  <c r="F15" i="19"/>
  <c r="E10" i="16"/>
  <c r="E38" i="16"/>
  <c r="E30" i="16"/>
  <c r="E22" i="16"/>
  <c r="E14" i="16"/>
  <c r="C33" i="19"/>
  <c r="G33" i="19" s="1"/>
  <c r="C17" i="19"/>
  <c r="G17" i="19" s="1"/>
  <c r="E45" i="16"/>
  <c r="E37" i="16"/>
  <c r="E29" i="16"/>
  <c r="E21" i="16"/>
  <c r="E13" i="16"/>
  <c r="C45" i="21"/>
  <c r="C45" i="18"/>
  <c r="C44" i="18"/>
  <c r="C43" i="18"/>
  <c r="C42" i="18"/>
  <c r="C41" i="18"/>
  <c r="C40" i="18"/>
  <c r="C38" i="18"/>
  <c r="C10" i="18"/>
  <c r="C11" i="17"/>
  <c r="C12" i="17"/>
  <c r="C13" i="17"/>
  <c r="C14" i="17"/>
  <c r="C15" i="17"/>
  <c r="G15" i="17" s="1"/>
  <c r="C16" i="17"/>
  <c r="G16" i="17" s="1"/>
  <c r="C17" i="17"/>
  <c r="G17" i="17" s="1"/>
  <c r="C18" i="17"/>
  <c r="G18" i="17" s="1"/>
  <c r="C19" i="17"/>
  <c r="C20" i="17"/>
  <c r="C21" i="17"/>
  <c r="C22" i="17"/>
  <c r="C23" i="17"/>
  <c r="G23" i="17" s="1"/>
  <c r="C24" i="17"/>
  <c r="G24" i="17" s="1"/>
  <c r="C25" i="17"/>
  <c r="G25" i="17" s="1"/>
  <c r="C26" i="17"/>
  <c r="G26" i="17" s="1"/>
  <c r="C27" i="17"/>
  <c r="C28" i="17"/>
  <c r="C29" i="17"/>
  <c r="C30" i="17"/>
  <c r="C31" i="17"/>
  <c r="G31" i="17" s="1"/>
  <c r="C32" i="17"/>
  <c r="G32" i="17" s="1"/>
  <c r="C33" i="17"/>
  <c r="G33" i="17" s="1"/>
  <c r="C34" i="17"/>
  <c r="G34" i="17" s="1"/>
  <c r="C35" i="17"/>
  <c r="C36" i="17"/>
  <c r="C37" i="17"/>
  <c r="C38" i="17"/>
  <c r="C39" i="17"/>
  <c r="G39" i="17" s="1"/>
  <c r="C40" i="17"/>
  <c r="G40" i="17" s="1"/>
  <c r="C41" i="17"/>
  <c r="G41" i="17" s="1"/>
  <c r="C42" i="17"/>
  <c r="G42" i="17" s="1"/>
  <c r="C43" i="17"/>
  <c r="C44" i="17"/>
  <c r="C45" i="17"/>
  <c r="G10" i="17"/>
  <c r="G11" i="17"/>
  <c r="G12" i="17"/>
  <c r="G13" i="17"/>
  <c r="G14" i="17"/>
  <c r="G19" i="17"/>
  <c r="G20" i="17"/>
  <c r="G21" i="17"/>
  <c r="G22" i="17"/>
  <c r="G27" i="17"/>
  <c r="G28" i="17"/>
  <c r="G29" i="17"/>
  <c r="G30" i="17"/>
  <c r="G35" i="17"/>
  <c r="G36" i="17"/>
  <c r="G37" i="17"/>
  <c r="G38" i="17"/>
  <c r="G43" i="17"/>
  <c r="G44" i="17"/>
  <c r="G45" i="17"/>
  <c r="E10" i="17"/>
  <c r="D2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26" i="19" l="1"/>
  <c r="D26" i="19"/>
  <c r="C26" i="19"/>
  <c r="G26" i="19" s="1"/>
  <c r="D25" i="19"/>
  <c r="E28" i="19"/>
  <c r="G20" i="19"/>
  <c r="G15" i="19"/>
  <c r="C28" i="19"/>
  <c r="G28" i="19" s="1"/>
  <c r="E18" i="19"/>
  <c r="C18" i="19"/>
  <c r="D18" i="19"/>
  <c r="E42" i="19"/>
  <c r="D42" i="19"/>
  <c r="C42" i="19"/>
  <c r="C25" i="19"/>
  <c r="G25" i="19" s="1"/>
  <c r="G44" i="19"/>
  <c r="E34" i="19"/>
  <c r="D34" i="19"/>
  <c r="C34" i="19"/>
  <c r="G34" i="19" s="1"/>
  <c r="D37" i="19"/>
  <c r="E37" i="19"/>
  <c r="C37" i="19"/>
  <c r="D38" i="19"/>
  <c r="E38" i="19"/>
  <c r="C38" i="19"/>
  <c r="D45" i="19"/>
  <c r="E45" i="19"/>
  <c r="C45" i="19"/>
  <c r="C10" i="19"/>
  <c r="E10" i="19"/>
  <c r="D10" i="19"/>
  <c r="G36" i="19"/>
  <c r="G19" i="19"/>
  <c r="G11" i="19"/>
  <c r="D13" i="19"/>
  <c r="E13" i="19"/>
  <c r="C13" i="19"/>
  <c r="G13" i="19" s="1"/>
  <c r="D14" i="19"/>
  <c r="E14" i="19"/>
  <c r="C14" i="19"/>
  <c r="C32" i="19"/>
  <c r="D32" i="19"/>
  <c r="E32" i="19"/>
  <c r="E41" i="19"/>
  <c r="C41" i="19"/>
  <c r="D41" i="19"/>
  <c r="D21" i="19"/>
  <c r="E21" i="19"/>
  <c r="C21" i="19"/>
  <c r="D22" i="19"/>
  <c r="C22" i="19"/>
  <c r="E22" i="19"/>
  <c r="C40" i="19"/>
  <c r="D40" i="19"/>
  <c r="E40" i="19"/>
  <c r="G39" i="19"/>
  <c r="G35" i="19"/>
  <c r="G31" i="19"/>
  <c r="C16" i="19"/>
  <c r="E16" i="19"/>
  <c r="D16" i="19"/>
  <c r="C24" i="19"/>
  <c r="E24" i="19"/>
  <c r="D24" i="19"/>
  <c r="E43" i="19"/>
  <c r="C43" i="19"/>
  <c r="D43" i="19"/>
  <c r="D29" i="19"/>
  <c r="E29" i="19"/>
  <c r="C29" i="19"/>
  <c r="D30" i="19"/>
  <c r="E30" i="19"/>
  <c r="C30" i="19"/>
  <c r="G12" i="19"/>
  <c r="G23" i="19"/>
  <c r="C4" i="15"/>
  <c r="C45" i="14"/>
  <c r="C44" i="14"/>
  <c r="C43" i="14"/>
  <c r="C42" i="14"/>
  <c r="C41" i="14"/>
  <c r="C39" i="14"/>
  <c r="C38" i="14"/>
  <c r="C33" i="14"/>
  <c r="C31" i="14"/>
  <c r="C27" i="14"/>
  <c r="C23" i="14"/>
  <c r="C22" i="14"/>
  <c r="C18" i="14"/>
  <c r="C17" i="14"/>
  <c r="C16" i="14"/>
  <c r="C15" i="14"/>
  <c r="C13" i="14"/>
  <c r="C45" i="13"/>
  <c r="C44" i="13"/>
  <c r="C43" i="13"/>
  <c r="C42" i="13"/>
  <c r="C41" i="13"/>
  <c r="C38" i="13"/>
  <c r="C38" i="11"/>
  <c r="C27" i="11"/>
  <c r="C22" i="11"/>
  <c r="C45" i="11"/>
  <c r="C44" i="11"/>
  <c r="C43" i="11"/>
  <c r="C42" i="11"/>
  <c r="C41" i="11"/>
  <c r="D2" i="18"/>
  <c r="C40" i="1"/>
  <c r="C39" i="1"/>
  <c r="C39" i="18" s="1"/>
  <c r="C37" i="1"/>
  <c r="C37" i="18" s="1"/>
  <c r="C36" i="1"/>
  <c r="C36" i="18" s="1"/>
  <c r="C35" i="1"/>
  <c r="C35" i="18" s="1"/>
  <c r="C34" i="1"/>
  <c r="C34" i="18" s="1"/>
  <c r="C33" i="1"/>
  <c r="C33" i="18" s="1"/>
  <c r="C32" i="1"/>
  <c r="C32" i="18" s="1"/>
  <c r="C31" i="1"/>
  <c r="C31" i="18" s="1"/>
  <c r="C30" i="1"/>
  <c r="C30" i="18" s="1"/>
  <c r="C29" i="1"/>
  <c r="C29" i="18" s="1"/>
  <c r="C28" i="1"/>
  <c r="C28" i="18" s="1"/>
  <c r="C27" i="1"/>
  <c r="C27" i="18" s="1"/>
  <c r="C26" i="1"/>
  <c r="C26" i="18" s="1"/>
  <c r="C25" i="1"/>
  <c r="C25" i="18" s="1"/>
  <c r="C24" i="1"/>
  <c r="C24" i="18" s="1"/>
  <c r="C23" i="1"/>
  <c r="C23" i="18" s="1"/>
  <c r="C22" i="1"/>
  <c r="C22" i="18" s="1"/>
  <c r="C21" i="1"/>
  <c r="C21" i="18" s="1"/>
  <c r="C20" i="1"/>
  <c r="C20" i="18" s="1"/>
  <c r="C19" i="1"/>
  <c r="C19" i="18" s="1"/>
  <c r="C18" i="1"/>
  <c r="C18" i="18" s="1"/>
  <c r="C17" i="1"/>
  <c r="C17" i="18" s="1"/>
  <c r="C16" i="1"/>
  <c r="C16" i="18" s="1"/>
  <c r="C15" i="1"/>
  <c r="C15" i="18" s="1"/>
  <c r="C14" i="1"/>
  <c r="C14" i="18" s="1"/>
  <c r="C13" i="1"/>
  <c r="C13" i="18" s="1"/>
  <c r="C12" i="1"/>
  <c r="C12" i="18" s="1"/>
  <c r="C11" i="1"/>
  <c r="C11" i="18" s="1"/>
  <c r="G29" i="19" l="1"/>
  <c r="G43" i="19"/>
  <c r="G37" i="19"/>
  <c r="G42" i="19"/>
  <c r="G18" i="19"/>
  <c r="G32" i="19"/>
  <c r="G30" i="19"/>
  <c r="G21" i="19"/>
  <c r="G14" i="19"/>
  <c r="G38" i="19"/>
  <c r="G24" i="19"/>
  <c r="G40" i="19"/>
  <c r="G41" i="19"/>
  <c r="G10" i="19"/>
  <c r="G16" i="19"/>
  <c r="G22" i="19"/>
  <c r="G45" i="19"/>
</calcChain>
</file>

<file path=xl/sharedStrings.xml><?xml version="1.0" encoding="utf-8"?>
<sst xmlns="http://schemas.openxmlformats.org/spreadsheetml/2006/main" count="925" uniqueCount="112">
  <si>
    <t>Europäische Union (EU6-1958, EU9-1973, EU10-1981, EU12-1986, EU15-1995, EU25-2004, EU27-2007, EU28-2013, EU27-2020)</t>
  </si>
  <si>
    <t>Europäische Union - 27 Länder (ab 2020)</t>
  </si>
  <si>
    <t>Europäische Union - 28 Länder (2013-2020)</t>
  </si>
  <si>
    <t>Europäische Union - 27 Länder (2007-2013)</t>
  </si>
  <si>
    <t>Euroraum (EA11-1999, EA12-2001, EA13-2007, EA15-2008, EA16-2009, EA17-2011, EA18-2014, EA19-2015)</t>
  </si>
  <si>
    <t>Euroraum - 19 Länder (ab 2015)</t>
  </si>
  <si>
    <t>Euroraum - 18 Länder (2014)</t>
  </si>
  <si>
    <t>Belgien</t>
  </si>
  <si>
    <t>Bulgarien</t>
  </si>
  <si>
    <t>Tschechien</t>
  </si>
  <si>
    <t>Dänemark</t>
  </si>
  <si>
    <t>Deutschland (bis 1990 früheres Gebiet der BRD)</t>
  </si>
  <si>
    <t>Estland</t>
  </si>
  <si>
    <t>Irland</t>
  </si>
  <si>
    <t>Griechenland</t>
  </si>
  <si>
    <t>Spanien</t>
  </si>
  <si>
    <t>Frankreich</t>
  </si>
  <si>
    <t>Kroatien</t>
  </si>
  <si>
    <t>Italien</t>
  </si>
  <si>
    <t>Zypern</t>
  </si>
  <si>
    <t>Lettland</t>
  </si>
  <si>
    <t>Litauen</t>
  </si>
  <si>
    <t>Luxemburg</t>
  </si>
  <si>
    <t>Ungarn</t>
  </si>
  <si>
    <t>Malta</t>
  </si>
  <si>
    <t>Niederlande</t>
  </si>
  <si>
    <t>Österreich</t>
  </si>
  <si>
    <t>Polen</t>
  </si>
  <si>
    <t>Portugal</t>
  </si>
  <si>
    <t>Rumänien</t>
  </si>
  <si>
    <t>Slowenien</t>
  </si>
  <si>
    <t>Slowakei</t>
  </si>
  <si>
    <t>Finnland</t>
  </si>
  <si>
    <t>Schweden</t>
  </si>
  <si>
    <t>Vereinigtes Königreich</t>
  </si>
  <si>
    <t>Island</t>
  </si>
  <si>
    <t>Norwegen</t>
  </si>
  <si>
    <t>Schweiz</t>
  </si>
  <si>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</si>
  <si>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</si>
  <si>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</si>
  <si>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</si>
  <si>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</si>
  <si>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</si>
  <si>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</si>
  <si>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</si>
  <si>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</si>
  <si>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</si>
  <si>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</si>
  <si>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</si>
  <si>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</si>
  <si>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</si>
  <si>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</si>
  <si>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</si>
  <si>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</si>
  <si>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</si>
  <si>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Netherlands</t>
  </si>
  <si>
    <t>Austria</t>
  </si>
  <si>
    <t>Poland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</si>
  <si>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</si>
  <si>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</si>
  <si>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</si>
  <si>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</si>
  <si>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</si>
  <si>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</si>
  <si>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</si>
  <si>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</si>
  <si>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</si>
  <si>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</si>
  <si>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Nordmazedonien</t>
  </si>
  <si>
    <t>Serbien</t>
  </si>
  <si>
    <t>Serbia</t>
  </si>
  <si>
    <t>North Macedonia</t>
  </si>
  <si>
    <t>unit: m^2/H</t>
  </si>
  <si>
    <t>country_en</t>
  </si>
  <si>
    <t>country_de</t>
  </si>
  <si>
    <t>Quelle</t>
  </si>
  <si>
    <t>Albania</t>
  </si>
  <si>
    <t>Bosnia and Herzegovina</t>
  </si>
  <si>
    <t>Albanien</t>
  </si>
  <si>
    <t>Bosnien und Herzegowina</t>
  </si>
  <si>
    <t>https://www.solarify.eu/2019/06/22/900-uba-endenergieverbrauch-und-energieeffizienz-des-verkehrs/#:~:text=Das%20Verkehrswachstum%20im%20G%C3%BCter%2D%20und,kWh.</t>
  </si>
  <si>
    <t>https://www.forschungsinformationssystem.de/servlet/is/219962/</t>
  </si>
  <si>
    <t>https://ec.europa.eu/eurostat/statistics-explained/images/7/75/Inland_freight_transport_performance%2C_adjusted_for_territoriality%2C_2013%2C_2017_and_2018_%28million_tonne-kilometres%29.png</t>
  </si>
  <si>
    <t>https://ec.europa.eu/eurostat/statistics-explained/index.php?title=File:Inland_freight_transport_performance,_adjusted_for_territoriality,_2013,_2017_and_2018_(million_tonne-kilometres).png</t>
  </si>
  <si>
    <t>https://www.bmvi.de/SharedDocs/DE/Publikationen/G/verkehr-in-zahlen-2019-pdf.pdf?__blob=publicationFile</t>
  </si>
  <si>
    <t>Wasserstoffbedarf</t>
  </si>
  <si>
    <t>unit: tkm</t>
  </si>
  <si>
    <t>Länder bei denen keine Daten vorliegen werden EU-Daten zugewiesen</t>
  </si>
  <si>
    <t>*</t>
  </si>
  <si>
    <t>energy consumption 2050</t>
  </si>
  <si>
    <t>flight</t>
  </si>
  <si>
    <t>Railways</t>
  </si>
  <si>
    <t>Roads</t>
  </si>
  <si>
    <t>Ship</t>
  </si>
  <si>
    <t>Gesamt</t>
  </si>
  <si>
    <t>H2</t>
  </si>
  <si>
    <t>elec</t>
  </si>
  <si>
    <t>https://ec.europa.eu/eurostat/databrowser/view/tran_r_avgo_nm/default/table?lang=de</t>
  </si>
  <si>
    <t>flight tsd. Tonnen</t>
  </si>
  <si>
    <t>flight tonnen</t>
  </si>
  <si>
    <t>Anteil flight</t>
  </si>
  <si>
    <t>Energieverbruacher</t>
  </si>
  <si>
    <t>MJ/tkm</t>
  </si>
  <si>
    <t>Waterway</t>
  </si>
  <si>
    <t>Flugzeug</t>
  </si>
  <si>
    <t>Flug</t>
  </si>
  <si>
    <t>Andere</t>
  </si>
  <si>
    <t>PJ</t>
  </si>
  <si>
    <t xml:space="preserve">Zielwert </t>
  </si>
  <si>
    <t>Straßenverkehr</t>
  </si>
  <si>
    <t>Schienenverkehr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</si>
</sst>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NumberFormat="1" applyFont="1" applyFill="1" applyBorder="1" applyAlignment="1"/>
    <xf numFmtId="0" fontId="2" fillId="0" borderId="0" xfId="0" applyFont="1"/>
    <xf numFmtId="0" fontId="3" fillId="2" borderId="1" xfId="0" applyNumberFormat="1" applyFont="1" applyFill="1" applyBorder="1" applyAlignment="1"/>
    <xf numFmtId="0" fontId="0" fillId="0" borderId="0" xfId="0" applyNumberFormat="1"/>
    <xf numFmtId="0" fontId="3" fillId="2" borderId="4" xfId="0" applyNumberFormat="1" applyFont="1" applyFill="1" applyBorder="1" applyAlignment="1"/>
    <xf numFmtId="0" fontId="3" fillId="2" borderId="2" xfId="0" applyNumberFormat="1" applyFont="1" applyFill="1" applyBorder="1" applyAlignment="1"/>
    <xf numFmtId="0" fontId="1" fillId="2" borderId="3" xfId="0" applyNumberFormat="1" applyFont="1" applyFill="1" applyBorder="1" applyAlignment="1"/>
    <xf numFmtId="0" fontId="1" fillId="2" borderId="4" xfId="0" applyNumberFormat="1" applyFont="1" applyFill="1" applyBorder="1" applyAlignment="1"/>
    <xf numFmtId="0" fontId="1" fillId="0" borderId="2" xfId="0" applyNumberFormat="1" applyFont="1" applyFill="1" applyBorder="1" applyAlignment="1"/>
    <xf numFmtId="0" fontId="0" fillId="0" borderId="0" xfId="0" applyAlignment="1">
      <alignment vertical="center" readingOrder="1"/>
    </xf>
    <xf numFmtId="0" fontId="1" fillId="0" borderId="5" xfId="0" applyNumberFormat="1" applyFont="1" applyFill="1" applyBorder="1" applyAlignment="1"/>
    <xf numFmtId="0" fontId="4" fillId="2" borderId="1" xfId="0" applyNumberFormat="1" applyFont="1" applyFill="1" applyBorder="1" applyAlignment="1"/>
    <xf numFmtId="0" fontId="1" fillId="2" borderId="6" xfId="0" applyNumberFormat="1" applyFont="1" applyFill="1" applyBorder="1" applyAlignment="1"/>
    <xf numFmtId="0" fontId="4" fillId="2" borderId="3" xfId="0" applyNumberFormat="1" applyFont="1" applyFill="1" applyBorder="1" applyAlignment="1"/>
    <xf numFmtId="164" fontId="4" fillId="0" borderId="2" xfId="0" applyNumberFormat="1" applyFont="1" applyFill="1" applyBorder="1" applyAlignment="1"/>
    <xf numFmtId="164" fontId="0" fillId="0" borderId="0" xfId="0" applyNumberFormat="1"/>
    <xf numFmtId="0" fontId="1" fillId="2" borderId="2" xfId="0" applyNumberFormat="1" applyFont="1" applyFill="1" applyBorder="1" applyAlignment="1"/>
    <xf numFmtId="0" fontId="1" fillId="2" borderId="7" xfId="0" applyNumberFormat="1" applyFont="1" applyFill="1" applyBorder="1" applyAlignmen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7741163411843"/>
          <c:y val="0.20643507502458283"/>
          <c:w val="0.87722258836588163"/>
          <c:h val="0.49255233705891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production_volume_his!$P$9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production_volume_his!$O$10:$O$45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production_volume_his!$P$10:$P$45</c:f>
              <c:numCache>
                <c:formatCode>General</c:formatCode>
                <c:ptCount val="36"/>
                <c:pt idx="0">
                  <c:v>18088555.761019602</c:v>
                </c:pt>
                <c:pt idx="1">
                  <c:v>3542956.372</c:v>
                </c:pt>
                <c:pt idx="2">
                  <c:v>9981085.847000001</c:v>
                </c:pt>
                <c:pt idx="3">
                  <c:v>2786996.361333333</c:v>
                </c:pt>
                <c:pt idx="4">
                  <c:v>104551922.3823529</c:v>
                </c:pt>
                <c:pt idx="5">
                  <c:v>693231.06883333332</c:v>
                </c:pt>
                <c:pt idx="6">
                  <c:v>3247464.16</c:v>
                </c:pt>
                <c:pt idx="7">
                  <c:v>20685861.695266671</c:v>
                </c:pt>
                <c:pt idx="8">
                  <c:v>39656658.482941173</c:v>
                </c:pt>
                <c:pt idx="9">
                  <c:v>44669406.18588236</c:v>
                </c:pt>
                <c:pt idx="10">
                  <c:v>3342281.037</c:v>
                </c:pt>
                <c:pt idx="11">
                  <c:v>59102480.529411763</c:v>
                </c:pt>
                <c:pt idx="12">
                  <c:v>1025281.509</c:v>
                </c:pt>
                <c:pt idx="13">
                  <c:v>1271925.4856005879</c:v>
                </c:pt>
                <c:pt idx="14">
                  <c:v>1305323.7650000001</c:v>
                </c:pt>
                <c:pt idx="15">
                  <c:v>3636144.9019999998</c:v>
                </c:pt>
                <c:pt idx="16">
                  <c:v>5695019.5243333327</c:v>
                </c:pt>
                <c:pt idx="17">
                  <c:v>0</c:v>
                </c:pt>
                <c:pt idx="18">
                  <c:v>12183888.088</c:v>
                </c:pt>
                <c:pt idx="19">
                  <c:v>16483740.878</c:v>
                </c:pt>
                <c:pt idx="20">
                  <c:v>33490591.189999998</c:v>
                </c:pt>
                <c:pt idx="21">
                  <c:v>10428737.226</c:v>
                </c:pt>
                <c:pt idx="22">
                  <c:v>13063616.12633333</c:v>
                </c:pt>
                <c:pt idx="23">
                  <c:v>2631003.2516000001</c:v>
                </c:pt>
                <c:pt idx="24">
                  <c:v>10533034.6537451</c:v>
                </c:pt>
                <c:pt idx="25">
                  <c:v>16440415.849745099</c:v>
                </c:pt>
                <c:pt idx="26">
                  <c:v>18513492.193333331</c:v>
                </c:pt>
                <c:pt idx="27">
                  <c:v>25188077.122941181</c:v>
                </c:pt>
                <c:pt idx="28">
                  <c:v>1092706.9728999999</c:v>
                </c:pt>
                <c:pt idx="29">
                  <c:v>4957383.5529999994</c:v>
                </c:pt>
                <c:pt idx="30">
                  <c:v>7431192.8989999993</c:v>
                </c:pt>
                <c:pt idx="31">
                  <c:v>170000</c:v>
                </c:pt>
                <c:pt idx="32">
                  <c:v>1203108.4151000001</c:v>
                </c:pt>
                <c:pt idx="33">
                  <c:v>3953864.6340000001</c:v>
                </c:pt>
                <c:pt idx="34">
                  <c:v>1933802.5190000001</c:v>
                </c:pt>
                <c:pt idx="35">
                  <c:v>1628311.2627999999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2-4A1A-886D-7820EB455947}"/>
            </c:ext>
          </c:extLst>
        </c:ser>
        <c:ser>
          <c:idx val="1"/>
          <c:order val="1"/>
          <c:tx>
            <c:strRef>
              <c:f>production_volume_his!$Q$9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production_volume_his!$O$10:$O$45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production_volume_his!$Q$10:$Q$45</c:f>
              <c:numCache>
                <c:formatCode>General</c:formatCode>
                <c:ptCount val="36"/>
                <c:pt idx="0">
                  <c:v>18676018.36104374</c:v>
                </c:pt>
                <c:pt idx="1">
                  <c:v>3168070.3394193929</c:v>
                </c:pt>
                <c:pt idx="2">
                  <c:v>8366353.725753488</c:v>
                </c:pt>
                <c:pt idx="3">
                  <c:v>2829458.0420706179</c:v>
                </c:pt>
                <c:pt idx="4">
                  <c:v>113663714.4740715</c:v>
                </c:pt>
                <c:pt idx="5">
                  <c:v>1041855.611117443</c:v>
                </c:pt>
                <c:pt idx="6">
                  <c:v>4455107.803043697</c:v>
                </c:pt>
                <c:pt idx="7">
                  <c:v>22490371.901490372</c:v>
                </c:pt>
                <c:pt idx="8">
                  <c:v>81032277.495443851</c:v>
                </c:pt>
                <c:pt idx="9">
                  <c:v>37425830.084576093</c:v>
                </c:pt>
                <c:pt idx="10">
                  <c:v>5384944.8334650453</c:v>
                </c:pt>
                <c:pt idx="11">
                  <c:v>86883470.865068793</c:v>
                </c:pt>
                <c:pt idx="12">
                  <c:v>0</c:v>
                </c:pt>
                <c:pt idx="13">
                  <c:v>1923315.669203029</c:v>
                </c:pt>
                <c:pt idx="14">
                  <c:v>1029005.164873556</c:v>
                </c:pt>
                <c:pt idx="15">
                  <c:v>0</c:v>
                </c:pt>
                <c:pt idx="16">
                  <c:v>4339188.8818211947</c:v>
                </c:pt>
                <c:pt idx="17">
                  <c:v>0</c:v>
                </c:pt>
                <c:pt idx="18">
                  <c:v>12994608.754077191</c:v>
                </c:pt>
                <c:pt idx="19">
                  <c:v>21146772.84506616</c:v>
                </c:pt>
                <c:pt idx="20">
                  <c:v>35417067.968210123</c:v>
                </c:pt>
                <c:pt idx="21">
                  <c:v>21333676.351856489</c:v>
                </c:pt>
                <c:pt idx="22">
                  <c:v>8639836.6110029221</c:v>
                </c:pt>
                <c:pt idx="23">
                  <c:v>3281220.406912501</c:v>
                </c:pt>
                <c:pt idx="24">
                  <c:v>9812124.1929280944</c:v>
                </c:pt>
                <c:pt idx="25">
                  <c:v>13040738.09602966</c:v>
                </c:pt>
                <c:pt idx="26">
                  <c:v>18945335.67829524</c:v>
                </c:pt>
                <c:pt idx="27">
                  <c:v>8011274.3531157412</c:v>
                </c:pt>
                <c:pt idx="28">
                  <c:v>1891003.185691365</c:v>
                </c:pt>
                <c:pt idx="29">
                  <c:v>3882279.490127983</c:v>
                </c:pt>
                <c:pt idx="30">
                  <c:v>7043422.9324382246</c:v>
                </c:pt>
                <c:pt idx="31">
                  <c:v>164049.9686751808</c:v>
                </c:pt>
                <c:pt idx="32">
                  <c:v>1484984.6131009921</c:v>
                </c:pt>
                <c:pt idx="33">
                  <c:v>4302209.681965081</c:v>
                </c:pt>
                <c:pt idx="34">
                  <c:v>2553230.0972195342</c:v>
                </c:pt>
                <c:pt idx="35">
                  <c:v>1426050.8914404041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2-4A1A-886D-7820EB45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97199"/>
        <c:axId val="116487631"/>
      </c:barChart>
      <c:catAx>
        <c:axId val="1164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87631"/>
        <c:crosses val="autoZero"/>
        <c:auto val="1"/>
        <c:lblAlgn val="ctr"/>
        <c:lblOffset val="100"/>
        <c:noMultiLvlLbl val="0"/>
      </c:catAx>
      <c:valAx>
        <c:axId val="1164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productionvolume_2050!$C$9</c:f>
              <c:strCache>
                <c:ptCount val="1"/>
                <c:pt idx="0">
                  <c:v>Gesamt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productionvolume_2050!$B$10:$B$45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productionvolume_2050!$C$10:$C$45</c:f>
              <c:numCache>
                <c:formatCode>General</c:formatCode>
                <c:ptCount val="36"/>
                <c:pt idx="0">
                  <c:v>19430376.903430559</c:v>
                </c:pt>
                <c:pt idx="1">
                  <c:v>4031986.393935001</c:v>
                </c:pt>
                <c:pt idx="2">
                  <c:v>9938811.3804385532</c:v>
                </c:pt>
                <c:pt idx="3">
                  <c:v>2813259.6984521071</c:v>
                </c:pt>
                <c:pt idx="4">
                  <c:v>109854541.9442125</c:v>
                </c:pt>
                <c:pt idx="5">
                  <c:v>896932.71257665067</c:v>
                </c:pt>
                <c:pt idx="6">
                  <c:v>3700882.6061534882</c:v>
                </c:pt>
                <c:pt idx="7">
                  <c:v>19074651.958273299</c:v>
                </c:pt>
                <c:pt idx="8">
                  <c:v>69085368.340896741</c:v>
                </c:pt>
                <c:pt idx="9">
                  <c:v>44425954.950384907</c:v>
                </c:pt>
                <c:pt idx="10">
                  <c:v>4587614.4775018143</c:v>
                </c:pt>
                <c:pt idx="11">
                  <c:v>81706593.347704247</c:v>
                </c:pt>
                <c:pt idx="12">
                  <c:v>0</c:v>
                </c:pt>
                <c:pt idx="13">
                  <c:v>1512528.305110276</c:v>
                </c:pt>
                <c:pt idx="14">
                  <c:v>1130376.7887177379</c:v>
                </c:pt>
                <c:pt idx="15">
                  <c:v>0</c:v>
                </c:pt>
                <c:pt idx="16">
                  <c:v>5010685.8358674422</c:v>
                </c:pt>
                <c:pt idx="17">
                  <c:v>0</c:v>
                </c:pt>
                <c:pt idx="18">
                  <c:v>12828516.24169072</c:v>
                </c:pt>
                <c:pt idx="19">
                  <c:v>18726818.414100021</c:v>
                </c:pt>
                <c:pt idx="20">
                  <c:v>33414283.05270594</c:v>
                </c:pt>
                <c:pt idx="21">
                  <c:v>17123194.925558321</c:v>
                </c:pt>
                <c:pt idx="22">
                  <c:v>11489600.17325644</c:v>
                </c:pt>
                <c:pt idx="23">
                  <c:v>2983615.5759202582</c:v>
                </c:pt>
                <c:pt idx="24">
                  <c:v>9629379.6877591517</c:v>
                </c:pt>
                <c:pt idx="25">
                  <c:v>14979328.02293884</c:v>
                </c:pt>
                <c:pt idx="26">
                  <c:v>18811679.143442672</c:v>
                </c:pt>
                <c:pt idx="27">
                  <c:v>16738166.40123284</c:v>
                </c:pt>
                <c:pt idx="28">
                  <c:v>1317533.3718553139</c:v>
                </c:pt>
                <c:pt idx="29">
                  <c:v>3793204.4640976391</c:v>
                </c:pt>
                <c:pt idx="30">
                  <c:v>7053957.1244035978</c:v>
                </c:pt>
                <c:pt idx="31">
                  <c:v>177896.9553782781</c:v>
                </c:pt>
                <c:pt idx="32">
                  <c:v>1262972.767513847</c:v>
                </c:pt>
                <c:pt idx="33">
                  <c:v>3854906.6483977521</c:v>
                </c:pt>
                <c:pt idx="34">
                  <c:v>1987556.3468579911</c:v>
                </c:pt>
                <c:pt idx="35">
                  <c:v>1469967.821551068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C-4E6B-AA84-A1673F2038AA}"/>
            </c:ext>
          </c:extLst>
        </c:ser>
        <c:ser>
          <c:idx val="1"/>
          <c:order val="1"/>
          <c:tx>
            <c:strRef>
              <c:f>productionvolume_2050!$D$9</c:f>
              <c:strCache>
                <c:ptCount val="1"/>
                <c:pt idx="0">
                  <c:v>Flug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productionvolume_2050!$B$10:$B$45</c:f>
              <c:strCache>
                <c:ptCount val="36"/>
                <c:pt idx="0">
                  <c:v>Belgium</c:v>
                </c:pt>
                <c:pt idx="1">
                  <c:v>Bulgaria</c:v>
                </c:pt>
                <c:pt idx="2">
                  <c:v>Czechia</c:v>
                </c:pt>
                <c:pt idx="3">
                  <c:v>Denmark</c:v>
                </c:pt>
                <c:pt idx="4">
                  <c:v>Germany</c:v>
                </c:pt>
                <c:pt idx="5">
                  <c:v>Estonia</c:v>
                </c:pt>
                <c:pt idx="6">
                  <c:v>Ireland</c:v>
                </c:pt>
                <c:pt idx="7">
                  <c:v>Greece</c:v>
                </c:pt>
                <c:pt idx="8">
                  <c:v>Spain</c:v>
                </c:pt>
                <c:pt idx="9">
                  <c:v>France</c:v>
                </c:pt>
                <c:pt idx="10">
                  <c:v>Croatia</c:v>
                </c:pt>
                <c:pt idx="11">
                  <c:v>Italy</c:v>
                </c:pt>
                <c:pt idx="12">
                  <c:v>Cyprus</c:v>
                </c:pt>
                <c:pt idx="13">
                  <c:v>Latvia</c:v>
                </c:pt>
                <c:pt idx="14">
                  <c:v>Lithuania</c:v>
                </c:pt>
                <c:pt idx="15">
                  <c:v>Luxembourg</c:v>
                </c:pt>
                <c:pt idx="16">
                  <c:v>Hungary</c:v>
                </c:pt>
                <c:pt idx="17">
                  <c:v>Malta</c:v>
                </c:pt>
                <c:pt idx="18">
                  <c:v>Netherlands</c:v>
                </c:pt>
                <c:pt idx="19">
                  <c:v>Austria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Slovenia</c:v>
                </c:pt>
                <c:pt idx="24">
                  <c:v>Slovakia</c:v>
                </c:pt>
                <c:pt idx="25">
                  <c:v>Finland</c:v>
                </c:pt>
                <c:pt idx="26">
                  <c:v>Sweden</c:v>
                </c:pt>
                <c:pt idx="27">
                  <c:v>United Kingdom</c:v>
                </c:pt>
                <c:pt idx="28">
                  <c:v>Iceland</c:v>
                </c:pt>
                <c:pt idx="29">
                  <c:v>Norway</c:v>
                </c:pt>
                <c:pt idx="30">
                  <c:v>Switzerland</c:v>
                </c:pt>
                <c:pt idx="31">
                  <c:v>Montenegro</c:v>
                </c:pt>
                <c:pt idx="32">
                  <c:v>North Macedonia</c:v>
                </c:pt>
                <c:pt idx="33">
                  <c:v>Serbia</c:v>
                </c:pt>
                <c:pt idx="34">
                  <c:v>Albania</c:v>
                </c:pt>
                <c:pt idx="35">
                  <c:v>Bosnia and Herzegovina</c:v>
                </c:pt>
              </c:strCache>
            </c:strRef>
          </c:cat>
          <c:val>
            <c:numRef>
              <c:f>productionvolume_2050!$D$10:$D$45</c:f>
              <c:numCache>
                <c:formatCode>General</c:formatCode>
                <c:ptCount val="36"/>
                <c:pt idx="0">
                  <c:v>1521039.8253324574</c:v>
                </c:pt>
                <c:pt idx="1">
                  <c:v>34140.864046194365</c:v>
                </c:pt>
                <c:pt idx="2">
                  <c:v>90614.573352432591</c:v>
                </c:pt>
                <c:pt idx="3">
                  <c:v>244280.49367804083</c:v>
                </c:pt>
                <c:pt idx="4">
                  <c:v>5085473.0443457849</c:v>
                </c:pt>
                <c:pt idx="5">
                  <c:v>14232.281676220149</c:v>
                </c:pt>
                <c:pt idx="6">
                  <c:v>177781.08028756324</c:v>
                </c:pt>
                <c:pt idx="7">
                  <c:v>89444.726413107623</c:v>
                </c:pt>
                <c:pt idx="8">
                  <c:v>1405864.5983772455</c:v>
                </c:pt>
                <c:pt idx="9">
                  <c:v>2445598.2864066497</c:v>
                </c:pt>
                <c:pt idx="10">
                  <c:v>16471.198298583342</c:v>
                </c:pt>
                <c:pt idx="11">
                  <c:v>1458491.3392751964</c:v>
                </c:pt>
                <c:pt idx="12">
                  <c:v>0</c:v>
                </c:pt>
                <c:pt idx="13">
                  <c:v>29729.10603320599</c:v>
                </c:pt>
                <c:pt idx="14">
                  <c:v>14721.562514570121</c:v>
                </c:pt>
                <c:pt idx="15">
                  <c:v>0</c:v>
                </c:pt>
                <c:pt idx="16">
                  <c:v>88863.482778288468</c:v>
                </c:pt>
                <c:pt idx="17">
                  <c:v>0</c:v>
                </c:pt>
                <c:pt idx="18">
                  <c:v>1937351.1734697514</c:v>
                </c:pt>
                <c:pt idx="19">
                  <c:v>270386.60796374868</c:v>
                </c:pt>
                <c:pt idx="20">
                  <c:v>134692.40320434314</c:v>
                </c:pt>
                <c:pt idx="21">
                  <c:v>284052.86833157664</c:v>
                </c:pt>
                <c:pt idx="22">
                  <c:v>39578.01597938253</c:v>
                </c:pt>
                <c:pt idx="23">
                  <c:v>13608.264029803033</c:v>
                </c:pt>
                <c:pt idx="24">
                  <c:v>22855.18847205006</c:v>
                </c:pt>
                <c:pt idx="25">
                  <c:v>179492.27364371714</c:v>
                </c:pt>
                <c:pt idx="26">
                  <c:v>161560.92824477804</c:v>
                </c:pt>
                <c:pt idx="27">
                  <c:v>1821469.4945487741</c:v>
                </c:pt>
                <c:pt idx="28">
                  <c:v>67522.099385971247</c:v>
                </c:pt>
                <c:pt idx="29">
                  <c:v>133903.4541346668</c:v>
                </c:pt>
                <c:pt idx="30">
                  <c:v>409120.79149863974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C-4E6B-AA84-A1673F203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455183"/>
        <c:axId val="116438543"/>
      </c:barChart>
      <c:catAx>
        <c:axId val="1164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38543"/>
        <c:crosses val="autoZero"/>
        <c:auto val="1"/>
        <c:lblAlgn val="ctr"/>
        <c:lblOffset val="100"/>
        <c:noMultiLvlLbl val="0"/>
      </c:catAx>
      <c:valAx>
        <c:axId val="1164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211667</xdr:colOff>
      <xdr:row>1</xdr:row>
      <xdr:rowOff>134080</xdr:rowOff>
    </xdr:from>
    <xdr:to>
      <xdr:col>17</xdr:col>
      <xdr:colOff>744533</xdr:colOff>
      <xdr:row>29</xdr:row>
      <xdr:rowOff>155678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1807" y="316960"/>
          <a:ext cx="9250146" cy="5142238"/>
        </a:xfrm>
        <a:prstGeom prst="rect">
          <a:avLst/>
        </a:prstGeom>
      </xdr:spPr>
    </xdr:pic>
    <xdr:clientData/>
  </xdr:twoCellAnchor>
  <xdr:twoCellAnchor editAs="oneCell">
    <xdr:from>
      <xdr:col>5</xdr:col>
      <xdr:colOff>592666</xdr:colOff>
      <xdr:row>6</xdr:row>
      <xdr:rowOff>169334</xdr:rowOff>
    </xdr:from>
    <xdr:to>
      <xdr:col>19</xdr:col>
      <xdr:colOff>271701</xdr:colOff>
      <xdr:row>48</xdr:row>
      <xdr:rowOff>4269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1333" y="1286934"/>
          <a:ext cx="10821168" cy="7658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338667</xdr:colOff>
      <xdr:row>0</xdr:row>
      <xdr:rowOff>134080</xdr:rowOff>
    </xdr:from>
    <xdr:to>
      <xdr:col>21</xdr:col>
      <xdr:colOff>75667</xdr:colOff>
      <xdr:row>28</xdr:row>
      <xdr:rowOff>155677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0800" y="134080"/>
          <a:ext cx="9287400" cy="5237064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380999</xdr:colOff>
      <xdr:row>13</xdr:row>
      <xdr:rowOff>68695</xdr:rowOff>
    </xdr:from>
    <xdr:to>
      <xdr:col>20</xdr:col>
      <xdr:colOff>687619</xdr:colOff>
      <xdr:row>47</xdr:row>
      <xdr:rowOff>148203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3132" y="2490162"/>
          <a:ext cx="9061154" cy="6412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7</xdr:row>
      <xdr:rowOff>144780</xdr:rowOff>
    </xdr:from>
    <xdr:to>
      <xdr:col>12</xdr:col>
      <xdr:colOff>312420</xdr:colOff>
      <xdr:row>36</xdr:row>
      <xdr:rowOff>30480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16</xdr:row>
      <xdr:rowOff>110490</xdr:rowOff>
    </xdr:from>
    <xdr:to>
      <xdr:col>15</xdr:col>
      <xdr:colOff>739140</xdr:colOff>
      <xdr:row>37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498588</xdr:colOff>
      <xdr:row>3</xdr:row>
      <xdr:rowOff>137160</xdr:rowOff>
    </xdr:from>
    <xdr:to>
      <xdr:col>13</xdr:col>
      <xdr:colOff>36675</xdr:colOff>
      <xdr:row>23</xdr:row>
      <xdr:rowOff>175260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3548" y="685800"/>
          <a:ext cx="8255367" cy="3695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133350</xdr:rowOff>
    </xdr:from>
    <xdr:to>
      <xdr:col>11</xdr:col>
      <xdr:colOff>684745</xdr:colOff>
      <xdr:row>22</xdr:row>
      <xdr:rowOff>37588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133350"/>
          <a:ext cx="8438095" cy="40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769620</xdr:colOff>
      <xdr:row>55</xdr:row>
      <xdr:rowOff>22860</xdr:rowOff>
    </xdr:from>
    <xdr:to>
      <xdr:col>19</xdr:col>
      <xdr:colOff>151586</xdr:colOff>
      <xdr:row>77</xdr:row>
      <xdr:rowOff>170929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1940" y="10081260"/>
          <a:ext cx="6514286" cy="41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252537</xdr:colOff>
      <xdr:row>31</xdr:row>
      <xdr:rowOff>90363</xdr:rowOff>
    </xdr:from>
    <xdr:to>
      <xdr:col>14</xdr:col>
      <xdr:colOff>480346</xdr:colOff>
      <xdr:row>54</xdr:row>
      <xdr:rowOff>42196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5819775" y="5000625"/>
          <a:ext cx="4333333" cy="6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18</xdr:row>
      <xdr:rowOff>95250</xdr:rowOff>
    </xdr:from>
    <xdr:to>
      <xdr:col>9</xdr:col>
      <xdr:colOff>742950</xdr:colOff>
      <xdr:row>32</xdr:row>
      <xdr:rowOff>180549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50" y="3524250"/>
          <a:ext cx="6286500" cy="2752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90" zoomScaleNormal="90" workbookViewId="0">
      <selection activeCell="F52" sqref="F52"/>
    </sheetView>
  </sheetViews>
  <sheetFormatPr baseColWidth="10" defaultRowHeight="14.4" x14ac:dyDescent="0.3"/>
  <cols>
    <col min="3" max="3" width="12.33203125" bestFit="1" customWidth="1"/>
    <col min="4" max="4" width="13.33203125" bestFit="1" customWidth="1"/>
  </cols>
  <sheetData>
    <row r="1" spans="1:21" x14ac:dyDescent="0.3">
      <c r="A1" t="s">
        <v>75</v>
      </c>
      <c r="B1" t="s">
        <v>74</v>
      </c>
    </row>
    <row r="2" spans="1:21" x14ac:dyDescent="0.3">
      <c r="A2" s="1" t="s">
        <v>38</v>
      </c>
      <c r="B2" s="1" t="s">
        <v>87</v>
      </c>
      <c r="C2" s="8">
        <v>2018</v>
      </c>
      <c r="D2">
        <f>10^6</f>
        <v>1000000</v>
      </c>
      <c r="E2" t="s">
        <v>76</v>
      </c>
    </row>
    <row r="3" spans="1:21" x14ac:dyDescent="0.3">
      <c r="A3" s="1" t="s">
        <v>0</v>
      </c>
      <c r="B3" s="7"/>
      <c r="C3" s="9"/>
    </row>
    <row r="4" spans="1:21" x14ac:dyDescent="0.3">
      <c r="A4" s="1" t="s">
        <v>1</v>
      </c>
      <c r="B4" s="7"/>
      <c r="C4" s="9"/>
    </row>
    <row r="5" spans="1:21" x14ac:dyDescent="0.3">
      <c r="A5" s="1" t="s">
        <v>2</v>
      </c>
      <c r="B5" s="7"/>
      <c r="C5" s="9"/>
    </row>
    <row r="6" spans="1:21" x14ac:dyDescent="0.3">
      <c r="A6" s="1" t="s">
        <v>3</v>
      </c>
      <c r="B6" s="7"/>
      <c r="C6" s="9"/>
    </row>
    <row r="7" spans="1:21" x14ac:dyDescent="0.3">
      <c r="A7" s="1" t="s">
        <v>4</v>
      </c>
      <c r="B7" s="7"/>
      <c r="C7" s="9"/>
    </row>
    <row r="8" spans="1:21" x14ac:dyDescent="0.3">
      <c r="A8" s="1" t="s">
        <v>5</v>
      </c>
      <c r="B8" s="7"/>
      <c r="C8" s="9"/>
    </row>
    <row r="9" spans="1:21" x14ac:dyDescent="0.3">
      <c r="A9" s="1" t="s">
        <v>6</v>
      </c>
      <c r="B9" s="7"/>
      <c r="C9" s="9"/>
    </row>
    <row r="10" spans="1:21" x14ac:dyDescent="0.3">
      <c r="A10" s="1" t="s">
        <v>7</v>
      </c>
      <c r="B10" s="7" t="s">
        <v>39</v>
      </c>
      <c r="C10" s="9">
        <f>Tonnenkm_transportperformance!C10/(production_volume_his!C10-(production_volume_his!G10/100)*production_volume_his!C10)</f>
        <v>0</v>
      </c>
    </row>
    <row r="11" spans="1:21" x14ac:dyDescent="0.3">
      <c r="A11" s="1" t="s">
        <v>8</v>
      </c>
      <c r="B11" s="7" t="s">
        <v>40</v>
      </c>
      <c r="C11" s="9">
        <f>Tonnenkm_transportperformance!C11/(production_volume_his!C11-(production_volume_his!G11/100)*production_volume_his!C11)</f>
        <v>5643.6795395533591</v>
      </c>
    </row>
    <row r="12" spans="1:21" x14ac:dyDescent="0.3">
      <c r="A12" s="1" t="s">
        <v>9</v>
      </c>
      <c r="B12" s="7" t="s">
        <v>41</v>
      </c>
      <c r="C12" s="9">
        <f>Tonnenkm_transportperformance!C12/(production_volume_his!C12-(production_volume_his!G12/100)*production_volume_his!C12)</f>
        <v>6070.6247578439243</v>
      </c>
    </row>
    <row r="13" spans="1:21" x14ac:dyDescent="0.3">
      <c r="A13" s="1" t="s">
        <v>10</v>
      </c>
      <c r="B13" s="7" t="s">
        <v>42</v>
      </c>
      <c r="C13" s="9">
        <f>Tonnenkm_transportperformance!C13/(production_volume_his!C13-(production_volume_his!G13/100)*production_volume_his!C13)</f>
        <v>8604.3345022810008</v>
      </c>
      <c r="J13" s="2"/>
    </row>
    <row r="14" spans="1:21" x14ac:dyDescent="0.3">
      <c r="A14" s="1" t="s">
        <v>11</v>
      </c>
      <c r="B14" s="7" t="s">
        <v>43</v>
      </c>
      <c r="C14" s="9">
        <f>Tonnenkm_transportperformance!C14/(production_volume_his!C14-(production_volume_his!G14/100)*production_volume_his!C14)</f>
        <v>6318.9033462212165</v>
      </c>
    </row>
    <row r="15" spans="1:21" x14ac:dyDescent="0.3">
      <c r="A15" s="1" t="s">
        <v>12</v>
      </c>
      <c r="B15" s="7" t="s">
        <v>44</v>
      </c>
      <c r="C15" s="9">
        <f>Tonnenkm_transportperformance!C15/(production_volume_his!C15-(production_volume_his!G15/100)*production_volume_his!C15)</f>
        <v>8211.2941727790894</v>
      </c>
    </row>
    <row r="16" spans="1:21" x14ac:dyDescent="0.3">
      <c r="A16" s="1" t="s">
        <v>13</v>
      </c>
      <c r="B16" s="7" t="s">
        <v>45</v>
      </c>
      <c r="C16" s="9">
        <f>Tonnenkm_transportperformance!C16/(production_volume_his!C16-(production_volume_his!G16/100)*production_volume_his!C16)</f>
        <v>3529.7190700732558</v>
      </c>
      <c r="P16" s="4"/>
      <c r="S16">
        <v>2030</v>
      </c>
      <c r="T16">
        <v>2040</v>
      </c>
      <c r="U16">
        <v>2050</v>
      </c>
    </row>
    <row r="17" spans="1:21" x14ac:dyDescent="0.3">
      <c r="A17" s="1" t="s">
        <v>14</v>
      </c>
      <c r="B17" s="7" t="s">
        <v>46</v>
      </c>
      <c r="C17" s="9">
        <f>Tonnenkm_transportperformance!C17/(production_volume_his!C17-(production_volume_his!G17/100)*production_volume_his!C17)</f>
        <v>961.05361689563358</v>
      </c>
      <c r="S17">
        <v>94.315545243619482</v>
      </c>
      <c r="T17">
        <v>97.146171693735496</v>
      </c>
      <c r="U17">
        <v>99.578454332552681</v>
      </c>
    </row>
    <row r="18" spans="1:21" x14ac:dyDescent="0.3">
      <c r="A18" s="1" t="s">
        <v>15</v>
      </c>
      <c r="B18" s="7" t="s">
        <v>47</v>
      </c>
      <c r="C18" s="9">
        <f>Tonnenkm_transportperformance!C18/(production_volume_his!C18-(production_volume_his!G18/100)*production_volume_his!C18)</f>
        <v>5515.8786040318582</v>
      </c>
    </row>
    <row r="19" spans="1:21" x14ac:dyDescent="0.3">
      <c r="A19" s="1" t="s">
        <v>16</v>
      </c>
      <c r="B19" s="7" t="s">
        <v>48</v>
      </c>
      <c r="C19" s="9">
        <f>Tonnenkm_transportperformance!C19/(production_volume_his!C19-(production_volume_his!G19/100)*production_volume_his!C19)</f>
        <v>7644.8446996448747</v>
      </c>
    </row>
    <row r="20" spans="1:21" x14ac:dyDescent="0.3">
      <c r="A20" s="1" t="s">
        <v>17</v>
      </c>
      <c r="B20" s="7" t="s">
        <v>49</v>
      </c>
      <c r="C20" s="9">
        <f>Tonnenkm_transportperformance!C20/(production_volume_his!C20-(production_volume_his!G20/100)*production_volume_his!C20)</f>
        <v>3886.1585122132742</v>
      </c>
    </row>
    <row r="21" spans="1:21" x14ac:dyDescent="0.3">
      <c r="A21" s="1" t="s">
        <v>18</v>
      </c>
      <c r="B21" s="7" t="s">
        <v>50</v>
      </c>
      <c r="C21" s="9">
        <f>Tonnenkm_transportperformance!C21/(production_volume_his!C21-(production_volume_his!G21/100)*production_volume_his!C21)</f>
        <v>2897.9380063664698</v>
      </c>
    </row>
    <row r="22" spans="1:21" x14ac:dyDescent="0.3">
      <c r="A22" s="1" t="s">
        <v>19</v>
      </c>
      <c r="B22" s="7" t="s">
        <v>51</v>
      </c>
      <c r="C22" s="9">
        <f>Tonnenkm_transportperformance!C22/(production_volume_his!C22-(production_volume_his!G22/100)*production_volume_his!C22)</f>
        <v>870.8508032842077</v>
      </c>
    </row>
    <row r="23" spans="1:21" x14ac:dyDescent="0.3">
      <c r="A23" s="1" t="s">
        <v>20</v>
      </c>
      <c r="B23" s="7" t="s">
        <v>52</v>
      </c>
      <c r="C23" s="9">
        <f>Tonnenkm_transportperformance!C23/(production_volume_his!C23-(production_volume_his!G23/100)*production_volume_his!C23)</f>
        <v>18883.24544803008</v>
      </c>
    </row>
    <row r="24" spans="1:21" x14ac:dyDescent="0.3">
      <c r="A24" s="1" t="s">
        <v>21</v>
      </c>
      <c r="B24" s="7" t="s">
        <v>53</v>
      </c>
      <c r="C24" s="9">
        <f>Tonnenkm_transportperformance!C24/(production_volume_his!C24-(production_volume_his!G24/100)*production_volume_his!C24)</f>
        <v>19298.720302656217</v>
      </c>
    </row>
    <row r="25" spans="1:21" x14ac:dyDescent="0.3">
      <c r="A25" s="1" t="s">
        <v>22</v>
      </c>
      <c r="B25" s="7" t="s">
        <v>54</v>
      </c>
      <c r="C25" s="9">
        <f>Tonnenkm_transportperformance!C25/(production_volume_his!C25-(production_volume_his!G25/100)*production_volume_his!C25)</f>
        <v>996.66383853209391</v>
      </c>
    </row>
    <row r="26" spans="1:21" x14ac:dyDescent="0.3">
      <c r="A26" s="1" t="s">
        <v>23</v>
      </c>
      <c r="B26" s="7" t="s">
        <v>55</v>
      </c>
      <c r="C26" s="9">
        <f>Tonnenkm_transportperformance!C26/(production_volume_his!C26-(production_volume_his!G26/100)*production_volume_his!C26)</f>
        <v>7005.3384385836998</v>
      </c>
    </row>
    <row r="27" spans="1:21" x14ac:dyDescent="0.3">
      <c r="A27" s="1" t="s">
        <v>24</v>
      </c>
      <c r="B27" s="7" t="s">
        <v>24</v>
      </c>
      <c r="C27" s="9" t="e">
        <f>Tonnenkm_transportperformance!C27/(production_volume_his!C27-(production_volume_his!G27/100)*production_volume_his!C27)</f>
        <v>#DIV/0!</v>
      </c>
    </row>
    <row r="28" spans="1:21" x14ac:dyDescent="0.3">
      <c r="A28" s="1" t="s">
        <v>25</v>
      </c>
      <c r="B28" s="7" t="s">
        <v>56</v>
      </c>
      <c r="C28" s="9">
        <f>Tonnenkm_transportperformance!C28/(production_volume_his!C28-(production_volume_his!G28/100)*production_volume_his!C28)</f>
        <v>10573.876966716851</v>
      </c>
    </row>
    <row r="29" spans="1:21" x14ac:dyDescent="0.3">
      <c r="A29" s="1" t="s">
        <v>26</v>
      </c>
      <c r="B29" s="7" t="s">
        <v>57</v>
      </c>
      <c r="C29" s="9">
        <f>Tonnenkm_transportperformance!C29/(production_volume_his!C29-(production_volume_his!G29/100)*production_volume_his!C29)</f>
        <v>4293.4945548994247</v>
      </c>
    </row>
    <row r="30" spans="1:21" x14ac:dyDescent="0.3">
      <c r="A30" s="1" t="s">
        <v>27</v>
      </c>
      <c r="B30" s="7" t="s">
        <v>58</v>
      </c>
      <c r="C30" s="9">
        <f>Tonnenkm_transportperformance!C30/(production_volume_his!C30-(production_volume_his!G30/100)*production_volume_his!C30)</f>
        <v>6638.6171583247542</v>
      </c>
    </row>
    <row r="31" spans="1:21" x14ac:dyDescent="0.3">
      <c r="A31" s="1" t="s">
        <v>28</v>
      </c>
      <c r="B31" s="7" t="s">
        <v>28</v>
      </c>
      <c r="C31" s="9">
        <f>Tonnenkm_transportperformance!C31/(production_volume_his!C31-(production_volume_his!G31/100)*production_volume_his!C31)</f>
        <v>1894.6468276058383</v>
      </c>
    </row>
    <row r="32" spans="1:21" x14ac:dyDescent="0.3">
      <c r="A32" s="1" t="s">
        <v>29</v>
      </c>
      <c r="B32" s="7" t="s">
        <v>59</v>
      </c>
      <c r="C32" s="9">
        <f>Tonnenkm_transportperformance!C32/(production_volume_his!C32-(production_volume_his!G32/100)*production_volume_his!C32)</f>
        <v>3478.5571339182516</v>
      </c>
    </row>
    <row r="33" spans="1:22" x14ac:dyDescent="0.3">
      <c r="A33" s="1" t="s">
        <v>30</v>
      </c>
      <c r="B33" s="7" t="s">
        <v>60</v>
      </c>
      <c r="C33" s="9">
        <f>Tonnenkm_transportperformance!C33/(production_volume_his!C33-(production_volume_his!G33/100)*production_volume_his!C33)</f>
        <v>5579.2217864079566</v>
      </c>
      <c r="V33" t="s">
        <v>83</v>
      </c>
    </row>
    <row r="34" spans="1:22" x14ac:dyDescent="0.3">
      <c r="A34" s="1" t="s">
        <v>31</v>
      </c>
      <c r="B34" s="7" t="s">
        <v>61</v>
      </c>
      <c r="C34" s="9">
        <f>Tonnenkm_transportperformance!C34/(production_volume_his!C34-(production_volume_his!G34/100)*production_volume_his!C34)</f>
        <v>2442.987756121528</v>
      </c>
      <c r="V34" t="s">
        <v>84</v>
      </c>
    </row>
    <row r="35" spans="1:22" x14ac:dyDescent="0.3">
      <c r="A35" s="1" t="s">
        <v>32</v>
      </c>
      <c r="B35" s="7" t="s">
        <v>62</v>
      </c>
      <c r="C35" s="9">
        <f>Tonnenkm_transportperformance!C35/(production_volume_his!C35-(production_volume_his!G35/100)*production_volume_his!C35)</f>
        <v>0</v>
      </c>
    </row>
    <row r="36" spans="1:22" x14ac:dyDescent="0.3">
      <c r="A36" s="1" t="s">
        <v>33</v>
      </c>
      <c r="B36" s="7" t="s">
        <v>63</v>
      </c>
      <c r="C36" s="9">
        <f>Tonnenkm_transportperformance!C36/(production_volume_his!C36-(production_volume_his!G36/100)*production_volume_his!C36)</f>
        <v>4179.4128212309115</v>
      </c>
    </row>
    <row r="37" spans="1:22" x14ac:dyDescent="0.3">
      <c r="A37" s="1" t="s">
        <v>34</v>
      </c>
      <c r="B37" s="7" t="s">
        <v>64</v>
      </c>
      <c r="C37" s="9">
        <f>Tonnenkm_transportperformance!C37/(production_volume_his!C37-(production_volume_his!G37/100)*production_volume_his!C37)</f>
        <v>8134.9121313159967</v>
      </c>
    </row>
    <row r="38" spans="1:22" x14ac:dyDescent="0.3">
      <c r="A38" s="1" t="s">
        <v>35</v>
      </c>
      <c r="B38" s="7" t="s">
        <v>65</v>
      </c>
      <c r="C38" s="9">
        <f>Tonnenkm_transportperformance!C38/(production_volume_his!C38-(production_volume_his!G38/100)*production_volume_his!C38)</f>
        <v>0</v>
      </c>
    </row>
    <row r="39" spans="1:22" x14ac:dyDescent="0.3">
      <c r="A39" s="1" t="s">
        <v>36</v>
      </c>
      <c r="B39" s="7" t="s">
        <v>66</v>
      </c>
      <c r="C39" s="9">
        <f>Tonnenkm_transportperformance!C39/(production_volume_his!C39-(production_volume_his!G39/100)*production_volume_his!C39)</f>
        <v>5566.0529326013266</v>
      </c>
    </row>
    <row r="40" spans="1:22" x14ac:dyDescent="0.3">
      <c r="A40" s="1" t="s">
        <v>37</v>
      </c>
      <c r="B40" s="7" t="s">
        <v>67</v>
      </c>
      <c r="C40" s="9">
        <f>Tonnenkm_transportperformance!C40/(production_volume_his!C40-(production_volume_his!G40/100)*production_volume_his!C40)</f>
        <v>0</v>
      </c>
    </row>
    <row r="41" spans="1:22" x14ac:dyDescent="0.3">
      <c r="A41" s="3" t="s">
        <v>68</v>
      </c>
      <c r="B41" s="7" t="s">
        <v>68</v>
      </c>
      <c r="C41" s="9">
        <f>Tonnenkm_transportperformance!C41/(production_volume_his!C41-(production_volume_his!G41/100)*production_volume_his!C41)</f>
        <v>0</v>
      </c>
    </row>
    <row r="42" spans="1:22" x14ac:dyDescent="0.3">
      <c r="A42" s="3" t="s">
        <v>69</v>
      </c>
      <c r="B42" s="7" t="s">
        <v>72</v>
      </c>
      <c r="C42" s="9">
        <f>Tonnenkm_transportperformance!C42/(production_volume_his!C42-(production_volume_his!G42/100)*production_volume_his!C42)</f>
        <v>0</v>
      </c>
    </row>
    <row r="43" spans="1:22" x14ac:dyDescent="0.3">
      <c r="A43" s="5" t="s">
        <v>70</v>
      </c>
      <c r="B43" s="7" t="s">
        <v>71</v>
      </c>
      <c r="C43" s="9">
        <f>Tonnenkm_transportperformance!C43/(production_volume_his!C43-(production_volume_his!G43/100)*production_volume_his!C43)</f>
        <v>0</v>
      </c>
    </row>
    <row r="44" spans="1:22" x14ac:dyDescent="0.3">
      <c r="A44" s="6" t="s">
        <v>79</v>
      </c>
      <c r="B44" s="7" t="s">
        <v>77</v>
      </c>
      <c r="C44" s="9">
        <f>Tonnenkm_transportperformance!C44/(production_volume_his!C44-(production_volume_his!G44/100)*production_volume_his!C44)</f>
        <v>0</v>
      </c>
    </row>
    <row r="45" spans="1:22" x14ac:dyDescent="0.3">
      <c r="A45" s="6" t="s">
        <v>80</v>
      </c>
      <c r="B45" s="7" t="s">
        <v>78</v>
      </c>
      <c r="C45" s="9">
        <f>Tonnenkm_transportperformance!C45/(production_volume_his!C45-(production_volume_his!G45/100)*production_volume_his!C45)</f>
        <v>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C47" sqref="C47"/>
    </sheetView>
  </sheetViews>
  <sheetFormatPr baseColWidth="10" defaultRowHeight="14.4" x14ac:dyDescent="0.3"/>
  <sheetData>
    <row r="1" spans="1:5" x14ac:dyDescent="0.3">
      <c r="A1" t="s">
        <v>75</v>
      </c>
      <c r="B1" t="s">
        <v>74</v>
      </c>
      <c r="C1">
        <v>2018</v>
      </c>
    </row>
    <row r="2" spans="1:5" x14ac:dyDescent="0.3">
      <c r="A2" s="1" t="s">
        <v>38</v>
      </c>
      <c r="B2" s="1" t="s">
        <v>73</v>
      </c>
      <c r="C2" s="8">
        <v>2018</v>
      </c>
      <c r="D2">
        <f>10^6</f>
        <v>1000000</v>
      </c>
    </row>
    <row r="3" spans="1:5" x14ac:dyDescent="0.3">
      <c r="A3" s="1" t="s">
        <v>0</v>
      </c>
      <c r="B3" s="7"/>
      <c r="C3" s="9"/>
    </row>
    <row r="4" spans="1:5" x14ac:dyDescent="0.3">
      <c r="A4" s="1" t="s">
        <v>1</v>
      </c>
      <c r="B4" s="7"/>
      <c r="C4" s="9">
        <f>14401/27</f>
        <v>533.37037037037032</v>
      </c>
    </row>
    <row r="5" spans="1:5" x14ac:dyDescent="0.3">
      <c r="A5" s="1" t="s">
        <v>2</v>
      </c>
      <c r="B5" s="7"/>
      <c r="C5" s="9"/>
    </row>
    <row r="6" spans="1:5" x14ac:dyDescent="0.3">
      <c r="A6" s="1" t="s">
        <v>3</v>
      </c>
      <c r="B6" s="7"/>
      <c r="C6" s="9"/>
    </row>
    <row r="7" spans="1:5" x14ac:dyDescent="0.3">
      <c r="A7" s="1" t="s">
        <v>4</v>
      </c>
      <c r="B7" s="7"/>
      <c r="C7" s="9"/>
    </row>
    <row r="8" spans="1:5" x14ac:dyDescent="0.3">
      <c r="A8" s="1" t="s">
        <v>5</v>
      </c>
      <c r="B8" s="7"/>
      <c r="C8" s="9"/>
    </row>
    <row r="9" spans="1:5" x14ac:dyDescent="0.3">
      <c r="A9" s="1" t="s">
        <v>6</v>
      </c>
      <c r="B9" s="7"/>
      <c r="C9" s="9"/>
    </row>
    <row r="10" spans="1:5" x14ac:dyDescent="0.3">
      <c r="A10" s="1" t="s">
        <v>7</v>
      </c>
      <c r="B10" s="7" t="s">
        <v>39</v>
      </c>
      <c r="C10" s="9">
        <f>E10*$D$2</f>
        <v>436000000</v>
      </c>
      <c r="E10">
        <v>436</v>
      </c>
    </row>
    <row r="11" spans="1:5" x14ac:dyDescent="0.3">
      <c r="A11" s="1" t="s">
        <v>8</v>
      </c>
      <c r="B11" s="7" t="s">
        <v>40</v>
      </c>
      <c r="C11" s="9">
        <f t="shared" ref="C11:C45" si="0">E11*$D$2</f>
        <v>350000000</v>
      </c>
      <c r="E11">
        <v>350</v>
      </c>
    </row>
    <row r="12" spans="1:5" x14ac:dyDescent="0.3">
      <c r="A12" s="1" t="s">
        <v>9</v>
      </c>
      <c r="B12" s="7" t="s">
        <v>41</v>
      </c>
      <c r="C12" s="9">
        <f t="shared" si="0"/>
        <v>525000000</v>
      </c>
      <c r="E12">
        <v>525</v>
      </c>
    </row>
    <row r="13" spans="1:5" x14ac:dyDescent="0.3">
      <c r="A13" s="1" t="s">
        <v>10</v>
      </c>
      <c r="B13" s="7" t="s">
        <v>42</v>
      </c>
      <c r="C13" s="9">
        <f t="shared" si="0"/>
        <v>224000000</v>
      </c>
      <c r="E13">
        <v>224</v>
      </c>
    </row>
    <row r="14" spans="1:5" x14ac:dyDescent="0.3">
      <c r="A14" s="1" t="s">
        <v>11</v>
      </c>
      <c r="B14" s="7" t="s">
        <v>43</v>
      </c>
      <c r="C14" s="9">
        <f t="shared" si="0"/>
        <v>3352000000</v>
      </c>
      <c r="E14">
        <v>3352</v>
      </c>
    </row>
    <row r="15" spans="1:5" x14ac:dyDescent="0.3">
      <c r="A15" s="1" t="s">
        <v>12</v>
      </c>
      <c r="B15" s="7" t="s">
        <v>44</v>
      </c>
      <c r="C15" s="9">
        <f t="shared" si="0"/>
        <v>204000000</v>
      </c>
      <c r="E15">
        <v>204</v>
      </c>
    </row>
    <row r="16" spans="1:5" x14ac:dyDescent="0.3">
      <c r="A16" s="1" t="s">
        <v>13</v>
      </c>
      <c r="B16" s="7" t="s">
        <v>45</v>
      </c>
      <c r="C16" s="9">
        <f t="shared" si="0"/>
        <v>618000000</v>
      </c>
      <c r="E16">
        <v>618</v>
      </c>
    </row>
    <row r="17" spans="1:5" x14ac:dyDescent="0.3">
      <c r="A17" s="1" t="s">
        <v>14</v>
      </c>
      <c r="B17" s="7" t="s">
        <v>46</v>
      </c>
      <c r="C17" s="9">
        <f t="shared" si="0"/>
        <v>282000000</v>
      </c>
      <c r="E17">
        <v>282</v>
      </c>
    </row>
    <row r="18" spans="1:5" x14ac:dyDescent="0.3">
      <c r="A18" s="1" t="s">
        <v>15</v>
      </c>
      <c r="B18" s="7" t="s">
        <v>47</v>
      </c>
      <c r="C18" s="9">
        <f t="shared" si="0"/>
        <v>447000000</v>
      </c>
      <c r="E18">
        <v>447</v>
      </c>
    </row>
    <row r="19" spans="1:5" x14ac:dyDescent="0.3">
      <c r="A19" s="1" t="s">
        <v>16</v>
      </c>
      <c r="B19" s="7" t="s">
        <v>48</v>
      </c>
      <c r="C19" s="9">
        <f t="shared" si="0"/>
        <v>1543000000</v>
      </c>
      <c r="E19">
        <v>1543</v>
      </c>
    </row>
    <row r="20" spans="1:5" x14ac:dyDescent="0.3">
      <c r="A20" s="1" t="s">
        <v>17</v>
      </c>
      <c r="B20" s="7" t="s">
        <v>49</v>
      </c>
      <c r="C20" s="9">
        <f t="shared" si="0"/>
        <v>193000000</v>
      </c>
      <c r="E20">
        <v>193</v>
      </c>
    </row>
    <row r="21" spans="1:5" x14ac:dyDescent="0.3">
      <c r="A21" s="1" t="s">
        <v>18</v>
      </c>
      <c r="B21" s="7" t="s">
        <v>50</v>
      </c>
      <c r="C21" s="9">
        <f t="shared" si="0"/>
        <v>584000000</v>
      </c>
      <c r="E21">
        <v>584</v>
      </c>
    </row>
    <row r="22" spans="1:5" x14ac:dyDescent="0.3">
      <c r="A22" s="1" t="s">
        <v>19</v>
      </c>
      <c r="B22" s="7" t="s">
        <v>51</v>
      </c>
      <c r="C22" s="9">
        <f t="shared" si="0"/>
        <v>24000000</v>
      </c>
      <c r="E22">
        <v>24</v>
      </c>
    </row>
    <row r="23" spans="1:5" x14ac:dyDescent="0.3">
      <c r="A23" s="1" t="s">
        <v>20</v>
      </c>
      <c r="B23" s="7" t="s">
        <v>52</v>
      </c>
      <c r="C23" s="9">
        <f t="shared" si="0"/>
        <v>331000000</v>
      </c>
      <c r="E23">
        <v>331</v>
      </c>
    </row>
    <row r="24" spans="1:5" x14ac:dyDescent="0.3">
      <c r="A24" s="1" t="s">
        <v>21</v>
      </c>
      <c r="B24" s="7" t="s">
        <v>53</v>
      </c>
      <c r="C24" s="9">
        <f t="shared" si="0"/>
        <v>313000000</v>
      </c>
      <c r="E24">
        <v>313</v>
      </c>
    </row>
    <row r="25" spans="1:5" x14ac:dyDescent="0.3">
      <c r="A25" s="1" t="s">
        <v>22</v>
      </c>
      <c r="B25" s="7" t="s">
        <v>54</v>
      </c>
      <c r="C25" s="9">
        <f t="shared" si="0"/>
        <v>35000000</v>
      </c>
      <c r="E25">
        <v>35</v>
      </c>
    </row>
    <row r="26" spans="1:5" x14ac:dyDescent="0.3">
      <c r="A26" s="1" t="s">
        <v>23</v>
      </c>
      <c r="B26" s="7" t="s">
        <v>55</v>
      </c>
      <c r="C26" s="9">
        <f t="shared" si="0"/>
        <v>477000000</v>
      </c>
      <c r="E26">
        <v>477</v>
      </c>
    </row>
    <row r="27" spans="1:5" x14ac:dyDescent="0.3">
      <c r="A27" s="1" t="s">
        <v>24</v>
      </c>
      <c r="B27" s="7" t="s">
        <v>24</v>
      </c>
      <c r="C27" s="9">
        <f t="shared" si="0"/>
        <v>1000000</v>
      </c>
      <c r="E27">
        <v>1</v>
      </c>
    </row>
    <row r="28" spans="1:5" x14ac:dyDescent="0.3">
      <c r="A28" s="1" t="s">
        <v>25</v>
      </c>
      <c r="B28" s="7" t="s">
        <v>56</v>
      </c>
      <c r="C28" s="9">
        <f t="shared" si="0"/>
        <v>483000000</v>
      </c>
      <c r="E28">
        <v>483</v>
      </c>
    </row>
    <row r="29" spans="1:5" x14ac:dyDescent="0.3">
      <c r="A29" s="1" t="s">
        <v>26</v>
      </c>
      <c r="B29" s="7" t="s">
        <v>57</v>
      </c>
      <c r="C29" s="9">
        <f t="shared" si="0"/>
        <v>509000000</v>
      </c>
      <c r="E29">
        <v>509</v>
      </c>
    </row>
    <row r="30" spans="1:5" x14ac:dyDescent="0.3">
      <c r="A30" s="1" t="s">
        <v>27</v>
      </c>
      <c r="B30" s="7" t="s">
        <v>58</v>
      </c>
      <c r="C30" s="9">
        <f t="shared" si="0"/>
        <v>1368000000</v>
      </c>
      <c r="E30">
        <v>1368</v>
      </c>
    </row>
    <row r="31" spans="1:5" x14ac:dyDescent="0.3">
      <c r="A31" s="1" t="s">
        <v>28</v>
      </c>
      <c r="B31" s="7" t="s">
        <v>28</v>
      </c>
      <c r="C31" s="9">
        <f t="shared" si="0"/>
        <v>100000000</v>
      </c>
      <c r="E31">
        <v>100</v>
      </c>
    </row>
    <row r="32" spans="1:5" x14ac:dyDescent="0.3">
      <c r="A32" s="1" t="s">
        <v>29</v>
      </c>
      <c r="B32" s="7" t="s">
        <v>59</v>
      </c>
      <c r="C32" s="9">
        <f t="shared" si="0"/>
        <v>950000000</v>
      </c>
      <c r="E32">
        <v>950</v>
      </c>
    </row>
    <row r="33" spans="1:5" x14ac:dyDescent="0.3">
      <c r="A33" s="1" t="s">
        <v>30</v>
      </c>
      <c r="B33" s="7" t="s">
        <v>60</v>
      </c>
      <c r="C33" s="9">
        <f t="shared" si="0"/>
        <v>64000000</v>
      </c>
      <c r="E33">
        <v>64</v>
      </c>
    </row>
    <row r="34" spans="1:5" x14ac:dyDescent="0.3">
      <c r="A34" s="1" t="s">
        <v>31</v>
      </c>
      <c r="B34" s="7" t="s">
        <v>61</v>
      </c>
      <c r="C34" s="9">
        <f t="shared" si="0"/>
        <v>239000000</v>
      </c>
      <c r="E34">
        <v>239</v>
      </c>
    </row>
    <row r="35" spans="1:5" x14ac:dyDescent="0.3">
      <c r="A35" s="1" t="s">
        <v>32</v>
      </c>
      <c r="B35" s="7" t="s">
        <v>62</v>
      </c>
      <c r="C35" s="9">
        <f t="shared" si="0"/>
        <v>267000000</v>
      </c>
      <c r="E35">
        <v>267</v>
      </c>
    </row>
    <row r="36" spans="1:5" x14ac:dyDescent="0.3">
      <c r="A36" s="1" t="s">
        <v>33</v>
      </c>
      <c r="B36" s="7" t="s">
        <v>63</v>
      </c>
      <c r="C36" s="9">
        <f t="shared" si="0"/>
        <v>481000000</v>
      </c>
      <c r="E36">
        <v>481</v>
      </c>
    </row>
    <row r="37" spans="1:5" x14ac:dyDescent="0.3">
      <c r="A37" s="1" t="s">
        <v>34</v>
      </c>
      <c r="B37" s="7" t="s">
        <v>64</v>
      </c>
      <c r="C37" s="9">
        <f t="shared" si="0"/>
        <v>1677000000</v>
      </c>
      <c r="E37">
        <v>1677</v>
      </c>
    </row>
    <row r="38" spans="1:5" x14ac:dyDescent="0.3">
      <c r="A38" s="1" t="s">
        <v>35</v>
      </c>
      <c r="B38" s="7" t="s">
        <v>65</v>
      </c>
      <c r="C38" s="9">
        <f t="shared" si="0"/>
        <v>0</v>
      </c>
      <c r="E38">
        <v>0</v>
      </c>
    </row>
    <row r="39" spans="1:5" x14ac:dyDescent="0.3">
      <c r="A39" s="1" t="s">
        <v>36</v>
      </c>
      <c r="B39" s="7" t="s">
        <v>66</v>
      </c>
      <c r="C39" s="9">
        <f t="shared" si="0"/>
        <v>62000000</v>
      </c>
      <c r="E39">
        <v>62</v>
      </c>
    </row>
    <row r="40" spans="1:5" x14ac:dyDescent="0.3">
      <c r="A40" s="1" t="s">
        <v>37</v>
      </c>
      <c r="B40" s="7" t="s">
        <v>67</v>
      </c>
      <c r="C40" s="9">
        <f t="shared" si="0"/>
        <v>131000000</v>
      </c>
      <c r="E40">
        <v>131</v>
      </c>
    </row>
    <row r="41" spans="1:5" x14ac:dyDescent="0.3">
      <c r="A41" s="3" t="s">
        <v>68</v>
      </c>
      <c r="B41" s="7" t="s">
        <v>68</v>
      </c>
      <c r="C41" s="9">
        <f t="shared" si="0"/>
        <v>0</v>
      </c>
      <c r="E41">
        <v>0</v>
      </c>
    </row>
    <row r="42" spans="1:5" x14ac:dyDescent="0.3">
      <c r="A42" s="3" t="s">
        <v>69</v>
      </c>
      <c r="B42" s="7" t="s">
        <v>72</v>
      </c>
      <c r="C42" s="9">
        <f t="shared" si="0"/>
        <v>0</v>
      </c>
      <c r="E42">
        <v>0</v>
      </c>
    </row>
    <row r="43" spans="1:5" x14ac:dyDescent="0.3">
      <c r="A43" s="5" t="s">
        <v>70</v>
      </c>
      <c r="B43" s="7" t="s">
        <v>71</v>
      </c>
      <c r="C43" s="9">
        <f t="shared" si="0"/>
        <v>0</v>
      </c>
      <c r="E43">
        <v>0</v>
      </c>
    </row>
    <row r="44" spans="1:5" x14ac:dyDescent="0.3">
      <c r="A44" s="6" t="s">
        <v>79</v>
      </c>
      <c r="B44" s="7" t="s">
        <v>77</v>
      </c>
      <c r="C44" s="9">
        <f t="shared" si="0"/>
        <v>0</v>
      </c>
      <c r="E44">
        <v>0</v>
      </c>
    </row>
    <row r="45" spans="1:5" x14ac:dyDescent="0.3">
      <c r="A45" s="6" t="s">
        <v>80</v>
      </c>
      <c r="B45" s="7" t="s">
        <v>78</v>
      </c>
      <c r="C45" s="9">
        <f t="shared" si="0"/>
        <v>0</v>
      </c>
      <c r="E45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8"/>
  <sheetViews>
    <sheetView workbookViewId="0">
      <selection activeCell="B51" sqref="B51"/>
    </sheetView>
  </sheetViews>
  <sheetFormatPr baseColWidth="10" defaultRowHeight="14.4" x14ac:dyDescent="0.3"/>
  <sheetData>
    <row r="4" spans="1:2" x14ac:dyDescent="0.3">
      <c r="A4" t="s">
        <v>102</v>
      </c>
      <c r="B4" t="s">
        <v>103</v>
      </c>
    </row>
    <row r="5" spans="1:2" x14ac:dyDescent="0.3">
      <c r="A5" t="s">
        <v>92</v>
      </c>
      <c r="B5">
        <v>0.3</v>
      </c>
    </row>
    <row r="6" spans="1:2" x14ac:dyDescent="0.3">
      <c r="A6" t="s">
        <v>104</v>
      </c>
      <c r="B6">
        <v>0.4</v>
      </c>
    </row>
    <row r="7" spans="1:2" x14ac:dyDescent="0.3">
      <c r="A7" t="s">
        <v>93</v>
      </c>
      <c r="B7">
        <v>1.4</v>
      </c>
    </row>
    <row r="8" spans="1:2" x14ac:dyDescent="0.3">
      <c r="A8" t="s">
        <v>105</v>
      </c>
      <c r="B8">
        <v>9.8000000000000007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"/>
  <sheetViews>
    <sheetView workbookViewId="0">
      <selection activeCell="J29" sqref="J29"/>
    </sheetView>
  </sheetViews>
  <sheetFormatPr baseColWidth="10" defaultRowHeight="14.4" x14ac:dyDescent="0.3"/>
  <sheetData>
    <row r="24" spans="2:2" x14ac:dyDescent="0.3">
      <c r="B24" t="s">
        <v>81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abSelected="1" topLeftCell="A19" workbookViewId="0">
      <selection activeCell="C36" sqref="C36"/>
    </sheetView>
  </sheetViews>
  <sheetFormatPr baseColWidth="10" defaultRowHeight="14.4" x14ac:dyDescent="0.3"/>
  <sheetData>
    <row r="7" spans="11:11" x14ac:dyDescent="0.3">
      <c r="K7" s="10"/>
    </row>
    <row r="8" spans="11:11" x14ac:dyDescent="0.3">
      <c r="K8" s="10"/>
    </row>
    <row r="9" spans="11:11" x14ac:dyDescent="0.3">
      <c r="K9" s="10"/>
    </row>
    <row r="10" spans="11:11" x14ac:dyDescent="0.3">
      <c r="K10" s="10"/>
    </row>
    <row r="11" spans="11:11" x14ac:dyDescent="0.3">
      <c r="K11" s="10"/>
    </row>
    <row r="12" spans="11:11" x14ac:dyDescent="0.3">
      <c r="K12" s="10"/>
    </row>
    <row r="13" spans="11:11" x14ac:dyDescent="0.3">
      <c r="K13" s="10"/>
    </row>
    <row r="14" spans="11:11" x14ac:dyDescent="0.3">
      <c r="K14" s="10"/>
    </row>
    <row r="15" spans="11:11" x14ac:dyDescent="0.3">
      <c r="K15" s="10"/>
    </row>
    <row r="16" spans="11:11" x14ac:dyDescent="0.3">
      <c r="K16" s="10"/>
    </row>
    <row r="17" spans="1:11" x14ac:dyDescent="0.3">
      <c r="A17" t="s">
        <v>82</v>
      </c>
      <c r="K17" s="10"/>
    </row>
    <row r="18" spans="1:11" x14ac:dyDescent="0.3">
      <c r="K18" s="10"/>
    </row>
    <row r="19" spans="1:11" x14ac:dyDescent="0.3">
      <c r="K19" s="10"/>
    </row>
    <row r="20" spans="1:11" x14ac:dyDescent="0.3">
      <c r="K20" s="10"/>
    </row>
    <row r="21" spans="1:11" x14ac:dyDescent="0.3">
      <c r="K21" s="10"/>
    </row>
    <row r="22" spans="1:11" x14ac:dyDescent="0.3">
      <c r="K22" s="10"/>
    </row>
    <row r="23" spans="1:11" x14ac:dyDescent="0.3">
      <c r="K23" s="10"/>
    </row>
    <row r="24" spans="1:11" x14ac:dyDescent="0.3">
      <c r="K24" s="10"/>
    </row>
    <row r="25" spans="1:11" x14ac:dyDescent="0.3">
      <c r="K25" s="10"/>
    </row>
    <row r="26" spans="1:11" x14ac:dyDescent="0.3">
      <c r="K26" s="10"/>
    </row>
    <row r="27" spans="1:11" x14ac:dyDescent="0.3">
      <c r="K27" s="10"/>
    </row>
    <row r="28" spans="1:11" x14ac:dyDescent="0.3">
      <c r="K28" s="10"/>
    </row>
    <row r="30" spans="1:11" x14ac:dyDescent="0.3">
      <c r="J30" t="s">
        <v>85</v>
      </c>
    </row>
    <row r="35" spans="3:3" x14ac:dyDescent="0.3">
      <c r="C35" t="s">
        <v>86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C10" sqref="C10"/>
    </sheetView>
  </sheetViews>
  <sheetFormatPr baseColWidth="10" defaultRowHeight="14.4" x14ac:dyDescent="0.3"/>
  <sheetData>
    <row r="1" spans="1:3" x14ac:dyDescent="0.3">
      <c r="A1" t="s">
        <v>75</v>
      </c>
      <c r="B1" t="s">
        <v>74</v>
      </c>
    </row>
    <row r="2" spans="1:3" x14ac:dyDescent="0.3">
      <c r="A2" s="1" t="s">
        <v>38</v>
      </c>
      <c r="B2" s="1" t="s">
        <v>87</v>
      </c>
      <c r="C2" s="8">
        <v>2018</v>
      </c>
    </row>
    <row r="3" spans="1:3" x14ac:dyDescent="0.3">
      <c r="A3" s="1" t="s">
        <v>0</v>
      </c>
      <c r="B3" s="7"/>
      <c r="C3" s="9"/>
    </row>
    <row r="4" spans="1:3" x14ac:dyDescent="0.3">
      <c r="A4" s="1" t="s">
        <v>1</v>
      </c>
      <c r="B4" s="7"/>
      <c r="C4" s="9"/>
    </row>
    <row r="5" spans="1:3" x14ac:dyDescent="0.3">
      <c r="A5" s="1" t="s">
        <v>2</v>
      </c>
      <c r="B5" s="7"/>
      <c r="C5" s="9"/>
    </row>
    <row r="6" spans="1:3" x14ac:dyDescent="0.3">
      <c r="A6" s="1" t="s">
        <v>3</v>
      </c>
      <c r="B6" s="7"/>
      <c r="C6" s="9"/>
    </row>
    <row r="7" spans="1:3" x14ac:dyDescent="0.3">
      <c r="A7" s="1" t="s">
        <v>4</v>
      </c>
      <c r="B7" s="7"/>
      <c r="C7" s="9"/>
    </row>
    <row r="8" spans="1:3" x14ac:dyDescent="0.3">
      <c r="A8" s="1" t="s">
        <v>5</v>
      </c>
      <c r="B8" s="7"/>
      <c r="C8" s="9"/>
    </row>
    <row r="9" spans="1:3" x14ac:dyDescent="0.3">
      <c r="A9" s="1" t="s">
        <v>6</v>
      </c>
      <c r="B9" s="7"/>
      <c r="C9" s="9"/>
    </row>
    <row r="10" spans="1:3" x14ac:dyDescent="0.3">
      <c r="A10" s="1" t="s">
        <v>7</v>
      </c>
      <c r="B10" s="7" t="s">
        <v>39</v>
      </c>
      <c r="C10" s="9">
        <f>flight_tkm!C10/production_volume_his!C10*(production_volume_his!G10/100)</f>
        <v>1.8868699004177829</v>
      </c>
    </row>
    <row r="11" spans="1:3" x14ac:dyDescent="0.3">
      <c r="A11" s="1" t="s">
        <v>8</v>
      </c>
      <c r="B11" s="7" t="s">
        <v>40</v>
      </c>
      <c r="C11" s="9">
        <f>flight_tkm!C11/production_volume_his!C11*(production_volume_his!G11/100)</f>
        <v>0.83648409980881744</v>
      </c>
    </row>
    <row r="12" spans="1:3" x14ac:dyDescent="0.3">
      <c r="A12" s="1" t="s">
        <v>9</v>
      </c>
      <c r="B12" s="7" t="s">
        <v>41</v>
      </c>
      <c r="C12" s="9">
        <f>flight_tkm!C12/production_volume_his!C12*(production_volume_his!G12/100)</f>
        <v>0.47956238766331699</v>
      </c>
    </row>
    <row r="13" spans="1:3" x14ac:dyDescent="0.3">
      <c r="A13" s="1" t="s">
        <v>10</v>
      </c>
      <c r="B13" s="7" t="s">
        <v>42</v>
      </c>
      <c r="C13" s="9">
        <f>flight_tkm!C13/production_volume_his!C13*(production_volume_his!G13/100)</f>
        <v>6.9789579388632177</v>
      </c>
    </row>
    <row r="14" spans="1:3" x14ac:dyDescent="0.3">
      <c r="A14" s="1" t="s">
        <v>11</v>
      </c>
      <c r="B14" s="7" t="s">
        <v>43</v>
      </c>
      <c r="C14" s="9">
        <f>flight_tkm!C14/production_volume_his!C14*(production_volume_his!G14/100)</f>
        <v>1.4841757334602192</v>
      </c>
    </row>
    <row r="15" spans="1:3" x14ac:dyDescent="0.3">
      <c r="A15" s="1" t="s">
        <v>12</v>
      </c>
      <c r="B15" s="7" t="s">
        <v>44</v>
      </c>
      <c r="C15" s="9">
        <f>flight_tkm!C15/production_volume_his!C15*(production_volume_his!G15/100)</f>
        <v>4.6694616799524074</v>
      </c>
    </row>
    <row r="16" spans="1:3" x14ac:dyDescent="0.3">
      <c r="A16" s="1" t="s">
        <v>13</v>
      </c>
      <c r="B16" s="7" t="s">
        <v>45</v>
      </c>
      <c r="C16" s="9">
        <f>flight_tkm!C16/production_volume_his!C16*(production_volume_his!G16/100)</f>
        <v>9.1416447412449013</v>
      </c>
    </row>
    <row r="17" spans="1:3" x14ac:dyDescent="0.3">
      <c r="A17" s="1" t="s">
        <v>14</v>
      </c>
      <c r="B17" s="7" t="s">
        <v>46</v>
      </c>
      <c r="C17" s="9">
        <f>flight_tkm!C17/production_volume_his!C17*(production_volume_his!G17/100)</f>
        <v>6.3925422815260535E-2</v>
      </c>
    </row>
    <row r="18" spans="1:3" x14ac:dyDescent="0.3">
      <c r="A18" s="1" t="s">
        <v>15</v>
      </c>
      <c r="B18" s="7" t="s">
        <v>47</v>
      </c>
      <c r="C18" s="9">
        <f>flight_tkm!C18/production_volume_his!C18*(production_volume_his!G18/100)</f>
        <v>0.22937644808632029</v>
      </c>
    </row>
    <row r="19" spans="1:3" x14ac:dyDescent="0.3">
      <c r="A19" s="1" t="s">
        <v>16</v>
      </c>
      <c r="B19" s="7" t="s">
        <v>48</v>
      </c>
      <c r="C19" s="9">
        <f>flight_tkm!C19/production_volume_his!C19*(production_volume_his!G19/100)</f>
        <v>1.9015340055272745</v>
      </c>
    </row>
    <row r="20" spans="1:3" x14ac:dyDescent="0.3">
      <c r="A20" s="1" t="s">
        <v>17</v>
      </c>
      <c r="B20" s="7" t="s">
        <v>49</v>
      </c>
      <c r="C20" s="9">
        <f>flight_tkm!C20/production_volume_his!C20*(production_volume_his!G20/100)</f>
        <v>0.20732545407565764</v>
      </c>
    </row>
    <row r="21" spans="1:3" x14ac:dyDescent="0.3">
      <c r="A21" s="1" t="s">
        <v>18</v>
      </c>
      <c r="B21" s="7" t="s">
        <v>50</v>
      </c>
      <c r="C21" s="9">
        <f>flight_tkm!C21/production_volume_his!C21*(production_volume_his!G21/100)</f>
        <v>0.17638184842801172</v>
      </c>
    </row>
    <row r="22" spans="1:3" x14ac:dyDescent="0.3">
      <c r="A22" s="1" t="s">
        <v>19</v>
      </c>
      <c r="B22" s="7" t="s">
        <v>51</v>
      </c>
      <c r="C22" s="9">
        <f>flight_tkm!C22/production_volume_his!C22*(production_volume_his!G22/100)</f>
        <v>0.73059209726456464</v>
      </c>
    </row>
    <row r="23" spans="1:3" x14ac:dyDescent="0.3">
      <c r="A23" s="1" t="s">
        <v>20</v>
      </c>
      <c r="B23" s="7" t="s">
        <v>52</v>
      </c>
      <c r="C23" s="9">
        <f>flight_tkm!C23/production_volume_his!C23*(production_volume_his!G23/100)</f>
        <v>5.1149885243101219</v>
      </c>
    </row>
    <row r="24" spans="1:3" x14ac:dyDescent="0.3">
      <c r="A24" s="1" t="s">
        <v>21</v>
      </c>
      <c r="B24" s="7" t="s">
        <v>53</v>
      </c>
      <c r="C24" s="9">
        <f>flight_tkm!C24/production_volume_his!C24*(production_volume_his!G24/100)</f>
        <v>3.1228905899052055</v>
      </c>
    </row>
    <row r="25" spans="1:3" x14ac:dyDescent="0.3">
      <c r="A25" s="1" t="s">
        <v>22</v>
      </c>
      <c r="B25" s="7" t="s">
        <v>54</v>
      </c>
      <c r="C25" s="9">
        <f>flight_tkm!C25/production_volume_his!C25*(production_volume_his!G25/100)</f>
        <v>2.3692381450163622</v>
      </c>
    </row>
    <row r="26" spans="1:3" x14ac:dyDescent="0.3">
      <c r="A26" s="1" t="s">
        <v>23</v>
      </c>
      <c r="B26" s="7" t="s">
        <v>55</v>
      </c>
      <c r="C26" s="9">
        <f>flight_tkm!C26/production_volume_his!C26*(production_volume_his!G26/100)</f>
        <v>1.4854201749140488</v>
      </c>
    </row>
    <row r="27" spans="1:3" x14ac:dyDescent="0.3">
      <c r="A27" s="1" t="s">
        <v>24</v>
      </c>
      <c r="B27" s="7" t="s">
        <v>24</v>
      </c>
      <c r="C27" s="9" t="e">
        <f>flight_tkm!C27/production_volume_his!C27*(production_volume_his!G27/100)</f>
        <v>#DIV/0!</v>
      </c>
    </row>
    <row r="28" spans="1:3" x14ac:dyDescent="0.3">
      <c r="A28" s="1" t="s">
        <v>25</v>
      </c>
      <c r="B28" s="7" t="s">
        <v>56</v>
      </c>
      <c r="C28" s="9">
        <f>flight_tkm!C28/production_volume_his!C28*(production_volume_his!G28/100)</f>
        <v>5.9867779615580767</v>
      </c>
    </row>
    <row r="29" spans="1:3" x14ac:dyDescent="0.3">
      <c r="A29" s="1" t="s">
        <v>26</v>
      </c>
      <c r="B29" s="7" t="s">
        <v>57</v>
      </c>
      <c r="C29" s="9">
        <f>flight_tkm!C29/production_volume_his!C29*(production_volume_his!G29/100)</f>
        <v>0.44584426201379229</v>
      </c>
    </row>
    <row r="30" spans="1:3" x14ac:dyDescent="0.3">
      <c r="A30" s="1" t="s">
        <v>27</v>
      </c>
      <c r="B30" s="7" t="s">
        <v>58</v>
      </c>
      <c r="C30" s="9">
        <f>flight_tkm!C30/production_volume_his!C30*(production_volume_his!G30/100)</f>
        <v>0.16465474018261836</v>
      </c>
    </row>
    <row r="31" spans="1:3" x14ac:dyDescent="0.3">
      <c r="A31" s="1" t="s">
        <v>28</v>
      </c>
      <c r="B31" s="7" t="s">
        <v>28</v>
      </c>
      <c r="C31" s="9">
        <f>flight_tkm!C31/production_volume_his!C31*(production_volume_his!G31/100)</f>
        <v>0.15906793892349155</v>
      </c>
    </row>
    <row r="32" spans="1:3" x14ac:dyDescent="0.3">
      <c r="A32" s="1" t="s">
        <v>29</v>
      </c>
      <c r="B32" s="7" t="s">
        <v>59</v>
      </c>
      <c r="C32" s="9">
        <f>flight_tkm!C32/production_volume_his!C32*(production_volume_his!G32/100)</f>
        <v>0.25050090469091907</v>
      </c>
    </row>
    <row r="33" spans="1:3" x14ac:dyDescent="0.3">
      <c r="A33" s="1" t="s">
        <v>30</v>
      </c>
      <c r="B33" s="7" t="s">
        <v>60</v>
      </c>
      <c r="C33" s="9">
        <f>flight_tkm!C33/production_volume_his!C33*(production_volume_his!G33/100)</f>
        <v>0.11094773751896302</v>
      </c>
    </row>
    <row r="34" spans="1:3" x14ac:dyDescent="0.3">
      <c r="A34" s="1" t="s">
        <v>31</v>
      </c>
      <c r="B34" s="7" t="s">
        <v>61</v>
      </c>
      <c r="C34" s="9">
        <f>flight_tkm!C34/production_volume_his!C34*(production_volume_his!G34/100)</f>
        <v>5.3855601847299567E-2</v>
      </c>
    </row>
    <row r="35" spans="1:3" x14ac:dyDescent="0.3">
      <c r="A35" s="1" t="s">
        <v>32</v>
      </c>
      <c r="B35" s="7" t="s">
        <v>62</v>
      </c>
      <c r="C35" s="9">
        <f>flight_tkm!C35/production_volume_his!C35*(production_volume_his!G35/100)</f>
        <v>0.19460405721425345</v>
      </c>
    </row>
    <row r="36" spans="1:3" x14ac:dyDescent="0.3">
      <c r="A36" s="1" t="s">
        <v>33</v>
      </c>
      <c r="B36" s="7" t="s">
        <v>63</v>
      </c>
      <c r="C36" s="9">
        <f>flight_tkm!C36/production_volume_his!C36*(production_volume_his!G36/100)</f>
        <v>0.22313387425027836</v>
      </c>
    </row>
    <row r="37" spans="1:3" x14ac:dyDescent="0.3">
      <c r="A37" s="1" t="s">
        <v>34</v>
      </c>
      <c r="B37" s="7" t="s">
        <v>64</v>
      </c>
      <c r="C37" s="9">
        <f>flight_tkm!C37/production_volume_his!C37*(production_volume_his!G37/100)</f>
        <v>7.2452282090902722</v>
      </c>
    </row>
    <row r="38" spans="1:3" x14ac:dyDescent="0.3">
      <c r="A38" s="1" t="s">
        <v>35</v>
      </c>
      <c r="B38" s="7" t="s">
        <v>65</v>
      </c>
      <c r="C38" s="9">
        <f>flight_tkm!C38/production_volume_his!C38*(production_volume_his!G38/100)</f>
        <v>0</v>
      </c>
    </row>
    <row r="39" spans="1:3" x14ac:dyDescent="0.3">
      <c r="A39" s="1" t="s">
        <v>36</v>
      </c>
      <c r="B39" s="7" t="s">
        <v>66</v>
      </c>
      <c r="C39" s="9">
        <f>flight_tkm!C39/production_volume_his!C39*(production_volume_his!G39/100)</f>
        <v>0.44149388737180306</v>
      </c>
    </row>
    <row r="40" spans="1:3" x14ac:dyDescent="0.3">
      <c r="A40" s="1" t="s">
        <v>37</v>
      </c>
      <c r="B40" s="7" t="s">
        <v>67</v>
      </c>
      <c r="C40" s="9">
        <f>flight_tkm!C40/production_volume_his!C40*(production_volume_his!G40/100)</f>
        <v>1.0224250845151073</v>
      </c>
    </row>
    <row r="41" spans="1:3" x14ac:dyDescent="0.3">
      <c r="A41" s="3" t="s">
        <v>68</v>
      </c>
      <c r="B41" s="7" t="s">
        <v>68</v>
      </c>
      <c r="C41" s="9">
        <f>flight_tkm!C41/production_volume_his!C41*(production_volume_his!G41/100)</f>
        <v>0</v>
      </c>
    </row>
    <row r="42" spans="1:3" x14ac:dyDescent="0.3">
      <c r="A42" s="3" t="s">
        <v>69</v>
      </c>
      <c r="B42" s="7" t="s">
        <v>72</v>
      </c>
      <c r="C42" s="9">
        <f>flight_tkm!C42/production_volume_his!C42*(production_volume_his!G42/100)</f>
        <v>0</v>
      </c>
    </row>
    <row r="43" spans="1:3" x14ac:dyDescent="0.3">
      <c r="A43" s="5" t="s">
        <v>70</v>
      </c>
      <c r="B43" s="7" t="s">
        <v>71</v>
      </c>
      <c r="C43" s="9">
        <f>flight_tkm!C43/production_volume_his!C43*(production_volume_his!G43/100)</f>
        <v>0</v>
      </c>
    </row>
    <row r="44" spans="1:3" x14ac:dyDescent="0.3">
      <c r="A44" s="6" t="s">
        <v>79</v>
      </c>
      <c r="B44" s="7" t="s">
        <v>77</v>
      </c>
      <c r="C44" s="9">
        <f>flight_tkm!C44/production_volume_his!C44*(production_volume_his!G44/100)</f>
        <v>0</v>
      </c>
    </row>
    <row r="45" spans="1:3" x14ac:dyDescent="0.3">
      <c r="A45" s="6" t="s">
        <v>80</v>
      </c>
      <c r="B45" s="7" t="s">
        <v>78</v>
      </c>
      <c r="C45" s="9">
        <f>production_volume_his!C45*(production_volume_his!G45/100)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90" zoomScaleNormal="90" workbookViewId="0">
      <selection activeCell="C11" sqref="C11"/>
    </sheetView>
  </sheetViews>
  <sheetFormatPr baseColWidth="10" defaultRowHeight="14.4" x14ac:dyDescent="0.3"/>
  <cols>
    <col min="3" max="3" width="12.33203125" bestFit="1" customWidth="1"/>
    <col min="4" max="4" width="13.33203125" bestFit="1" customWidth="1"/>
  </cols>
  <sheetData>
    <row r="1" spans="1:21" x14ac:dyDescent="0.3">
      <c r="A1" t="s">
        <v>75</v>
      </c>
      <c r="B1" t="s">
        <v>74</v>
      </c>
      <c r="C1" t="s">
        <v>95</v>
      </c>
    </row>
    <row r="2" spans="1:21" x14ac:dyDescent="0.3">
      <c r="A2" s="1" t="s">
        <v>38</v>
      </c>
      <c r="B2" s="1" t="s">
        <v>87</v>
      </c>
      <c r="C2" s="8">
        <v>2018</v>
      </c>
    </row>
    <row r="3" spans="1:21" x14ac:dyDescent="0.3">
      <c r="A3" s="1" t="s">
        <v>0</v>
      </c>
      <c r="B3" s="7"/>
      <c r="C3" s="9"/>
    </row>
    <row r="4" spans="1:21" x14ac:dyDescent="0.3">
      <c r="A4" s="1" t="s">
        <v>1</v>
      </c>
      <c r="B4" s="7"/>
      <c r="C4" s="9"/>
    </row>
    <row r="5" spans="1:21" x14ac:dyDescent="0.3">
      <c r="A5" s="1" t="s">
        <v>2</v>
      </c>
      <c r="B5" s="7"/>
      <c r="C5" s="9"/>
    </row>
    <row r="6" spans="1:21" x14ac:dyDescent="0.3">
      <c r="A6" s="1" t="s">
        <v>3</v>
      </c>
      <c r="B6" s="7"/>
      <c r="C6" s="9"/>
    </row>
    <row r="7" spans="1:21" x14ac:dyDescent="0.3">
      <c r="A7" s="1" t="s">
        <v>4</v>
      </c>
      <c r="B7" s="7"/>
      <c r="C7" s="9"/>
    </row>
    <row r="8" spans="1:21" x14ac:dyDescent="0.3">
      <c r="A8" s="1" t="s">
        <v>5</v>
      </c>
      <c r="B8" s="7"/>
      <c r="C8" s="9"/>
    </row>
    <row r="9" spans="1:21" x14ac:dyDescent="0.3">
      <c r="A9" s="1" t="s">
        <v>6</v>
      </c>
      <c r="B9" s="7"/>
      <c r="C9" s="9"/>
    </row>
    <row r="10" spans="1:21" x14ac:dyDescent="0.3">
      <c r="A10" s="1" t="s">
        <v>7</v>
      </c>
      <c r="B10" s="7" t="s">
        <v>39</v>
      </c>
      <c r="C10" s="9">
        <v>0</v>
      </c>
    </row>
    <row r="11" spans="1:21" x14ac:dyDescent="0.3">
      <c r="A11" s="1" t="s">
        <v>8</v>
      </c>
      <c r="B11" s="7" t="s">
        <v>40</v>
      </c>
      <c r="C11" s="9">
        <f>19826*production_volume_his!D2</f>
        <v>19826000000</v>
      </c>
    </row>
    <row r="12" spans="1:21" x14ac:dyDescent="0.3">
      <c r="A12" s="1" t="s">
        <v>9</v>
      </c>
      <c r="B12" s="7" t="s">
        <v>41</v>
      </c>
      <c r="C12" s="9">
        <f>60039*production_volume_his!D2</f>
        <v>60039000000</v>
      </c>
    </row>
    <row r="13" spans="1:21" x14ac:dyDescent="0.3">
      <c r="A13" s="1" t="s">
        <v>10</v>
      </c>
      <c r="B13" s="7" t="s">
        <v>42</v>
      </c>
      <c r="C13" s="9">
        <f>21898*production_volume_his!D2</f>
        <v>21898000000</v>
      </c>
      <c r="J13" s="2"/>
    </row>
    <row r="14" spans="1:21" x14ac:dyDescent="0.3">
      <c r="A14" s="1" t="s">
        <v>11</v>
      </c>
      <c r="B14" s="7" t="s">
        <v>43</v>
      </c>
      <c r="C14" s="9">
        <f>630070*production_volume_his!D2</f>
        <v>630070000000</v>
      </c>
    </row>
    <row r="15" spans="1:21" x14ac:dyDescent="0.3">
      <c r="A15" s="1" t="s">
        <v>12</v>
      </c>
      <c r="B15" s="7" t="s">
        <v>44</v>
      </c>
      <c r="C15" s="9">
        <f>5602*production_volume_his!D2</f>
        <v>5602000000</v>
      </c>
    </row>
    <row r="16" spans="1:21" x14ac:dyDescent="0.3">
      <c r="A16" s="1" t="s">
        <v>13</v>
      </c>
      <c r="B16" s="7" t="s">
        <v>45</v>
      </c>
      <c r="C16" s="9">
        <f>10912*production_volume_his!D2</f>
        <v>10912000000</v>
      </c>
      <c r="P16" s="4"/>
      <c r="S16">
        <v>2030</v>
      </c>
      <c r="T16">
        <v>2040</v>
      </c>
      <c r="U16">
        <v>2050</v>
      </c>
    </row>
    <row r="17" spans="1:21" x14ac:dyDescent="0.3">
      <c r="A17" s="1" t="s">
        <v>14</v>
      </c>
      <c r="B17" s="7" t="s">
        <v>46</v>
      </c>
      <c r="C17" s="9">
        <f>19787*production_volume_his!D2</f>
        <v>19787000000</v>
      </c>
      <c r="S17">
        <v>94.315545243619482</v>
      </c>
      <c r="T17">
        <v>97.146171693735496</v>
      </c>
      <c r="U17">
        <v>99.578454332552681</v>
      </c>
    </row>
    <row r="18" spans="1:21" x14ac:dyDescent="0.3">
      <c r="A18" s="1" t="s">
        <v>15</v>
      </c>
      <c r="B18" s="7" t="s">
        <v>47</v>
      </c>
      <c r="C18" s="9">
        <f>214290*production_volume_his!D2</f>
        <v>214290000000</v>
      </c>
    </row>
    <row r="19" spans="1:21" x14ac:dyDescent="0.3">
      <c r="A19" s="1" t="s">
        <v>16</v>
      </c>
      <c r="B19" s="7" t="s">
        <v>48</v>
      </c>
      <c r="C19" s="9">
        <f>322692*production_volume_his!D2</f>
        <v>322692000000</v>
      </c>
    </row>
    <row r="20" spans="1:21" x14ac:dyDescent="0.3">
      <c r="A20" s="1" t="s">
        <v>17</v>
      </c>
      <c r="B20" s="7" t="s">
        <v>49</v>
      </c>
      <c r="C20" s="9">
        <f>12942*production_volume_his!D2</f>
        <v>12942000000</v>
      </c>
    </row>
    <row r="21" spans="1:21" x14ac:dyDescent="0.3">
      <c r="A21" s="1" t="s">
        <v>18</v>
      </c>
      <c r="B21" s="7" t="s">
        <v>50</v>
      </c>
      <c r="C21" s="9">
        <f>168218*production_volume_his!D2</f>
        <v>168218000000</v>
      </c>
    </row>
    <row r="22" spans="1:21" x14ac:dyDescent="0.3">
      <c r="A22" s="1" t="s">
        <v>19</v>
      </c>
      <c r="B22" s="7" t="s">
        <v>51</v>
      </c>
      <c r="C22" s="9">
        <f>865*production_volume_his!D2</f>
        <v>865000000</v>
      </c>
    </row>
    <row r="23" spans="1:21" x14ac:dyDescent="0.3">
      <c r="A23" s="1" t="s">
        <v>20</v>
      </c>
      <c r="B23" s="7" t="s">
        <v>52</v>
      </c>
      <c r="C23" s="9">
        <f>23546*production_volume_his!D2</f>
        <v>23546000000</v>
      </c>
    </row>
    <row r="24" spans="1:21" x14ac:dyDescent="0.3">
      <c r="A24" s="1" t="s">
        <v>21</v>
      </c>
      <c r="B24" s="7" t="s">
        <v>53</v>
      </c>
      <c r="C24" s="9">
        <f>24863*production_volume_his!D2</f>
        <v>24863000000</v>
      </c>
    </row>
    <row r="25" spans="1:21" x14ac:dyDescent="0.3">
      <c r="A25" s="1" t="s">
        <v>22</v>
      </c>
      <c r="B25" s="7" t="s">
        <v>54</v>
      </c>
      <c r="C25" s="9">
        <f>2732*production_volume_his!D2</f>
        <v>2732000000</v>
      </c>
    </row>
    <row r="26" spans="1:21" x14ac:dyDescent="0.3">
      <c r="A26" s="1" t="s">
        <v>23</v>
      </c>
      <c r="B26" s="7" t="s">
        <v>55</v>
      </c>
      <c r="C26" s="9">
        <f>39188*production_volume_his!D2</f>
        <v>39188000000</v>
      </c>
    </row>
    <row r="27" spans="1:21" x14ac:dyDescent="0.3">
      <c r="A27" s="1" t="s">
        <v>24</v>
      </c>
      <c r="B27" s="7" t="s">
        <v>24</v>
      </c>
      <c r="C27" s="9">
        <f>0</f>
        <v>0</v>
      </c>
    </row>
    <row r="28" spans="1:21" x14ac:dyDescent="0.3">
      <c r="A28" s="1" t="s">
        <v>25</v>
      </c>
      <c r="B28" s="7" t="s">
        <v>56</v>
      </c>
      <c r="C28" s="9">
        <f>109375*production_volume_his!D2</f>
        <v>109375000000</v>
      </c>
    </row>
    <row r="29" spans="1:21" x14ac:dyDescent="0.3">
      <c r="A29" s="1" t="s">
        <v>26</v>
      </c>
      <c r="B29" s="7" t="s">
        <v>57</v>
      </c>
      <c r="C29" s="9">
        <f>69751*production_volume_his!D2</f>
        <v>69751000000</v>
      </c>
    </row>
    <row r="30" spans="1:21" x14ac:dyDescent="0.3">
      <c r="A30" s="1" t="s">
        <v>27</v>
      </c>
      <c r="B30" s="7" t="s">
        <v>58</v>
      </c>
      <c r="C30" s="9">
        <f>221435*production_volume_his!D2</f>
        <v>221435000000</v>
      </c>
    </row>
    <row r="31" spans="1:21" x14ac:dyDescent="0.3">
      <c r="A31" s="1" t="s">
        <v>28</v>
      </c>
      <c r="B31" s="7" t="s">
        <v>28</v>
      </c>
      <c r="C31" s="9">
        <f>19431*production_volume_his!D2</f>
        <v>19431000000</v>
      </c>
    </row>
    <row r="32" spans="1:21" x14ac:dyDescent="0.3">
      <c r="A32" s="1" t="s">
        <v>29</v>
      </c>
      <c r="B32" s="7" t="s">
        <v>59</v>
      </c>
      <c r="C32" s="9">
        <f>45286*production_volume_his!D2</f>
        <v>45286000000</v>
      </c>
    </row>
    <row r="33" spans="1:22" x14ac:dyDescent="0.3">
      <c r="A33" s="1" t="s">
        <v>30</v>
      </c>
      <c r="B33" s="7" t="s">
        <v>60</v>
      </c>
      <c r="C33" s="9">
        <f>14612*production_volume_his!D2</f>
        <v>14612000000</v>
      </c>
      <c r="V33" t="s">
        <v>83</v>
      </c>
    </row>
    <row r="34" spans="1:22" x14ac:dyDescent="0.3">
      <c r="A34" s="1" t="s">
        <v>31</v>
      </c>
      <c r="B34" s="7" t="s">
        <v>61</v>
      </c>
      <c r="C34" s="9">
        <f>25671*production_volume_his!D2</f>
        <v>25671000000</v>
      </c>
      <c r="V34" t="s">
        <v>84</v>
      </c>
    </row>
    <row r="35" spans="1:22" x14ac:dyDescent="0.3">
      <c r="A35" s="1" t="s">
        <v>32</v>
      </c>
      <c r="B35" s="7" t="s">
        <v>62</v>
      </c>
      <c r="C35" s="9">
        <f>0</f>
        <v>0</v>
      </c>
    </row>
    <row r="36" spans="1:22" x14ac:dyDescent="0.3">
      <c r="A36" s="1" t="s">
        <v>33</v>
      </c>
      <c r="B36" s="7" t="s">
        <v>63</v>
      </c>
      <c r="C36" s="9">
        <f>76711*production_volume_his!D2</f>
        <v>76711000000</v>
      </c>
    </row>
    <row r="37" spans="1:22" x14ac:dyDescent="0.3">
      <c r="A37" s="1" t="s">
        <v>34</v>
      </c>
      <c r="B37" s="7" t="s">
        <v>64</v>
      </c>
      <c r="C37" s="9">
        <f>182605*production_volume_his!D2</f>
        <v>182605000000</v>
      </c>
    </row>
    <row r="38" spans="1:22" x14ac:dyDescent="0.3">
      <c r="A38" s="1" t="s">
        <v>35</v>
      </c>
      <c r="B38" s="7" t="s">
        <v>65</v>
      </c>
      <c r="C38" s="9">
        <v>0</v>
      </c>
    </row>
    <row r="39" spans="1:22" x14ac:dyDescent="0.3">
      <c r="A39" s="1" t="s">
        <v>36</v>
      </c>
      <c r="B39" s="7" t="s">
        <v>66</v>
      </c>
      <c r="C39" s="9">
        <f>26619*production_volume_his!D2</f>
        <v>26619000000</v>
      </c>
    </row>
    <row r="40" spans="1:22" x14ac:dyDescent="0.3">
      <c r="A40" s="1" t="s">
        <v>37</v>
      </c>
      <c r="B40" s="7" t="s">
        <v>67</v>
      </c>
      <c r="C40" s="9">
        <f>0</f>
        <v>0</v>
      </c>
    </row>
    <row r="41" spans="1:22" x14ac:dyDescent="0.3">
      <c r="A41" s="3" t="s">
        <v>68</v>
      </c>
      <c r="B41" s="7" t="s">
        <v>68</v>
      </c>
      <c r="C41" s="9">
        <v>0</v>
      </c>
    </row>
    <row r="42" spans="1:22" x14ac:dyDescent="0.3">
      <c r="A42" s="3" t="s">
        <v>69</v>
      </c>
      <c r="B42" s="7" t="s">
        <v>72</v>
      </c>
      <c r="C42" s="9">
        <v>0</v>
      </c>
    </row>
    <row r="43" spans="1:22" x14ac:dyDescent="0.3">
      <c r="A43" s="5" t="s">
        <v>70</v>
      </c>
      <c r="B43" s="7" t="s">
        <v>71</v>
      </c>
      <c r="C43" s="9">
        <v>0</v>
      </c>
    </row>
    <row r="44" spans="1:22" x14ac:dyDescent="0.3">
      <c r="A44" s="6" t="s">
        <v>79</v>
      </c>
      <c r="B44" s="7" t="s">
        <v>77</v>
      </c>
      <c r="C44" s="9">
        <v>0</v>
      </c>
    </row>
    <row r="45" spans="1:22" x14ac:dyDescent="0.3">
      <c r="A45" s="6" t="s">
        <v>80</v>
      </c>
      <c r="B45" s="7" t="s">
        <v>78</v>
      </c>
      <c r="C45" s="9">
        <v>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H48" sqref="H48"/>
    </sheetView>
  </sheetViews>
  <sheetFormatPr baseColWidth="10" defaultRowHeight="14.4" x14ac:dyDescent="0.3"/>
  <sheetData>
    <row r="1" spans="1:17" x14ac:dyDescent="0.3">
      <c r="A1" t="s">
        <v>75</v>
      </c>
      <c r="B1" t="s">
        <v>74</v>
      </c>
      <c r="C1">
        <v>2018</v>
      </c>
      <c r="D1" t="s">
        <v>99</v>
      </c>
      <c r="E1" t="s">
        <v>100</v>
      </c>
      <c r="G1" t="s">
        <v>101</v>
      </c>
    </row>
    <row r="2" spans="1:17" x14ac:dyDescent="0.3">
      <c r="A2" s="1" t="s">
        <v>38</v>
      </c>
      <c r="B2" s="1"/>
      <c r="C2" s="8">
        <v>2018</v>
      </c>
      <c r="D2">
        <f>10^6</f>
        <v>1000000</v>
      </c>
      <c r="E2" t="s">
        <v>76</v>
      </c>
    </row>
    <row r="3" spans="1:17" x14ac:dyDescent="0.3">
      <c r="A3" s="1" t="s">
        <v>0</v>
      </c>
      <c r="B3" s="7"/>
      <c r="C3" s="9"/>
    </row>
    <row r="4" spans="1:17" x14ac:dyDescent="0.3">
      <c r="A4" s="1" t="s">
        <v>1</v>
      </c>
      <c r="B4" s="7"/>
      <c r="C4" s="9"/>
    </row>
    <row r="5" spans="1:17" x14ac:dyDescent="0.3">
      <c r="A5" s="1" t="s">
        <v>2</v>
      </c>
      <c r="B5" s="7"/>
      <c r="C5" s="9"/>
    </row>
    <row r="6" spans="1:17" x14ac:dyDescent="0.3">
      <c r="A6" s="1" t="s">
        <v>3</v>
      </c>
      <c r="B6" s="7"/>
      <c r="C6" s="9"/>
    </row>
    <row r="7" spans="1:17" x14ac:dyDescent="0.3">
      <c r="A7" s="1" t="s">
        <v>4</v>
      </c>
      <c r="B7" s="7"/>
      <c r="C7" s="9"/>
    </row>
    <row r="8" spans="1:17" x14ac:dyDescent="0.3">
      <c r="A8" s="1" t="s">
        <v>5</v>
      </c>
      <c r="B8" s="7"/>
      <c r="C8" s="9"/>
    </row>
    <row r="9" spans="1:17" x14ac:dyDescent="0.3">
      <c r="A9" s="1" t="s">
        <v>6</v>
      </c>
      <c r="B9" s="7"/>
      <c r="C9" s="9"/>
      <c r="P9">
        <v>2018</v>
      </c>
      <c r="Q9">
        <v>2050</v>
      </c>
    </row>
    <row r="10" spans="1:17" x14ac:dyDescent="0.3">
      <c r="A10" s="1" t="s">
        <v>7</v>
      </c>
      <c r="B10" s="7" t="s">
        <v>39</v>
      </c>
      <c r="C10" s="9">
        <f>J10*1000</f>
        <v>18088555.761019602</v>
      </c>
      <c r="D10">
        <v>1416</v>
      </c>
      <c r="E10">
        <f t="shared" ref="E10:E45" si="0">D10*1000</f>
        <v>1416000</v>
      </c>
      <c r="G10">
        <f>(E10/C10)*100</f>
        <v>7.8281539925450856</v>
      </c>
      <c r="J10" s="9">
        <v>18088.555761019601</v>
      </c>
      <c r="O10" t="s">
        <v>39</v>
      </c>
      <c r="P10">
        <v>18088555.761019602</v>
      </c>
      <c r="Q10">
        <v>18676018.36104374</v>
      </c>
    </row>
    <row r="11" spans="1:17" x14ac:dyDescent="0.3">
      <c r="A11" s="1" t="s">
        <v>8</v>
      </c>
      <c r="B11" s="7" t="s">
        <v>40</v>
      </c>
      <c r="C11" s="9">
        <f t="shared" ref="C11:C45" si="1">J11*1000</f>
        <v>3542956.372</v>
      </c>
      <c r="D11">
        <v>30</v>
      </c>
      <c r="E11">
        <f t="shared" si="0"/>
        <v>30000</v>
      </c>
      <c r="G11">
        <f t="shared" ref="G11:G45" si="2">(E11/C11)*100</f>
        <v>0.8467504775698097</v>
      </c>
      <c r="J11" s="9">
        <v>3542.9563720000001</v>
      </c>
      <c r="O11" t="s">
        <v>40</v>
      </c>
      <c r="P11">
        <v>3542956.372</v>
      </c>
      <c r="Q11">
        <v>3168070.3394193929</v>
      </c>
    </row>
    <row r="12" spans="1:17" x14ac:dyDescent="0.3">
      <c r="A12" s="1" t="s">
        <v>9</v>
      </c>
      <c r="B12" s="7" t="s">
        <v>41</v>
      </c>
      <c r="C12" s="9">
        <f t="shared" si="1"/>
        <v>9981085.847000001</v>
      </c>
      <c r="D12">
        <v>91</v>
      </c>
      <c r="E12">
        <f t="shared" si="0"/>
        <v>91000</v>
      </c>
      <c r="G12">
        <f t="shared" si="2"/>
        <v>0.91172444957330689</v>
      </c>
      <c r="J12" s="9">
        <v>9981.0858470000003</v>
      </c>
      <c r="O12" t="s">
        <v>41</v>
      </c>
      <c r="P12">
        <v>9981085.847000001</v>
      </c>
      <c r="Q12">
        <v>8366353.725753488</v>
      </c>
    </row>
    <row r="13" spans="1:17" x14ac:dyDescent="0.3">
      <c r="A13" s="1" t="s">
        <v>10</v>
      </c>
      <c r="B13" s="7" t="s">
        <v>42</v>
      </c>
      <c r="C13" s="9">
        <f t="shared" si="1"/>
        <v>2786996.361333333</v>
      </c>
      <c r="D13">
        <v>242</v>
      </c>
      <c r="E13">
        <f t="shared" si="0"/>
        <v>242000</v>
      </c>
      <c r="G13">
        <f t="shared" si="2"/>
        <v>8.6831832060313232</v>
      </c>
      <c r="J13" s="9">
        <v>2786.996361333333</v>
      </c>
      <c r="O13" t="s">
        <v>42</v>
      </c>
      <c r="P13">
        <v>2786996.361333333</v>
      </c>
      <c r="Q13">
        <v>2829458.0420706179</v>
      </c>
    </row>
    <row r="14" spans="1:17" x14ac:dyDescent="0.3">
      <c r="A14" s="1" t="s">
        <v>11</v>
      </c>
      <c r="B14" s="7" t="s">
        <v>43</v>
      </c>
      <c r="C14" s="9">
        <f t="shared" si="1"/>
        <v>104551922.3823529</v>
      </c>
      <c r="D14">
        <v>4840</v>
      </c>
      <c r="E14">
        <f t="shared" si="0"/>
        <v>4840000</v>
      </c>
      <c r="G14">
        <f t="shared" si="2"/>
        <v>4.6292788211964364</v>
      </c>
      <c r="J14" s="9">
        <v>104551.9223823529</v>
      </c>
      <c r="O14" t="s">
        <v>43</v>
      </c>
      <c r="P14">
        <v>104551922.3823529</v>
      </c>
      <c r="Q14">
        <v>113663714.4740715</v>
      </c>
    </row>
    <row r="15" spans="1:17" x14ac:dyDescent="0.3">
      <c r="A15" s="1" t="s">
        <v>12</v>
      </c>
      <c r="B15" s="7" t="s">
        <v>44</v>
      </c>
      <c r="C15" s="9">
        <f t="shared" si="1"/>
        <v>693231.06883333332</v>
      </c>
      <c r="D15">
        <v>11</v>
      </c>
      <c r="E15">
        <f t="shared" si="0"/>
        <v>11000</v>
      </c>
      <c r="G15">
        <f t="shared" si="2"/>
        <v>1.5867725055243624</v>
      </c>
      <c r="J15" s="9">
        <v>693.23106883333332</v>
      </c>
      <c r="O15" t="s">
        <v>44</v>
      </c>
      <c r="P15">
        <v>693231.06883333332</v>
      </c>
      <c r="Q15">
        <v>1041855.611117443</v>
      </c>
    </row>
    <row r="16" spans="1:17" x14ac:dyDescent="0.3">
      <c r="A16" s="1" t="s">
        <v>13</v>
      </c>
      <c r="B16" s="7" t="s">
        <v>45</v>
      </c>
      <c r="C16" s="9">
        <f t="shared" si="1"/>
        <v>3247464.16</v>
      </c>
      <c r="D16">
        <v>156</v>
      </c>
      <c r="E16">
        <f t="shared" si="0"/>
        <v>156000</v>
      </c>
      <c r="G16">
        <f t="shared" si="2"/>
        <v>4.8037481651529603</v>
      </c>
      <c r="J16" s="9">
        <v>3247.46416</v>
      </c>
      <c r="O16" t="s">
        <v>45</v>
      </c>
      <c r="P16">
        <v>3247464.16</v>
      </c>
      <c r="Q16">
        <v>4455107.803043697</v>
      </c>
    </row>
    <row r="17" spans="1:17" x14ac:dyDescent="0.3">
      <c r="A17" s="1" t="s">
        <v>14</v>
      </c>
      <c r="B17" s="7" t="s">
        <v>46</v>
      </c>
      <c r="C17" s="9">
        <f t="shared" si="1"/>
        <v>20685861.695266671</v>
      </c>
      <c r="D17">
        <v>97</v>
      </c>
      <c r="E17">
        <f t="shared" si="0"/>
        <v>97000</v>
      </c>
      <c r="G17">
        <f t="shared" si="2"/>
        <v>0.46891931034323553</v>
      </c>
      <c r="J17" s="9">
        <v>20685.861695266671</v>
      </c>
      <c r="O17" t="s">
        <v>46</v>
      </c>
      <c r="P17">
        <v>20685861.695266671</v>
      </c>
      <c r="Q17">
        <v>22490371.901490372</v>
      </c>
    </row>
    <row r="18" spans="1:17" x14ac:dyDescent="0.3">
      <c r="A18" s="1" t="s">
        <v>15</v>
      </c>
      <c r="B18" s="7" t="s">
        <v>47</v>
      </c>
      <c r="C18" s="9">
        <f t="shared" si="1"/>
        <v>39656658.482941173</v>
      </c>
      <c r="D18">
        <v>807</v>
      </c>
      <c r="E18">
        <f t="shared" si="0"/>
        <v>807000</v>
      </c>
      <c r="G18">
        <f t="shared" si="2"/>
        <v>2.0349672182973801</v>
      </c>
      <c r="J18" s="9">
        <v>39656.658482941173</v>
      </c>
      <c r="O18" t="s">
        <v>47</v>
      </c>
      <c r="P18">
        <v>39656658.482941173</v>
      </c>
      <c r="Q18">
        <v>81032277.495443851</v>
      </c>
    </row>
    <row r="19" spans="1:17" x14ac:dyDescent="0.3">
      <c r="A19" s="1" t="s">
        <v>16</v>
      </c>
      <c r="B19" s="7" t="s">
        <v>48</v>
      </c>
      <c r="C19" s="9">
        <f t="shared" si="1"/>
        <v>44669406.18588236</v>
      </c>
      <c r="D19">
        <v>2459</v>
      </c>
      <c r="E19">
        <f t="shared" si="0"/>
        <v>2459000</v>
      </c>
      <c r="G19">
        <f t="shared" si="2"/>
        <v>5.5048862520522155</v>
      </c>
      <c r="J19" s="9">
        <v>44669.406185882362</v>
      </c>
      <c r="O19" t="s">
        <v>48</v>
      </c>
      <c r="P19">
        <v>44669406.18588236</v>
      </c>
      <c r="Q19">
        <v>37425830.084576093</v>
      </c>
    </row>
    <row r="20" spans="1:17" x14ac:dyDescent="0.3">
      <c r="A20" s="1" t="s">
        <v>17</v>
      </c>
      <c r="B20" s="7" t="s">
        <v>49</v>
      </c>
      <c r="C20" s="9">
        <f t="shared" si="1"/>
        <v>3342281.037</v>
      </c>
      <c r="D20">
        <v>12</v>
      </c>
      <c r="E20">
        <f t="shared" si="0"/>
        <v>12000</v>
      </c>
      <c r="G20">
        <f t="shared" si="2"/>
        <v>0.35903623504895588</v>
      </c>
      <c r="J20" s="9">
        <v>3342.2810370000002</v>
      </c>
      <c r="O20" t="s">
        <v>49</v>
      </c>
      <c r="P20">
        <v>3342281.037</v>
      </c>
      <c r="Q20">
        <v>5384944.8334650453</v>
      </c>
    </row>
    <row r="21" spans="1:17" x14ac:dyDescent="0.3">
      <c r="A21" s="1" t="s">
        <v>18</v>
      </c>
      <c r="B21" s="7" t="s">
        <v>50</v>
      </c>
      <c r="C21" s="9">
        <f t="shared" si="1"/>
        <v>59102480.529411763</v>
      </c>
      <c r="D21">
        <v>1055</v>
      </c>
      <c r="E21">
        <f t="shared" si="0"/>
        <v>1055000</v>
      </c>
      <c r="G21">
        <f t="shared" si="2"/>
        <v>1.7850350620647635</v>
      </c>
      <c r="J21" s="9">
        <v>59102.480529411761</v>
      </c>
      <c r="O21" t="s">
        <v>50</v>
      </c>
      <c r="P21">
        <v>59102480.529411763</v>
      </c>
      <c r="Q21">
        <v>86883470.865068793</v>
      </c>
    </row>
    <row r="22" spans="1:17" x14ac:dyDescent="0.3">
      <c r="A22" s="1" t="s">
        <v>19</v>
      </c>
      <c r="B22" s="7" t="s">
        <v>51</v>
      </c>
      <c r="C22" s="9">
        <f t="shared" si="1"/>
        <v>1025281.509</v>
      </c>
      <c r="D22">
        <v>32</v>
      </c>
      <c r="E22">
        <f t="shared" si="0"/>
        <v>32000</v>
      </c>
      <c r="G22">
        <f t="shared" si="2"/>
        <v>3.1210940331120316</v>
      </c>
      <c r="J22" s="9">
        <v>1025.2815089999999</v>
      </c>
      <c r="O22" t="s">
        <v>51</v>
      </c>
      <c r="P22">
        <v>1025281.509</v>
      </c>
      <c r="Q22">
        <v>0</v>
      </c>
    </row>
    <row r="23" spans="1:17" x14ac:dyDescent="0.3">
      <c r="A23" s="1" t="s">
        <v>20</v>
      </c>
      <c r="B23" s="7" t="s">
        <v>52</v>
      </c>
      <c r="C23" s="9">
        <f t="shared" si="1"/>
        <v>1271925.4856005879</v>
      </c>
      <c r="D23">
        <v>25</v>
      </c>
      <c r="E23">
        <f t="shared" si="0"/>
        <v>25000</v>
      </c>
      <c r="G23">
        <f t="shared" si="2"/>
        <v>1.9655239464122616</v>
      </c>
      <c r="J23" s="9">
        <v>1271.925485600588</v>
      </c>
      <c r="O23" t="s">
        <v>52</v>
      </c>
      <c r="P23">
        <v>1271925.4856005879</v>
      </c>
      <c r="Q23">
        <v>1923315.669203029</v>
      </c>
    </row>
    <row r="24" spans="1:17" x14ac:dyDescent="0.3">
      <c r="A24" s="1" t="s">
        <v>21</v>
      </c>
      <c r="B24" s="7" t="s">
        <v>53</v>
      </c>
      <c r="C24" s="9">
        <f t="shared" si="1"/>
        <v>1305323.7650000001</v>
      </c>
      <c r="D24">
        <v>17</v>
      </c>
      <c r="E24">
        <f t="shared" si="0"/>
        <v>17000</v>
      </c>
      <c r="G24">
        <f t="shared" si="2"/>
        <v>1.3023588825872634</v>
      </c>
      <c r="J24" s="9">
        <v>1305.3237650000001</v>
      </c>
      <c r="O24" t="s">
        <v>53</v>
      </c>
      <c r="P24">
        <v>1305323.7650000001</v>
      </c>
      <c r="Q24">
        <v>1029005.164873556</v>
      </c>
    </row>
    <row r="25" spans="1:17" x14ac:dyDescent="0.3">
      <c r="A25" s="1" t="s">
        <v>22</v>
      </c>
      <c r="B25" s="7" t="s">
        <v>54</v>
      </c>
      <c r="C25" s="9">
        <f t="shared" si="1"/>
        <v>3636144.9019999998</v>
      </c>
      <c r="D25">
        <v>895</v>
      </c>
      <c r="E25">
        <f t="shared" si="0"/>
        <v>895000</v>
      </c>
      <c r="G25">
        <f t="shared" si="2"/>
        <v>24.613980578929088</v>
      </c>
      <c r="J25" s="9">
        <v>3636.144902</v>
      </c>
      <c r="O25" t="s">
        <v>54</v>
      </c>
      <c r="P25">
        <v>3636144.9019999998</v>
      </c>
      <c r="Q25">
        <v>0</v>
      </c>
    </row>
    <row r="26" spans="1:17" x14ac:dyDescent="0.3">
      <c r="A26" s="1" t="s">
        <v>23</v>
      </c>
      <c r="B26" s="7" t="s">
        <v>55</v>
      </c>
      <c r="C26" s="9">
        <f t="shared" si="1"/>
        <v>5695019.5243333327</v>
      </c>
      <c r="D26">
        <v>101</v>
      </c>
      <c r="E26">
        <f t="shared" si="0"/>
        <v>101000</v>
      </c>
      <c r="G26">
        <f t="shared" si="2"/>
        <v>1.7734794335375559</v>
      </c>
      <c r="J26" s="9">
        <v>5695.0195243333328</v>
      </c>
      <c r="O26" t="s">
        <v>55</v>
      </c>
      <c r="P26">
        <v>5695019.5243333327</v>
      </c>
      <c r="Q26">
        <v>4339188.8818211947</v>
      </c>
    </row>
    <row r="27" spans="1:17" x14ac:dyDescent="0.3">
      <c r="A27" s="1" t="s">
        <v>24</v>
      </c>
      <c r="B27" s="7" t="s">
        <v>24</v>
      </c>
      <c r="C27" s="9">
        <f t="shared" si="1"/>
        <v>0</v>
      </c>
      <c r="D27">
        <v>18</v>
      </c>
      <c r="E27">
        <f t="shared" si="0"/>
        <v>18000</v>
      </c>
      <c r="G27" t="e">
        <f t="shared" si="2"/>
        <v>#DIV/0!</v>
      </c>
      <c r="J27" s="9">
        <v>0</v>
      </c>
      <c r="O27" t="s">
        <v>24</v>
      </c>
      <c r="P27">
        <v>0</v>
      </c>
      <c r="Q27">
        <v>0</v>
      </c>
    </row>
    <row r="28" spans="1:17" x14ac:dyDescent="0.3">
      <c r="A28" s="1" t="s">
        <v>25</v>
      </c>
      <c r="B28" s="7" t="s">
        <v>56</v>
      </c>
      <c r="C28" s="9">
        <f t="shared" si="1"/>
        <v>12183888.088</v>
      </c>
      <c r="D28">
        <v>1840</v>
      </c>
      <c r="E28">
        <f t="shared" si="0"/>
        <v>1840000</v>
      </c>
      <c r="G28">
        <f t="shared" si="2"/>
        <v>15.10191153029573</v>
      </c>
      <c r="J28" s="9">
        <v>12183.888088</v>
      </c>
      <c r="O28" t="s">
        <v>56</v>
      </c>
      <c r="P28">
        <v>12183888.088</v>
      </c>
      <c r="Q28">
        <v>12994608.754077191</v>
      </c>
    </row>
    <row r="29" spans="1:17" x14ac:dyDescent="0.3">
      <c r="A29" s="1" t="s">
        <v>26</v>
      </c>
      <c r="B29" s="7" t="s">
        <v>57</v>
      </c>
      <c r="C29" s="9">
        <f t="shared" si="1"/>
        <v>16483740.878</v>
      </c>
      <c r="D29">
        <v>238</v>
      </c>
      <c r="E29">
        <f t="shared" si="0"/>
        <v>238000</v>
      </c>
      <c r="G29">
        <f t="shared" si="2"/>
        <v>1.4438470111942026</v>
      </c>
      <c r="J29" s="9">
        <v>16483.740878000001</v>
      </c>
      <c r="O29" t="s">
        <v>57</v>
      </c>
      <c r="P29">
        <v>16483740.878</v>
      </c>
      <c r="Q29">
        <v>21146772.84506616</v>
      </c>
    </row>
    <row r="30" spans="1:17" x14ac:dyDescent="0.3">
      <c r="A30" s="1" t="s">
        <v>27</v>
      </c>
      <c r="B30" s="7" t="s">
        <v>58</v>
      </c>
      <c r="C30" s="9">
        <f t="shared" si="1"/>
        <v>33490591.189999998</v>
      </c>
      <c r="D30">
        <v>135</v>
      </c>
      <c r="E30">
        <f t="shared" si="0"/>
        <v>135000</v>
      </c>
      <c r="G30">
        <f t="shared" si="2"/>
        <v>0.40309828881226151</v>
      </c>
      <c r="J30" s="9">
        <v>33490.591189999999</v>
      </c>
      <c r="O30" t="s">
        <v>58</v>
      </c>
      <c r="P30">
        <v>33490591.189999998</v>
      </c>
      <c r="Q30">
        <v>35417067.968210123</v>
      </c>
    </row>
    <row r="31" spans="1:17" x14ac:dyDescent="0.3">
      <c r="A31" s="1" t="s">
        <v>28</v>
      </c>
      <c r="B31" s="7" t="s">
        <v>28</v>
      </c>
      <c r="C31" s="9">
        <f t="shared" si="1"/>
        <v>10428737.226</v>
      </c>
      <c r="D31">
        <v>173</v>
      </c>
      <c r="E31">
        <f t="shared" si="0"/>
        <v>173000</v>
      </c>
      <c r="G31">
        <f t="shared" si="2"/>
        <v>1.6588777361145106</v>
      </c>
      <c r="J31" s="9">
        <v>10428.737225999999</v>
      </c>
      <c r="O31" t="s">
        <v>28</v>
      </c>
      <c r="P31">
        <v>10428737.226</v>
      </c>
      <c r="Q31">
        <v>21333676.351856489</v>
      </c>
    </row>
    <row r="32" spans="1:17" x14ac:dyDescent="0.3">
      <c r="A32" s="1" t="s">
        <v>29</v>
      </c>
      <c r="B32" s="7" t="s">
        <v>59</v>
      </c>
      <c r="C32" s="9">
        <f t="shared" si="1"/>
        <v>13063616.12633333</v>
      </c>
      <c r="D32">
        <v>45</v>
      </c>
      <c r="E32">
        <f t="shared" si="0"/>
        <v>45000</v>
      </c>
      <c r="G32">
        <f t="shared" si="2"/>
        <v>0.34446817454540829</v>
      </c>
      <c r="J32" s="9">
        <v>13063.616126333331</v>
      </c>
      <c r="O32" t="s">
        <v>59</v>
      </c>
      <c r="P32">
        <v>13063616.12633333</v>
      </c>
      <c r="Q32">
        <v>8639836.6110029221</v>
      </c>
    </row>
    <row r="33" spans="1:17" x14ac:dyDescent="0.3">
      <c r="A33" s="1" t="s">
        <v>30</v>
      </c>
      <c r="B33" s="7" t="s">
        <v>60</v>
      </c>
      <c r="C33" s="9">
        <f t="shared" si="1"/>
        <v>2631003.2516000001</v>
      </c>
      <c r="D33">
        <v>12</v>
      </c>
      <c r="E33">
        <f t="shared" si="0"/>
        <v>12000</v>
      </c>
      <c r="G33">
        <f t="shared" si="2"/>
        <v>0.45609977839071103</v>
      </c>
      <c r="J33" s="9">
        <v>2631.0032516000001</v>
      </c>
      <c r="O33" t="s">
        <v>60</v>
      </c>
      <c r="P33">
        <v>2631003.2516000001</v>
      </c>
      <c r="Q33">
        <v>3281220.406912501</v>
      </c>
    </row>
    <row r="34" spans="1:17" x14ac:dyDescent="0.3">
      <c r="A34" s="1" t="s">
        <v>31</v>
      </c>
      <c r="B34" s="7" t="s">
        <v>61</v>
      </c>
      <c r="C34" s="9">
        <f t="shared" si="1"/>
        <v>10533034.6537451</v>
      </c>
      <c r="D34">
        <v>25</v>
      </c>
      <c r="E34">
        <f t="shared" si="0"/>
        <v>25000</v>
      </c>
      <c r="G34">
        <f t="shared" si="2"/>
        <v>0.23734850232464641</v>
      </c>
      <c r="J34" s="9">
        <v>10533.034653745101</v>
      </c>
      <c r="O34" t="s">
        <v>61</v>
      </c>
      <c r="P34">
        <v>10533034.6537451</v>
      </c>
      <c r="Q34">
        <v>9812124.1929280944</v>
      </c>
    </row>
    <row r="35" spans="1:17" x14ac:dyDescent="0.3">
      <c r="A35" s="1" t="s">
        <v>32</v>
      </c>
      <c r="B35" s="7" t="s">
        <v>62</v>
      </c>
      <c r="C35" s="9">
        <f t="shared" si="1"/>
        <v>16440415.849745099</v>
      </c>
      <c r="D35">
        <v>197</v>
      </c>
      <c r="E35">
        <f t="shared" si="0"/>
        <v>197000</v>
      </c>
      <c r="G35">
        <f t="shared" si="2"/>
        <v>1.1982665268351738</v>
      </c>
      <c r="J35" s="9">
        <v>16440.415849745099</v>
      </c>
      <c r="O35" t="s">
        <v>62</v>
      </c>
      <c r="P35">
        <v>16440415.849745099</v>
      </c>
      <c r="Q35">
        <v>13040738.09602966</v>
      </c>
    </row>
    <row r="36" spans="1:17" x14ac:dyDescent="0.3">
      <c r="A36" s="1" t="s">
        <v>33</v>
      </c>
      <c r="B36" s="7" t="s">
        <v>63</v>
      </c>
      <c r="C36" s="9">
        <f t="shared" si="1"/>
        <v>18513492.193333331</v>
      </c>
      <c r="D36">
        <v>159</v>
      </c>
      <c r="E36">
        <f t="shared" si="0"/>
        <v>159000</v>
      </c>
      <c r="G36">
        <f t="shared" si="2"/>
        <v>0.85883310582136174</v>
      </c>
      <c r="J36" s="9">
        <v>18513.492193333332</v>
      </c>
      <c r="O36" t="s">
        <v>63</v>
      </c>
      <c r="P36">
        <v>18513492.193333331</v>
      </c>
      <c r="Q36">
        <v>18945335.67829524</v>
      </c>
    </row>
    <row r="37" spans="1:17" x14ac:dyDescent="0.3">
      <c r="A37" s="1" t="s">
        <v>34</v>
      </c>
      <c r="B37" s="7" t="s">
        <v>64</v>
      </c>
      <c r="C37" s="9">
        <f t="shared" si="1"/>
        <v>25188077.122941181</v>
      </c>
      <c r="D37">
        <v>2741</v>
      </c>
      <c r="E37">
        <f t="shared" si="0"/>
        <v>2741000</v>
      </c>
      <c r="G37">
        <f t="shared" si="2"/>
        <v>10.882132790928729</v>
      </c>
      <c r="J37" s="9">
        <v>25188.07712294118</v>
      </c>
      <c r="O37" t="s">
        <v>64</v>
      </c>
      <c r="P37">
        <v>25188077.122941181</v>
      </c>
      <c r="Q37">
        <v>8011274.3531157412</v>
      </c>
    </row>
    <row r="38" spans="1:17" x14ac:dyDescent="0.3">
      <c r="A38" s="1" t="s">
        <v>35</v>
      </c>
      <c r="B38" s="7" t="s">
        <v>65</v>
      </c>
      <c r="C38" s="9">
        <f t="shared" si="1"/>
        <v>1092706.9728999999</v>
      </c>
      <c r="D38">
        <v>56</v>
      </c>
      <c r="E38">
        <f t="shared" si="0"/>
        <v>56000</v>
      </c>
      <c r="G38">
        <f t="shared" si="2"/>
        <v>5.1248872194325141</v>
      </c>
      <c r="J38" s="9">
        <v>1092.7069729</v>
      </c>
      <c r="O38" t="s">
        <v>65</v>
      </c>
      <c r="P38">
        <v>1092706.9728999999</v>
      </c>
      <c r="Q38">
        <v>1891003.185691365</v>
      </c>
    </row>
    <row r="39" spans="1:17" x14ac:dyDescent="0.3">
      <c r="A39" s="1" t="s">
        <v>36</v>
      </c>
      <c r="B39" s="7" t="s">
        <v>66</v>
      </c>
      <c r="C39" s="9">
        <f t="shared" si="1"/>
        <v>4957383.5529999994</v>
      </c>
      <c r="D39">
        <v>175</v>
      </c>
      <c r="E39">
        <f t="shared" si="0"/>
        <v>175000</v>
      </c>
      <c r="G39">
        <f t="shared" si="2"/>
        <v>3.5300879613016303</v>
      </c>
      <c r="J39" s="9">
        <v>4957.3835529999997</v>
      </c>
      <c r="O39" t="s">
        <v>66</v>
      </c>
      <c r="P39">
        <v>4957383.5529999994</v>
      </c>
      <c r="Q39">
        <v>3882279.490127983</v>
      </c>
    </row>
    <row r="40" spans="1:17" x14ac:dyDescent="0.3">
      <c r="A40" s="1" t="s">
        <v>37</v>
      </c>
      <c r="B40" s="7" t="s">
        <v>67</v>
      </c>
      <c r="C40" s="9">
        <f t="shared" si="1"/>
        <v>7431192.8989999993</v>
      </c>
      <c r="D40">
        <v>431</v>
      </c>
      <c r="E40">
        <f t="shared" si="0"/>
        <v>431000</v>
      </c>
      <c r="G40">
        <f t="shared" si="2"/>
        <v>5.7998763571054495</v>
      </c>
      <c r="J40" s="9">
        <v>7431.1928989999997</v>
      </c>
      <c r="O40" t="s">
        <v>67</v>
      </c>
      <c r="P40">
        <v>7431192.8989999993</v>
      </c>
      <c r="Q40">
        <v>7043422.9324382246</v>
      </c>
    </row>
    <row r="41" spans="1:17" x14ac:dyDescent="0.3">
      <c r="A41" s="3" t="s">
        <v>68</v>
      </c>
      <c r="B41" s="7" t="s">
        <v>68</v>
      </c>
      <c r="C41" s="9">
        <f t="shared" si="1"/>
        <v>170000</v>
      </c>
      <c r="D41">
        <v>0</v>
      </c>
      <c r="E41">
        <f t="shared" si="0"/>
        <v>0</v>
      </c>
      <c r="G41">
        <f t="shared" si="2"/>
        <v>0</v>
      </c>
      <c r="J41" s="9">
        <v>170</v>
      </c>
      <c r="O41" t="s">
        <v>68</v>
      </c>
      <c r="P41">
        <v>170000</v>
      </c>
      <c r="Q41">
        <v>164049.9686751808</v>
      </c>
    </row>
    <row r="42" spans="1:17" x14ac:dyDescent="0.3">
      <c r="A42" s="3" t="s">
        <v>69</v>
      </c>
      <c r="B42" s="7" t="s">
        <v>72</v>
      </c>
      <c r="C42" s="9">
        <f t="shared" si="1"/>
        <v>1203108.4151000001</v>
      </c>
      <c r="D42">
        <v>0</v>
      </c>
      <c r="E42">
        <f t="shared" si="0"/>
        <v>0</v>
      </c>
      <c r="G42">
        <f t="shared" si="2"/>
        <v>0</v>
      </c>
      <c r="J42" s="9">
        <v>1203.1084151</v>
      </c>
      <c r="O42" t="s">
        <v>72</v>
      </c>
      <c r="P42">
        <v>1203108.4151000001</v>
      </c>
      <c r="Q42">
        <v>1484984.6131009921</v>
      </c>
    </row>
    <row r="43" spans="1:17" x14ac:dyDescent="0.3">
      <c r="A43" s="5" t="s">
        <v>70</v>
      </c>
      <c r="B43" s="7" t="s">
        <v>71</v>
      </c>
      <c r="C43" s="9">
        <f t="shared" si="1"/>
        <v>3953864.6340000001</v>
      </c>
      <c r="D43">
        <v>0</v>
      </c>
      <c r="E43">
        <f t="shared" si="0"/>
        <v>0</v>
      </c>
      <c r="G43">
        <f t="shared" si="2"/>
        <v>0</v>
      </c>
      <c r="J43" s="9">
        <v>3953.864634</v>
      </c>
      <c r="O43" t="s">
        <v>71</v>
      </c>
      <c r="P43">
        <v>3953864.6340000001</v>
      </c>
      <c r="Q43">
        <v>4302209.681965081</v>
      </c>
    </row>
    <row r="44" spans="1:17" x14ac:dyDescent="0.3">
      <c r="A44" s="6" t="s">
        <v>79</v>
      </c>
      <c r="B44" s="7" t="s">
        <v>77</v>
      </c>
      <c r="C44" s="9">
        <f t="shared" si="1"/>
        <v>1933802.5190000001</v>
      </c>
      <c r="D44">
        <v>0</v>
      </c>
      <c r="E44">
        <f t="shared" si="0"/>
        <v>0</v>
      </c>
      <c r="G44">
        <f t="shared" si="2"/>
        <v>0</v>
      </c>
      <c r="J44" s="9">
        <v>1933.8025190000001</v>
      </c>
      <c r="O44" t="s">
        <v>77</v>
      </c>
      <c r="P44">
        <v>1933802.5190000001</v>
      </c>
      <c r="Q44">
        <v>2553230.0972195342</v>
      </c>
    </row>
    <row r="45" spans="1:17" x14ac:dyDescent="0.3">
      <c r="A45" s="6" t="s">
        <v>80</v>
      </c>
      <c r="B45" s="7" t="s">
        <v>78</v>
      </c>
      <c r="C45" s="9">
        <f t="shared" si="1"/>
        <v>1628311.2627999999</v>
      </c>
      <c r="D45">
        <v>0</v>
      </c>
      <c r="E45">
        <f t="shared" si="0"/>
        <v>0</v>
      </c>
      <c r="G45">
        <f t="shared" si="2"/>
        <v>0</v>
      </c>
      <c r="J45" s="9">
        <v>1628.3112627999999</v>
      </c>
      <c r="O45" t="s">
        <v>78</v>
      </c>
      <c r="P45">
        <v>1628311.2627999999</v>
      </c>
      <c r="Q45">
        <v>1426050.8914404041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C14" sqref="C14"/>
    </sheetView>
  </sheetViews>
  <sheetFormatPr baseColWidth="10" defaultRowHeight="14.4" x14ac:dyDescent="0.3"/>
  <sheetData>
    <row r="1" spans="1:7" x14ac:dyDescent="0.3">
      <c r="A1" t="s">
        <v>75</v>
      </c>
      <c r="B1" t="s">
        <v>74</v>
      </c>
      <c r="C1">
        <v>2050</v>
      </c>
      <c r="D1" t="s">
        <v>91</v>
      </c>
    </row>
    <row r="2" spans="1:7" x14ac:dyDescent="0.3">
      <c r="A2" s="1" t="s">
        <v>38</v>
      </c>
      <c r="B2" s="1"/>
      <c r="C2" s="8">
        <v>2050</v>
      </c>
    </row>
    <row r="3" spans="1:7" x14ac:dyDescent="0.3">
      <c r="A3" s="1" t="s">
        <v>0</v>
      </c>
      <c r="B3" s="7"/>
      <c r="C3" s="9"/>
    </row>
    <row r="4" spans="1:7" x14ac:dyDescent="0.3">
      <c r="A4" s="1" t="s">
        <v>1</v>
      </c>
      <c r="B4" s="7"/>
      <c r="C4" s="9"/>
    </row>
    <row r="5" spans="1:7" x14ac:dyDescent="0.3">
      <c r="A5" s="1" t="s">
        <v>2</v>
      </c>
      <c r="B5" s="7"/>
      <c r="C5" s="9"/>
    </row>
    <row r="6" spans="1:7" x14ac:dyDescent="0.3">
      <c r="A6" s="1" t="s">
        <v>3</v>
      </c>
      <c r="B6" s="7"/>
      <c r="C6" s="9"/>
    </row>
    <row r="7" spans="1:7" x14ac:dyDescent="0.3">
      <c r="A7" s="1" t="s">
        <v>4</v>
      </c>
      <c r="B7" s="7"/>
      <c r="C7" s="9"/>
    </row>
    <row r="8" spans="1:7" x14ac:dyDescent="0.3">
      <c r="A8" s="1" t="s">
        <v>5</v>
      </c>
      <c r="B8" s="7"/>
      <c r="C8" s="9"/>
    </row>
    <row r="9" spans="1:7" x14ac:dyDescent="0.3">
      <c r="A9" s="1" t="s">
        <v>6</v>
      </c>
      <c r="B9" s="7"/>
      <c r="C9" s="9" t="s">
        <v>95</v>
      </c>
      <c r="D9" t="s">
        <v>106</v>
      </c>
      <c r="E9" t="s">
        <v>107</v>
      </c>
      <c r="G9" t="s">
        <v>98</v>
      </c>
    </row>
    <row r="10" spans="1:7" x14ac:dyDescent="0.3">
      <c r="A10" s="1" t="s">
        <v>7</v>
      </c>
      <c r="B10" s="7" t="s">
        <v>39</v>
      </c>
      <c r="C10" s="9">
        <v>19430376.903430559</v>
      </c>
      <c r="D10">
        <f>C10*(production_volume_his!G10/100)</f>
        <v>1521039.8253324574</v>
      </c>
      <c r="E10">
        <f>C10-D10</f>
        <v>17909337.0780981</v>
      </c>
    </row>
    <row r="11" spans="1:7" x14ac:dyDescent="0.3">
      <c r="A11" s="1" t="s">
        <v>8</v>
      </c>
      <c r="B11" s="7" t="s">
        <v>40</v>
      </c>
      <c r="C11" s="9">
        <v>4031986.393935001</v>
      </c>
      <c r="D11">
        <f>C11*(production_volume_his!G11/100)</f>
        <v>34140.864046194365</v>
      </c>
      <c r="E11">
        <f t="shared" ref="E11:E45" si="0">C11-D11</f>
        <v>3997845.5298888064</v>
      </c>
    </row>
    <row r="12" spans="1:7" x14ac:dyDescent="0.3">
      <c r="A12" s="1" t="s">
        <v>9</v>
      </c>
      <c r="B12" s="7" t="s">
        <v>41</v>
      </c>
      <c r="C12" s="9">
        <v>9938811.3804385532</v>
      </c>
      <c r="D12">
        <f>C12*(production_volume_his!G12/100)</f>
        <v>90614.573352432591</v>
      </c>
      <c r="E12">
        <f t="shared" si="0"/>
        <v>9848196.8070861213</v>
      </c>
    </row>
    <row r="13" spans="1:7" x14ac:dyDescent="0.3">
      <c r="A13" s="1" t="s">
        <v>10</v>
      </c>
      <c r="B13" s="7" t="s">
        <v>42</v>
      </c>
      <c r="C13" s="9">
        <v>2813259.6984521071</v>
      </c>
      <c r="D13">
        <f>C13*(production_volume_his!G13/100)</f>
        <v>244280.49367804083</v>
      </c>
      <c r="E13">
        <f t="shared" si="0"/>
        <v>2568979.2047740663</v>
      </c>
    </row>
    <row r="14" spans="1:7" x14ac:dyDescent="0.3">
      <c r="A14" s="1" t="s">
        <v>11</v>
      </c>
      <c r="B14" s="7" t="s">
        <v>43</v>
      </c>
      <c r="C14" s="9">
        <v>109854541.9442125</v>
      </c>
      <c r="D14">
        <f>C14*(production_volume_his!G14/100)</f>
        <v>5085473.0443457849</v>
      </c>
      <c r="E14">
        <f t="shared" si="0"/>
        <v>104769068.89986672</v>
      </c>
    </row>
    <row r="15" spans="1:7" x14ac:dyDescent="0.3">
      <c r="A15" s="1" t="s">
        <v>12</v>
      </c>
      <c r="B15" s="7" t="s">
        <v>44</v>
      </c>
      <c r="C15" s="9">
        <v>896932.71257665067</v>
      </c>
      <c r="D15">
        <f>C15*(production_volume_his!G15/100)</f>
        <v>14232.281676220149</v>
      </c>
      <c r="E15">
        <f t="shared" si="0"/>
        <v>882700.43090043054</v>
      </c>
    </row>
    <row r="16" spans="1:7" x14ac:dyDescent="0.3">
      <c r="A16" s="1" t="s">
        <v>13</v>
      </c>
      <c r="B16" s="7" t="s">
        <v>45</v>
      </c>
      <c r="C16" s="9">
        <v>3700882.6061534882</v>
      </c>
      <c r="D16">
        <f>C16*(production_volume_his!G16/100)</f>
        <v>177781.08028756324</v>
      </c>
      <c r="E16">
        <f t="shared" si="0"/>
        <v>3523101.525865925</v>
      </c>
    </row>
    <row r="17" spans="1:5" x14ac:dyDescent="0.3">
      <c r="A17" s="1" t="s">
        <v>14</v>
      </c>
      <c r="B17" s="7" t="s">
        <v>46</v>
      </c>
      <c r="C17" s="9">
        <v>19074651.958273299</v>
      </c>
      <c r="D17">
        <f>C17*(production_volume_his!G17/100)</f>
        <v>89444.726413107623</v>
      </c>
      <c r="E17">
        <f t="shared" si="0"/>
        <v>18985207.231860191</v>
      </c>
    </row>
    <row r="18" spans="1:5" x14ac:dyDescent="0.3">
      <c r="A18" s="1" t="s">
        <v>15</v>
      </c>
      <c r="B18" s="7" t="s">
        <v>47</v>
      </c>
      <c r="C18" s="9">
        <v>69085368.340896741</v>
      </c>
      <c r="D18">
        <f>C18*(production_volume_his!G18/100)</f>
        <v>1405864.5983772455</v>
      </c>
      <c r="E18">
        <f t="shared" si="0"/>
        <v>67679503.742519498</v>
      </c>
    </row>
    <row r="19" spans="1:5" x14ac:dyDescent="0.3">
      <c r="A19" s="1" t="s">
        <v>16</v>
      </c>
      <c r="B19" s="7" t="s">
        <v>48</v>
      </c>
      <c r="C19" s="9">
        <v>44425954.950384907</v>
      </c>
      <c r="D19">
        <f>C19*(production_volume_his!G19/100)</f>
        <v>2445598.2864066497</v>
      </c>
      <c r="E19">
        <f t="shared" si="0"/>
        <v>41980356.663978256</v>
      </c>
    </row>
    <row r="20" spans="1:5" x14ac:dyDescent="0.3">
      <c r="A20" s="1" t="s">
        <v>17</v>
      </c>
      <c r="B20" s="7" t="s">
        <v>49</v>
      </c>
      <c r="C20" s="9">
        <v>4587614.4775018143</v>
      </c>
      <c r="D20">
        <f>C20*(production_volume_his!G20/100)</f>
        <v>16471.198298583342</v>
      </c>
      <c r="E20">
        <f t="shared" si="0"/>
        <v>4571143.2792032305</v>
      </c>
    </row>
    <row r="21" spans="1:5" x14ac:dyDescent="0.3">
      <c r="A21" s="1" t="s">
        <v>18</v>
      </c>
      <c r="B21" s="7" t="s">
        <v>50</v>
      </c>
      <c r="C21" s="9">
        <v>81706593.347704247</v>
      </c>
      <c r="D21">
        <f>C21*(production_volume_his!G21/100)</f>
        <v>1458491.3392751964</v>
      </c>
      <c r="E21">
        <f t="shared" si="0"/>
        <v>80248102.00842905</v>
      </c>
    </row>
    <row r="22" spans="1:5" x14ac:dyDescent="0.3">
      <c r="A22" s="1" t="s">
        <v>19</v>
      </c>
      <c r="B22" s="7" t="s">
        <v>51</v>
      </c>
      <c r="C22" s="9">
        <v>0</v>
      </c>
      <c r="D22">
        <f>C22*(production_volume_his!G22/100)</f>
        <v>0</v>
      </c>
      <c r="E22">
        <f t="shared" si="0"/>
        <v>0</v>
      </c>
    </row>
    <row r="23" spans="1:5" x14ac:dyDescent="0.3">
      <c r="A23" s="1" t="s">
        <v>20</v>
      </c>
      <c r="B23" s="7" t="s">
        <v>52</v>
      </c>
      <c r="C23" s="9">
        <v>1512528.305110276</v>
      </c>
      <c r="D23">
        <f>C23*(production_volume_his!G23/100)</f>
        <v>29729.10603320599</v>
      </c>
      <c r="E23">
        <f t="shared" si="0"/>
        <v>1482799.19907707</v>
      </c>
    </row>
    <row r="24" spans="1:5" x14ac:dyDescent="0.3">
      <c r="A24" s="1" t="s">
        <v>21</v>
      </c>
      <c r="B24" s="7" t="s">
        <v>53</v>
      </c>
      <c r="C24" s="9">
        <v>1130376.7887177379</v>
      </c>
      <c r="D24">
        <f>C24*(production_volume_his!G24/100)</f>
        <v>14721.562514570121</v>
      </c>
      <c r="E24">
        <f t="shared" si="0"/>
        <v>1115655.2262031678</v>
      </c>
    </row>
    <row r="25" spans="1:5" x14ac:dyDescent="0.3">
      <c r="A25" s="1" t="s">
        <v>22</v>
      </c>
      <c r="B25" s="7" t="s">
        <v>54</v>
      </c>
      <c r="C25" s="9">
        <v>0</v>
      </c>
      <c r="D25">
        <f>C25*(production_volume_his!G25/100)</f>
        <v>0</v>
      </c>
      <c r="E25">
        <f t="shared" si="0"/>
        <v>0</v>
      </c>
    </row>
    <row r="26" spans="1:5" x14ac:dyDescent="0.3">
      <c r="A26" s="1" t="s">
        <v>23</v>
      </c>
      <c r="B26" s="7" t="s">
        <v>55</v>
      </c>
      <c r="C26" s="9">
        <v>5010685.8358674422</v>
      </c>
      <c r="D26">
        <f>C26*(production_volume_his!G26/100)</f>
        <v>88863.482778288468</v>
      </c>
      <c r="E26">
        <f t="shared" si="0"/>
        <v>4921822.3530891538</v>
      </c>
    </row>
    <row r="27" spans="1:5" x14ac:dyDescent="0.3">
      <c r="A27" s="1" t="s">
        <v>24</v>
      </c>
      <c r="B27" s="7" t="s">
        <v>24</v>
      </c>
      <c r="C27" s="9">
        <v>0</v>
      </c>
      <c r="D27" t="e">
        <f>C27*(production_volume_his!G27/100)</f>
        <v>#DIV/0!</v>
      </c>
      <c r="E27" t="e">
        <f t="shared" si="0"/>
        <v>#DIV/0!</v>
      </c>
    </row>
    <row r="28" spans="1:5" x14ac:dyDescent="0.3">
      <c r="A28" s="1" t="s">
        <v>25</v>
      </c>
      <c r="B28" s="7" t="s">
        <v>56</v>
      </c>
      <c r="C28" s="9">
        <v>12828516.24169072</v>
      </c>
      <c r="D28">
        <f>C28*(production_volume_his!G28/100)</f>
        <v>1937351.1734697514</v>
      </c>
      <c r="E28">
        <f t="shared" si="0"/>
        <v>10891165.068220967</v>
      </c>
    </row>
    <row r="29" spans="1:5" x14ac:dyDescent="0.3">
      <c r="A29" s="1" t="s">
        <v>26</v>
      </c>
      <c r="B29" s="7" t="s">
        <v>57</v>
      </c>
      <c r="C29" s="9">
        <v>18726818.414100021</v>
      </c>
      <c r="D29">
        <f>C29*(production_volume_his!G29/100)</f>
        <v>270386.60796374868</v>
      </c>
      <c r="E29">
        <f t="shared" si="0"/>
        <v>18456431.806136273</v>
      </c>
    </row>
    <row r="30" spans="1:5" x14ac:dyDescent="0.3">
      <c r="A30" s="1" t="s">
        <v>27</v>
      </c>
      <c r="B30" s="7" t="s">
        <v>58</v>
      </c>
      <c r="C30" s="9">
        <v>33414283.05270594</v>
      </c>
      <c r="D30">
        <f>C30*(production_volume_his!G30/100)</f>
        <v>134692.40320434314</v>
      </c>
      <c r="E30">
        <f t="shared" si="0"/>
        <v>33279590.649501596</v>
      </c>
    </row>
    <row r="31" spans="1:5" x14ac:dyDescent="0.3">
      <c r="A31" s="1" t="s">
        <v>28</v>
      </c>
      <c r="B31" s="7" t="s">
        <v>28</v>
      </c>
      <c r="C31" s="9">
        <v>17123194.925558321</v>
      </c>
      <c r="D31">
        <f>C31*(production_volume_his!G31/100)</f>
        <v>284052.86833157664</v>
      </c>
      <c r="E31">
        <f t="shared" si="0"/>
        <v>16839142.057226744</v>
      </c>
    </row>
    <row r="32" spans="1:5" x14ac:dyDescent="0.3">
      <c r="A32" s="1" t="s">
        <v>29</v>
      </c>
      <c r="B32" s="7" t="s">
        <v>59</v>
      </c>
      <c r="C32" s="9">
        <v>11489600.17325644</v>
      </c>
      <c r="D32">
        <f>C32*(production_volume_his!G32/100)</f>
        <v>39578.01597938253</v>
      </c>
      <c r="E32">
        <f t="shared" si="0"/>
        <v>11450022.157277057</v>
      </c>
    </row>
    <row r="33" spans="1:5" x14ac:dyDescent="0.3">
      <c r="A33" s="1" t="s">
        <v>30</v>
      </c>
      <c r="B33" s="7" t="s">
        <v>60</v>
      </c>
      <c r="C33" s="9">
        <v>2983615.5759202582</v>
      </c>
      <c r="D33">
        <f>C33*(production_volume_his!G33/100)</f>
        <v>13608.264029803033</v>
      </c>
      <c r="E33">
        <f t="shared" si="0"/>
        <v>2970007.311890455</v>
      </c>
    </row>
    <row r="34" spans="1:5" x14ac:dyDescent="0.3">
      <c r="A34" s="1" t="s">
        <v>31</v>
      </c>
      <c r="B34" s="7" t="s">
        <v>61</v>
      </c>
      <c r="C34" s="9">
        <v>9629379.6877591517</v>
      </c>
      <c r="D34">
        <f>C34*(production_volume_his!G34/100)</f>
        <v>22855.18847205006</v>
      </c>
      <c r="E34">
        <f t="shared" si="0"/>
        <v>9606524.4992871024</v>
      </c>
    </row>
    <row r="35" spans="1:5" x14ac:dyDescent="0.3">
      <c r="A35" s="1" t="s">
        <v>32</v>
      </c>
      <c r="B35" s="7" t="s">
        <v>62</v>
      </c>
      <c r="C35" s="9">
        <v>14979328.02293884</v>
      </c>
      <c r="D35">
        <f>C35*(production_volume_his!G35/100)</f>
        <v>179492.27364371714</v>
      </c>
      <c r="E35">
        <f t="shared" si="0"/>
        <v>14799835.749295123</v>
      </c>
    </row>
    <row r="36" spans="1:5" x14ac:dyDescent="0.3">
      <c r="A36" s="1" t="s">
        <v>33</v>
      </c>
      <c r="B36" s="7" t="s">
        <v>63</v>
      </c>
      <c r="C36" s="9">
        <v>18811679.143442672</v>
      </c>
      <c r="D36">
        <f>C36*(production_volume_his!G36/100)</f>
        <v>161560.92824477804</v>
      </c>
      <c r="E36">
        <f t="shared" si="0"/>
        <v>18650118.215197895</v>
      </c>
    </row>
    <row r="37" spans="1:5" x14ac:dyDescent="0.3">
      <c r="A37" s="1" t="s">
        <v>34</v>
      </c>
      <c r="B37" s="7" t="s">
        <v>64</v>
      </c>
      <c r="C37" s="9">
        <v>16738166.40123284</v>
      </c>
      <c r="D37">
        <f>C37*(production_volume_his!G37/100)</f>
        <v>1821469.4945487741</v>
      </c>
      <c r="E37">
        <f t="shared" si="0"/>
        <v>14916696.906684067</v>
      </c>
    </row>
    <row r="38" spans="1:5" x14ac:dyDescent="0.3">
      <c r="A38" s="1" t="s">
        <v>35</v>
      </c>
      <c r="B38" s="7" t="s">
        <v>65</v>
      </c>
      <c r="C38" s="9">
        <v>1317533.3718553139</v>
      </c>
      <c r="D38">
        <f>C38*(production_volume_his!G38/100)</f>
        <v>67522.099385971247</v>
      </c>
      <c r="E38">
        <f t="shared" si="0"/>
        <v>1250011.2724693427</v>
      </c>
    </row>
    <row r="39" spans="1:5" x14ac:dyDescent="0.3">
      <c r="A39" s="1" t="s">
        <v>36</v>
      </c>
      <c r="B39" s="7" t="s">
        <v>66</v>
      </c>
      <c r="C39" s="9">
        <v>3793204.4640976391</v>
      </c>
      <c r="D39">
        <f>C39*(production_volume_his!G39/100)</f>
        <v>133903.4541346668</v>
      </c>
      <c r="E39">
        <f t="shared" si="0"/>
        <v>3659301.0099629723</v>
      </c>
    </row>
    <row r="40" spans="1:5" x14ac:dyDescent="0.3">
      <c r="A40" s="1" t="s">
        <v>37</v>
      </c>
      <c r="B40" s="7" t="s">
        <v>67</v>
      </c>
      <c r="C40" s="9">
        <v>7053957.1244035978</v>
      </c>
      <c r="D40">
        <f>C40*(production_volume_his!G40/100)</f>
        <v>409120.79149863974</v>
      </c>
      <c r="E40">
        <f t="shared" si="0"/>
        <v>6644836.3329049582</v>
      </c>
    </row>
    <row r="41" spans="1:5" x14ac:dyDescent="0.3">
      <c r="A41" s="3" t="s">
        <v>68</v>
      </c>
      <c r="B41" s="7" t="s">
        <v>68</v>
      </c>
      <c r="C41" s="9">
        <v>177896.9553782781</v>
      </c>
      <c r="D41">
        <f>C41*(production_volume_his!G41/100)</f>
        <v>0</v>
      </c>
      <c r="E41">
        <f t="shared" si="0"/>
        <v>177896.9553782781</v>
      </c>
    </row>
    <row r="42" spans="1:5" x14ac:dyDescent="0.3">
      <c r="A42" s="3" t="s">
        <v>69</v>
      </c>
      <c r="B42" s="7" t="s">
        <v>72</v>
      </c>
      <c r="C42" s="9">
        <v>1262972.767513847</v>
      </c>
      <c r="D42">
        <f>C42*(production_volume_his!G42/100)</f>
        <v>0</v>
      </c>
      <c r="E42">
        <f t="shared" si="0"/>
        <v>1262972.767513847</v>
      </c>
    </row>
    <row r="43" spans="1:5" x14ac:dyDescent="0.3">
      <c r="A43" s="5" t="s">
        <v>70</v>
      </c>
      <c r="B43" s="7" t="s">
        <v>71</v>
      </c>
      <c r="C43" s="9">
        <v>3854906.6483977521</v>
      </c>
      <c r="D43">
        <f>C43*(production_volume_his!G43/100)</f>
        <v>0</v>
      </c>
      <c r="E43">
        <f t="shared" si="0"/>
        <v>3854906.6483977521</v>
      </c>
    </row>
    <row r="44" spans="1:5" x14ac:dyDescent="0.3">
      <c r="A44" s="6" t="s">
        <v>79</v>
      </c>
      <c r="B44" s="7" t="s">
        <v>77</v>
      </c>
      <c r="C44" s="9">
        <v>1987556.3468579911</v>
      </c>
      <c r="D44">
        <f>C44*(production_volume_his!G44/100)</f>
        <v>0</v>
      </c>
      <c r="E44">
        <f t="shared" si="0"/>
        <v>1987556.3468579911</v>
      </c>
    </row>
    <row r="45" spans="1:5" x14ac:dyDescent="0.3">
      <c r="A45" s="6" t="s">
        <v>80</v>
      </c>
      <c r="B45" s="7" t="s">
        <v>78</v>
      </c>
      <c r="C45" s="9">
        <v>1469967.821551068</v>
      </c>
      <c r="D45">
        <f>C45*(production_volume_his!G45/100)</f>
        <v>0</v>
      </c>
      <c r="E45">
        <f t="shared" si="0"/>
        <v>1469967.821551068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K39" sqref="K39"/>
    </sheetView>
  </sheetViews>
  <sheetFormatPr baseColWidth="10" defaultRowHeight="14.4" x14ac:dyDescent="0.3"/>
  <sheetData>
    <row r="1" spans="1:23" x14ac:dyDescent="0.3">
      <c r="A1" t="s">
        <v>75</v>
      </c>
      <c r="B1" t="s">
        <v>74</v>
      </c>
      <c r="C1" t="s">
        <v>90</v>
      </c>
      <c r="G1" t="s">
        <v>108</v>
      </c>
    </row>
    <row r="2" spans="1:23" x14ac:dyDescent="0.3">
      <c r="A2" s="12" t="s">
        <v>38</v>
      </c>
      <c r="B2" s="12"/>
      <c r="C2" s="8" t="s">
        <v>92</v>
      </c>
      <c r="D2" s="13" t="s">
        <v>93</v>
      </c>
      <c r="E2" s="13" t="s">
        <v>94</v>
      </c>
      <c r="F2" s="13" t="s">
        <v>91</v>
      </c>
      <c r="G2" s="13" t="s">
        <v>95</v>
      </c>
      <c r="I2" s="18" t="s">
        <v>96</v>
      </c>
      <c r="J2" s="8" t="s">
        <v>92</v>
      </c>
      <c r="K2" s="13" t="s">
        <v>93</v>
      </c>
      <c r="L2" s="13" t="s">
        <v>94</v>
      </c>
      <c r="M2" s="13" t="s">
        <v>91</v>
      </c>
      <c r="N2" s="13" t="s">
        <v>95</v>
      </c>
      <c r="P2" s="18" t="s">
        <v>97</v>
      </c>
      <c r="Q2" s="8" t="s">
        <v>92</v>
      </c>
      <c r="R2" s="13" t="s">
        <v>93</v>
      </c>
      <c r="S2" s="13" t="s">
        <v>94</v>
      </c>
      <c r="T2" s="13" t="s">
        <v>91</v>
      </c>
      <c r="U2" s="13" t="s">
        <v>95</v>
      </c>
      <c r="W2" s="18" t="s">
        <v>109</v>
      </c>
    </row>
    <row r="3" spans="1:23" x14ac:dyDescent="0.3">
      <c r="A3" s="12" t="s">
        <v>0</v>
      </c>
      <c r="B3" s="14"/>
      <c r="C3" s="15"/>
    </row>
    <row r="4" spans="1:23" x14ac:dyDescent="0.3">
      <c r="A4" s="12" t="s">
        <v>1</v>
      </c>
      <c r="B4" s="14"/>
      <c r="C4" s="15"/>
      <c r="V4" t="s">
        <v>110</v>
      </c>
      <c r="W4">
        <f>200*3.6</f>
        <v>720</v>
      </c>
    </row>
    <row r="5" spans="1:23" x14ac:dyDescent="0.3">
      <c r="A5" s="12" t="s">
        <v>2</v>
      </c>
      <c r="B5" s="14"/>
      <c r="C5" s="15"/>
      <c r="V5" t="s">
        <v>111</v>
      </c>
      <c r="W5">
        <f>4*3.6</f>
        <v>14.4</v>
      </c>
    </row>
    <row r="6" spans="1:23" x14ac:dyDescent="0.3">
      <c r="A6" s="12" t="s">
        <v>3</v>
      </c>
      <c r="B6" s="14"/>
      <c r="C6" s="15"/>
    </row>
    <row r="7" spans="1:23" x14ac:dyDescent="0.3">
      <c r="A7" s="12" t="s">
        <v>4</v>
      </c>
      <c r="B7" s="14"/>
      <c r="C7" s="15"/>
    </row>
    <row r="8" spans="1:23" x14ac:dyDescent="0.3">
      <c r="A8" s="12" t="s">
        <v>5</v>
      </c>
      <c r="B8" s="14"/>
      <c r="C8" s="15"/>
    </row>
    <row r="9" spans="1:23" x14ac:dyDescent="0.3">
      <c r="A9" s="12" t="s">
        <v>6</v>
      </c>
      <c r="B9" s="14"/>
      <c r="C9" s="15"/>
    </row>
    <row r="10" spans="1:23" x14ac:dyDescent="0.3">
      <c r="A10" s="12" t="s">
        <v>7</v>
      </c>
      <c r="B10" s="14" t="s">
        <v>39</v>
      </c>
      <c r="C10" s="15">
        <f>Tonnenkm_road_train!C10*productionvolume_2050!E10*(ModalSplit_Railways!C10/100)*EnergyperModal!$B$5*10^-9</f>
        <v>0</v>
      </c>
      <c r="D10">
        <f>Tonnenkm_road_train!C10*productionvolume_2050!E10*(ModalSplit_Roads!C10/100)*EnergyperModal!$B$7*10^-9</f>
        <v>0</v>
      </c>
      <c r="E10" s="19">
        <f>Tonnenkm_road_train!C10*productionvolume_2050!E10*(ModalSplit_ship!C10/100)*EnergyperModal!$B$6*10^-9</f>
        <v>0</v>
      </c>
      <c r="F10">
        <f>Tonnenkm_fligth!C10*productionvolume_2050!D10*EnergyperModal!$B$8*10^-9</f>
        <v>2.8126041784814058E-2</v>
      </c>
      <c r="G10" s="16">
        <f>SUM(C10:F10)</f>
        <v>2.8126041784814058E-2</v>
      </c>
    </row>
    <row r="11" spans="1:23" x14ac:dyDescent="0.3">
      <c r="A11" s="12" t="s">
        <v>8</v>
      </c>
      <c r="B11" s="14" t="s">
        <v>40</v>
      </c>
      <c r="C11" s="15">
        <f>Tonnenkm_road_train!C11*productionvolume_2050!E11*(ModalSplit_Railways!C11/100)*EnergyperModal!$B$5*10^-9</f>
        <v>1.3063721672191091</v>
      </c>
      <c r="D11">
        <f>Tonnenkm_road_train!C11*productionvolume_2050!E11*(ModalSplit_Roads!C11/100)*EnergyperModal!$B$7*10^-9</f>
        <v>17.752221436407517</v>
      </c>
      <c r="E11" s="19">
        <f>Tonnenkm_road_train!C11*productionvolume_2050!E11*(ModalSplit_ship!C11/100)*EnergyperModal!$B$6*10^-9</f>
        <v>2.2111307838941747</v>
      </c>
      <c r="F11">
        <f>Tonnenkm_fligth!C11*productionvolume_2050!D11*EnergyperModal!$B$8*10^-9</f>
        <v>2.7987124129808595E-4</v>
      </c>
      <c r="G11" s="16">
        <f t="shared" ref="G11:G45" si="0">SUM(C11:F11)</f>
        <v>21.270004258762096</v>
      </c>
    </row>
    <row r="12" spans="1:23" x14ac:dyDescent="0.3">
      <c r="A12" s="12" t="s">
        <v>9</v>
      </c>
      <c r="B12" s="14" t="s">
        <v>41</v>
      </c>
      <c r="C12" s="15">
        <f>Tonnenkm_road_train!C12*productionvolume_2050!E12*(ModalSplit_Railways!C12/100)*EnergyperModal!$B$5*10^-9</f>
        <v>4.9501737691775256</v>
      </c>
      <c r="D12">
        <f>Tonnenkm_road_train!C12*productionvolume_2050!E12*(ModalSplit_Roads!C12/100)*EnergyperModal!$B$7*10^-9</f>
        <v>60.597779377274648</v>
      </c>
      <c r="E12" s="19">
        <f>Tonnenkm_road_train!C12*productionvolume_2050!E12*(ModalSplit_ship!C12/100)*EnergyperModal!$B$6*10^-9</f>
        <v>0</v>
      </c>
      <c r="F12">
        <f>Tonnenkm_fligth!C12*productionvolume_2050!D12*EnergyperModal!$B$8*10^-9</f>
        <v>4.2586234330905658E-4</v>
      </c>
      <c r="G12" s="16">
        <f t="shared" si="0"/>
        <v>65.548379008795479</v>
      </c>
    </row>
    <row r="13" spans="1:23" x14ac:dyDescent="0.3">
      <c r="A13" s="12" t="s">
        <v>10</v>
      </c>
      <c r="B13" s="14" t="s">
        <v>42</v>
      </c>
      <c r="C13" s="15">
        <f>Tonnenkm_road_train!C13*productionvolume_2050!E13*(ModalSplit_Railways!C13/100)*EnergyperModal!$B$5*10^-9</f>
        <v>0.78249421681770881</v>
      </c>
      <c r="D13">
        <f>Tonnenkm_road_train!C13*productionvolume_2050!E13*(ModalSplit_Roads!C13/100)*EnergyperModal!$B$7*10^-9</f>
        <v>27.294459291709231</v>
      </c>
      <c r="E13" s="19">
        <f>Tonnenkm_road_train!C13*productionvolume_2050!E13*(ModalSplit_ship!C13/100)*EnergyperModal!$B$6*10^-9</f>
        <v>0.53050455377471784</v>
      </c>
      <c r="F13">
        <f>Tonnenkm_fligth!C13*productionvolume_2050!D13*EnergyperModal!$B$8*10^-9</f>
        <v>1.6707268248505134E-2</v>
      </c>
      <c r="G13" s="16">
        <f t="shared" si="0"/>
        <v>28.624165330550166</v>
      </c>
    </row>
    <row r="14" spans="1:23" x14ac:dyDescent="0.3">
      <c r="A14" s="12" t="s">
        <v>11</v>
      </c>
      <c r="B14" s="14" t="s">
        <v>43</v>
      </c>
      <c r="C14" s="15">
        <f>Tonnenkm_road_train!C14*productionvolume_2050!E14*(ModalSplit_Railways!C14/100)*EnergyperModal!$B$5*10^-9</f>
        <v>39.324321831079835</v>
      </c>
      <c r="D14">
        <f>Tonnenkm_road_train!C14*productionvolume_2050!E14*(ModalSplit_Roads!C14/100)*EnergyperModal!$B$7*10^-9</f>
        <v>674.73651195684442</v>
      </c>
      <c r="E14" s="19">
        <f>Tonnenkm_road_train!C14*productionvolume_2050!E14*(ModalSplit_ship!C14/100)*EnergyperModal!$B$6*10^-9</f>
        <v>19.595958353534733</v>
      </c>
      <c r="F14">
        <f>Tonnenkm_fligth!C14*productionvolume_2050!D14*EnergyperModal!$B$8*10^-9</f>
        <v>7.3967809718723992E-2</v>
      </c>
      <c r="G14" s="16">
        <f t="shared" si="0"/>
        <v>733.73075995117767</v>
      </c>
    </row>
    <row r="15" spans="1:23" x14ac:dyDescent="0.3">
      <c r="A15" s="12" t="s">
        <v>12</v>
      </c>
      <c r="B15" s="14" t="s">
        <v>44</v>
      </c>
      <c r="C15" s="15">
        <f>Tonnenkm_road_train!C15*productionvolume_2050!E15*(ModalSplit_Railways!C15/100)*EnergyperModal!$B$5*10^-9</f>
        <v>1.0045884485723344</v>
      </c>
      <c r="D15">
        <f>Tonnenkm_road_train!C15*productionvolume_2050!E15*(ModalSplit_Roads!C15/100)*EnergyperModal!$B$7*10^-9</f>
        <v>5.4592786397163211</v>
      </c>
      <c r="E15" s="19">
        <f>Tonnenkm_road_train!C15*productionvolume_2050!E15*(ModalSplit_ship!C15/100)*EnergyperModal!$B$6*10^-9</f>
        <v>0.17395470970949514</v>
      </c>
      <c r="F15">
        <f>Tonnenkm_fligth!C15*productionvolume_2050!D15*EnergyperModal!$B$8*10^-9</f>
        <v>6.5127952027290836E-4</v>
      </c>
      <c r="G15" s="16">
        <f t="shared" si="0"/>
        <v>6.6384730775184231</v>
      </c>
    </row>
    <row r="16" spans="1:23" x14ac:dyDescent="0.3">
      <c r="A16" s="12" t="s">
        <v>13</v>
      </c>
      <c r="B16" s="14" t="s">
        <v>45</v>
      </c>
      <c r="C16" s="15">
        <f>Tonnenkm_road_train!C16*productionvolume_2050!E16*(ModalSplit_Railways!C16/100)*EnergyperModal!$B$5*10^-9</f>
        <v>2.9845340739967537E-2</v>
      </c>
      <c r="D16">
        <f>Tonnenkm_road_train!C16*productionvolume_2050!E16*(ModalSplit_Roads!C16/100)*EnergyperModal!$B$7*10^-9</f>
        <v>17.270503841527884</v>
      </c>
      <c r="E16" s="19">
        <f>Tonnenkm_road_train!C16*productionvolume_2050!E16*(ModalSplit_ship!C16/100)*EnergyperModal!$B$6*10^-9</f>
        <v>0.29845340739967541</v>
      </c>
      <c r="F16">
        <f>Tonnenkm_fligth!C16*productionvolume_2050!D16*EnergyperModal!$B$8*10^-9</f>
        <v>1.5927072481495674E-2</v>
      </c>
      <c r="G16" s="16">
        <f t="shared" si="0"/>
        <v>17.614729662149024</v>
      </c>
    </row>
    <row r="17" spans="1:7" x14ac:dyDescent="0.3">
      <c r="A17" s="12" t="s">
        <v>14</v>
      </c>
      <c r="B17" s="14" t="s">
        <v>46</v>
      </c>
      <c r="C17" s="15">
        <f>Tonnenkm_road_train!C17*productionvolume_2050!E17*(ModalSplit_Railways!C17/100)*EnergyperModal!$B$5*10^-9</f>
        <v>0.11494855308946197</v>
      </c>
      <c r="D17">
        <f>Tonnenkm_road_train!C17*productionvolume_2050!E17*(ModalSplit_Roads!C17/100)*EnergyperModal!$B$7*10^-9</f>
        <v>25.007696327685171</v>
      </c>
      <c r="E17" s="19">
        <f>Tonnenkm_road_train!C17*productionvolume_2050!E17*(ModalSplit_ship!C17/100)*EnergyperModal!$B$6*10^-9</f>
        <v>0.43789924986461704</v>
      </c>
      <c r="F17">
        <f>Tonnenkm_fligth!C17*productionvolume_2050!D17*EnergyperModal!$B$8*10^-9</f>
        <v>5.6034361154621433E-5</v>
      </c>
      <c r="G17" s="16">
        <f t="shared" si="0"/>
        <v>25.560600165000405</v>
      </c>
    </row>
    <row r="18" spans="1:7" x14ac:dyDescent="0.3">
      <c r="A18" s="12" t="s">
        <v>15</v>
      </c>
      <c r="B18" s="14" t="s">
        <v>47</v>
      </c>
      <c r="C18" s="15">
        <f>Tonnenkm_road_train!C18*productionvolume_2050!E18*(ModalSplit_Railways!C18/100)*EnergyperModal!$B$5*10^-9</f>
        <v>5.5996788993728615</v>
      </c>
      <c r="D18">
        <f>Tonnenkm_road_train!C18*productionvolume_2050!E18*(ModalSplit_Roads!C18/100)*EnergyperModal!$B$7*10^-9</f>
        <v>496.50486241106029</v>
      </c>
      <c r="E18" s="19">
        <f>Tonnenkm_road_train!C18*productionvolume_2050!E18*(ModalSplit_ship!C18/100)*EnergyperModal!$B$6*10^-9</f>
        <v>8.9594862389965773</v>
      </c>
      <c r="F18">
        <f>Tonnenkm_fligth!C18*productionvolume_2050!D18*EnergyperModal!$B$8*10^-9</f>
        <v>3.1602278350475236E-3</v>
      </c>
      <c r="G18" s="16">
        <f t="shared" si="0"/>
        <v>511.06718777726479</v>
      </c>
    </row>
    <row r="19" spans="1:7" x14ac:dyDescent="0.3">
      <c r="A19" s="12" t="s">
        <v>16</v>
      </c>
      <c r="B19" s="14" t="s">
        <v>48</v>
      </c>
      <c r="C19" s="15">
        <f>Tonnenkm_road_train!C19*productionvolume_2050!E19*(ModalSplit_Railways!C19/100)*EnergyperModal!$B$5*10^-9</f>
        <v>9.5317192218149227</v>
      </c>
      <c r="D19">
        <f>Tonnenkm_road_train!C19*productionvolume_2050!E19*(ModalSplit_Roads!C19/100)*EnergyperModal!$B$7*10^-9</f>
        <v>394.49122112642772</v>
      </c>
      <c r="E19" s="19">
        <f>Tonnenkm_road_train!C19*productionvolume_2050!E19*(ModalSplit_ship!C19/100)*EnergyperModal!$B$6*10^-9</f>
        <v>2.9525864256127035</v>
      </c>
      <c r="F19">
        <f>Tonnenkm_fligth!C19*productionvolume_2050!D19*EnergyperModal!$B$8*10^-9</f>
        <v>4.5573805393522467E-2</v>
      </c>
      <c r="G19" s="16">
        <f t="shared" si="0"/>
        <v>407.02110057924887</v>
      </c>
    </row>
    <row r="20" spans="1:7" x14ac:dyDescent="0.3">
      <c r="A20" s="12" t="s">
        <v>17</v>
      </c>
      <c r="B20" s="14" t="s">
        <v>49</v>
      </c>
      <c r="C20" s="15">
        <f>Tonnenkm_road_train!C20*productionvolume_2050!E20*(ModalSplit_Railways!C20/100)*EnergyperModal!$B$5*10^-9</f>
        <v>1.1298023164154076</v>
      </c>
      <c r="D20">
        <f>Tonnenkm_road_train!C20*productionvolume_2050!E20*(ModalSplit_Roads!C20/100)*EnergyperModal!$B$7*10^-9</f>
        <v>18.304218660918806</v>
      </c>
      <c r="E20" s="19">
        <f>Tonnenkm_road_train!C20*productionvolume_2050!E20*(ModalSplit_ship!C20/100)*EnergyperModal!$B$6*10^-9</f>
        <v>0.36949509719246043</v>
      </c>
      <c r="F20">
        <f>Tonnenkm_fligth!C20*productionvolume_2050!D20*EnergyperModal!$B$8*10^-9</f>
        <v>3.3466006930955112E-5</v>
      </c>
      <c r="G20" s="16">
        <f t="shared" si="0"/>
        <v>19.803549540533602</v>
      </c>
    </row>
    <row r="21" spans="1:7" x14ac:dyDescent="0.3">
      <c r="A21" s="12" t="s">
        <v>18</v>
      </c>
      <c r="B21" s="14" t="s">
        <v>50</v>
      </c>
      <c r="C21" s="15">
        <f>Tonnenkm_road_train!C21*productionvolume_2050!E21*(ModalSplit_Railways!C21/100)*EnergyperModal!$B$5*10^-9</f>
        <v>9.1393731726357004</v>
      </c>
      <c r="D21">
        <f>Tonnenkm_road_train!C21*productionvolume_2050!E21*(ModalSplit_Roads!C21/100)*EnergyperModal!$B$7*10^-9</f>
        <v>282.59965087498477</v>
      </c>
      <c r="E21" s="19">
        <f>Tonnenkm_road_train!C21*productionvolume_2050!E21*(ModalSplit_ship!C21/100)*EnergyperModal!$B$6*10^-9</f>
        <v>0</v>
      </c>
      <c r="F21">
        <f>Tonnenkm_fligth!C21*productionvolume_2050!D21*EnergyperModal!$B$8*10^-9</f>
        <v>2.5210637037085342E-3</v>
      </c>
      <c r="G21" s="16">
        <f t="shared" si="0"/>
        <v>291.74154511132417</v>
      </c>
    </row>
    <row r="22" spans="1:7" x14ac:dyDescent="0.3">
      <c r="A22" s="12" t="s">
        <v>19</v>
      </c>
      <c r="B22" s="14" t="s">
        <v>51</v>
      </c>
      <c r="C22" s="15">
        <f>Tonnenkm_road_train!C22*productionvolume_2050!E22*(ModalSplit_Railways!C22/100)*EnergyperModal!$B$5*10^-9</f>
        <v>0</v>
      </c>
      <c r="D22">
        <f>Tonnenkm_road_train!C22*productionvolume_2050!E22*(ModalSplit_Roads!C22/100)*EnergyperModal!$B$7*10^-9</f>
        <v>0</v>
      </c>
      <c r="E22" s="19">
        <f>Tonnenkm_road_train!C22*productionvolume_2050!E22*(ModalSplit_ship!C22/100)*EnergyperModal!$B$6*10^-9</f>
        <v>0</v>
      </c>
      <c r="F22">
        <f>Tonnenkm_fligth!C22*productionvolume_2050!D22*EnergyperModal!$B$8*10^-9</f>
        <v>0</v>
      </c>
      <c r="G22" s="16">
        <f t="shared" si="0"/>
        <v>0</v>
      </c>
    </row>
    <row r="23" spans="1:7" x14ac:dyDescent="0.3">
      <c r="A23" s="12" t="s">
        <v>20</v>
      </c>
      <c r="B23" s="14" t="s">
        <v>52</v>
      </c>
      <c r="C23" s="15">
        <f>Tonnenkm_road_train!C23*productionvolume_2050!E23*(ModalSplit_Railways!C23/100)*EnergyperModal!$B$5*10^-9</f>
        <v>6.3672139228639706</v>
      </c>
      <c r="D23">
        <f>Tonnenkm_road_train!C23*productionvolume_2050!E23*(ModalSplit_Roads!C23/100)*EnergyperModal!$B$7*10^-9</f>
        <v>9.4864207434754295</v>
      </c>
      <c r="E23" s="19">
        <f>Tonnenkm_road_train!C23*productionvolume_2050!E23*(ModalSplit_ship!C23/100)*EnergyperModal!$B$6*10^-9</f>
        <v>0.6720014694315537</v>
      </c>
      <c r="F23">
        <f>Tonnenkm_fligth!C23*productionvolume_2050!D23*EnergyperModal!$B$8*10^-9</f>
        <v>1.4902275547389052E-3</v>
      </c>
      <c r="G23" s="16">
        <f t="shared" si="0"/>
        <v>16.527126363325692</v>
      </c>
    </row>
    <row r="24" spans="1:7" x14ac:dyDescent="0.3">
      <c r="A24" s="12" t="s">
        <v>21</v>
      </c>
      <c r="B24" s="14" t="s">
        <v>53</v>
      </c>
      <c r="C24" s="15">
        <f>Tonnenkm_road_train!C24*productionvolume_2050!E24*(ModalSplit_Railways!C24/100)*EnergyperModal!$B$5*10^-9</f>
        <v>4.3858072901476763</v>
      </c>
      <c r="D24">
        <f>Tonnenkm_road_train!C24*productionvolume_2050!E24*(ModalSplit_Roads!C24/100)*EnergyperModal!$B$7*10^-9</f>
        <v>9.675904743212401</v>
      </c>
      <c r="E24" s="19">
        <f>Tonnenkm_road_train!C24*productionvolume_2050!E24*(ModalSplit_ship!C24/100)*EnergyperModal!$B$6*10^-9</f>
        <v>0</v>
      </c>
      <c r="F24">
        <f>Tonnenkm_fligth!C24*productionvolume_2050!D24*EnergyperModal!$B$8*10^-9</f>
        <v>4.5054352464543211E-4</v>
      </c>
      <c r="G24" s="16">
        <f t="shared" si="0"/>
        <v>14.062162576884722</v>
      </c>
    </row>
    <row r="25" spans="1:7" x14ac:dyDescent="0.3">
      <c r="A25" s="12" t="s">
        <v>22</v>
      </c>
      <c r="B25" s="14" t="s">
        <v>54</v>
      </c>
      <c r="C25" s="15">
        <f>Tonnenkm_road_train!C25*productionvolume_2050!E25*(ModalSplit_Railways!C25/100)*EnergyperModal!$B$5*10^-9</f>
        <v>0</v>
      </c>
      <c r="D25">
        <f>Tonnenkm_road_train!C25*productionvolume_2050!E25*(ModalSplit_Roads!C25/100)*EnergyperModal!$B$7*10^-9</f>
        <v>0</v>
      </c>
      <c r="E25" s="19">
        <f>Tonnenkm_road_train!C25*productionvolume_2050!E25*(ModalSplit_ship!C25/100)*EnergyperModal!$B$6*10^-9</f>
        <v>0</v>
      </c>
      <c r="F25">
        <f>Tonnenkm_fligth!C25*productionvolume_2050!D25*EnergyperModal!$B$8*10^-9</f>
        <v>0</v>
      </c>
      <c r="G25" s="16">
        <f t="shared" si="0"/>
        <v>0</v>
      </c>
    </row>
    <row r="26" spans="1:7" x14ac:dyDescent="0.3">
      <c r="A26" s="12" t="s">
        <v>23</v>
      </c>
      <c r="B26" s="14" t="s">
        <v>55</v>
      </c>
      <c r="C26" s="15">
        <f>Tonnenkm_road_train!C26*productionvolume_2050!E26*(ModalSplit_Railways!C26/100)*EnergyperModal!$B$5*10^-9</f>
        <v>2.7928015367560501</v>
      </c>
      <c r="D26">
        <f>Tonnenkm_road_train!C26*productionvolume_2050!E26*(ModalSplit_Roads!C26/100)*EnergyperModal!$B$7*10^-9</f>
        <v>33.258473609319573</v>
      </c>
      <c r="E26" s="19">
        <f>Tonnenkm_road_train!C26*productionvolume_2050!E26*(ModalSplit_ship!C26/100)*EnergyperModal!$B$6*10^-9</f>
        <v>0.56545611361480519</v>
      </c>
      <c r="F26">
        <f>Tonnenkm_fligth!C26*productionvolume_2050!D26*EnergyperModal!$B$8*10^-9</f>
        <v>1.2935961792935691E-3</v>
      </c>
      <c r="G26" s="16">
        <f t="shared" si="0"/>
        <v>36.618024855869727</v>
      </c>
    </row>
    <row r="27" spans="1:7" x14ac:dyDescent="0.3">
      <c r="A27" s="12" t="s">
        <v>24</v>
      </c>
      <c r="B27" s="14" t="s">
        <v>24</v>
      </c>
      <c r="C27" s="15" t="e">
        <f>Tonnenkm_road_train!C27*productionvolume_2050!E27*(ModalSplit_Railways!C27/100)*EnergyperModal!$B$5*10^-9</f>
        <v>#DIV/0!</v>
      </c>
      <c r="D27" t="e">
        <f>Tonnenkm_road_train!C27*productionvolume_2050!E27*(ModalSplit_Roads!C27/100)*EnergyperModal!$B$7*10^-9</f>
        <v>#DIV/0!</v>
      </c>
      <c r="E27" s="19" t="e">
        <f>Tonnenkm_road_train!C27*productionvolume_2050!E27*(ModalSplit_ship!C27/100)*EnergyperModal!$B$6*10^-9</f>
        <v>#DIV/0!</v>
      </c>
      <c r="F27" t="e">
        <f>Tonnenkm_fligth!C27*productionvolume_2050!D27*EnergyperModal!$B$8*10^-9</f>
        <v>#DIV/0!</v>
      </c>
      <c r="G27" s="16" t="e">
        <f t="shared" si="0"/>
        <v>#DIV/0!</v>
      </c>
    </row>
    <row r="28" spans="1:7" x14ac:dyDescent="0.3">
      <c r="A28" s="12" t="s">
        <v>25</v>
      </c>
      <c r="B28" s="14" t="s">
        <v>56</v>
      </c>
      <c r="C28" s="15">
        <f>Tonnenkm_road_train!C28*productionvolume_2050!E28*(ModalSplit_Railways!C28/100)*EnergyperModal!$B$5*10^-9</f>
        <v>2.2111073175469986</v>
      </c>
      <c r="D28">
        <f>Tonnenkm_road_train!C28*productionvolume_2050!E28*(ModalSplit_Roads!C28/100)*EnergyperModal!$B$7*10^-9</f>
        <v>81.258193919852189</v>
      </c>
      <c r="E28" s="19">
        <f>Tonnenkm_road_train!C28*productionvolume_2050!E28*(ModalSplit_ship!C28/100)*EnergyperModal!$B$6*10^-9</f>
        <v>19.899965857922989</v>
      </c>
      <c r="F28">
        <f>Tonnenkm_fligth!C28*productionvolume_2050!D28*EnergyperModal!$B$8*10^-9</f>
        <v>0.11366521482944841</v>
      </c>
      <c r="G28" s="16">
        <f t="shared" si="0"/>
        <v>103.48293231015164</v>
      </c>
    </row>
    <row r="29" spans="1:7" x14ac:dyDescent="0.3">
      <c r="A29" s="12" t="s">
        <v>26</v>
      </c>
      <c r="B29" s="14" t="s">
        <v>57</v>
      </c>
      <c r="C29" s="15">
        <f>Tonnenkm_road_train!C29*productionvolume_2050!E29*(ModalSplit_Railways!C29/100)*EnergyperModal!$B$5*10^-9</f>
        <v>7.488424704208013</v>
      </c>
      <c r="D29">
        <f>Tonnenkm_road_train!C29*productionvolume_2050!E29*(ModalSplit_Roads!C29/100)*EnergyperModal!$B$7*10^-9</f>
        <v>73.552971539109791</v>
      </c>
      <c r="E29" s="19">
        <f>Tonnenkm_road_train!C29*productionvolume_2050!E29*(ModalSplit_ship!C29/100)*EnergyperModal!$B$6*10^-9</f>
        <v>0.66563775148515669</v>
      </c>
      <c r="F29">
        <f>Tonnenkm_fligth!C29*productionvolume_2050!D29*EnergyperModal!$B$8*10^-9</f>
        <v>1.1813931133228992E-3</v>
      </c>
      <c r="G29" s="16">
        <f t="shared" si="0"/>
        <v>81.708215387916283</v>
      </c>
    </row>
    <row r="30" spans="1:7" x14ac:dyDescent="0.3">
      <c r="A30" s="12" t="s">
        <v>27</v>
      </c>
      <c r="B30" s="14" t="s">
        <v>58</v>
      </c>
      <c r="C30" s="15">
        <f>Tonnenkm_road_train!C30*productionvolume_2050!E30*(ModalSplit_Railways!C30/100)*EnergyperModal!$B$5*10^-9</f>
        <v>17.76280910522755</v>
      </c>
      <c r="D30">
        <f>Tonnenkm_road_train!C30*productionvolume_2050!E30*(ModalSplit_Roads!C30/100)*EnergyperModal!$B$7*10^-9</f>
        <v>226.10023430708799</v>
      </c>
      <c r="E30" s="19">
        <f>Tonnenkm_road_train!C30*productionvolume_2050!E30*(ModalSplit_ship!C30/100)*EnergyperModal!$B$6*10^-9</f>
        <v>8.837218460312217E-2</v>
      </c>
      <c r="F30">
        <f>Tonnenkm_fligth!C30*productionvolume_2050!D30*EnergyperModal!$B$8*10^-9</f>
        <v>2.1734187801099921E-4</v>
      </c>
      <c r="G30" s="16">
        <f t="shared" si="0"/>
        <v>243.95163293879665</v>
      </c>
    </row>
    <row r="31" spans="1:7" x14ac:dyDescent="0.3">
      <c r="A31" s="12" t="s">
        <v>28</v>
      </c>
      <c r="B31" s="14" t="s">
        <v>28</v>
      </c>
      <c r="C31" s="15">
        <f>Tonnenkm_road_train!C31*productionvolume_2050!E31*(ModalSplit_Railways!C31/100)*EnergyperModal!$B$5*10^-9</f>
        <v>1.3591200735368025</v>
      </c>
      <c r="D31">
        <f>Tonnenkm_road_train!C31*productionvolume_2050!E31*(ModalSplit_Roads!C31/100)*EnergyperModal!$B$7*10^-9</f>
        <v>38.323357566488433</v>
      </c>
      <c r="E31" s="19">
        <f>Tonnenkm_road_train!C31*productionvolume_2050!E31*(ModalSplit_ship!C31/100)*EnergyperModal!$B$6*10^-9</f>
        <v>0.76570144987988897</v>
      </c>
      <c r="F31">
        <f>Tonnenkm_fligth!C31*productionvolume_2050!D31*EnergyperModal!$B$8*10^-9</f>
        <v>4.4280030224593632E-4</v>
      </c>
      <c r="G31" s="16">
        <f t="shared" si="0"/>
        <v>40.44862189020737</v>
      </c>
    </row>
    <row r="32" spans="1:7" x14ac:dyDescent="0.3">
      <c r="A32" s="12" t="s">
        <v>29</v>
      </c>
      <c r="B32" s="14" t="s">
        <v>59</v>
      </c>
      <c r="C32" s="15">
        <f>Tonnenkm_road_train!C32*productionvolume_2050!E32*(ModalSplit_Railways!C32/100)*EnergyperModal!$B$5*10^-9</f>
        <v>3.4532225276308637</v>
      </c>
      <c r="D32">
        <f>Tonnenkm_road_train!C32*productionvolume_2050!E32*(ModalSplit_Roads!C32/100)*EnergyperModal!$B$7*10^-9</f>
        <v>24.535006655370381</v>
      </c>
      <c r="E32" s="19">
        <f>Tonnenkm_road_train!C32*productionvolume_2050!E32*(ModalSplit_ship!C32/100)*EnergyperModal!$B$6*10^-9</f>
        <v>4.3175238984450486</v>
      </c>
      <c r="F32">
        <f>Tonnenkm_fligth!C32*productionvolume_2050!D32*EnergyperModal!$B$8*10^-9</f>
        <v>9.7160422325328366E-5</v>
      </c>
      <c r="G32" s="16">
        <f t="shared" si="0"/>
        <v>32.305850241868619</v>
      </c>
    </row>
    <row r="33" spans="1:7" x14ac:dyDescent="0.3">
      <c r="A33" s="12" t="s">
        <v>30</v>
      </c>
      <c r="B33" s="14" t="s">
        <v>60</v>
      </c>
      <c r="C33" s="15">
        <f>Tonnenkm_road_train!C33*productionvolume_2050!E33*(ModalSplit_Railways!C33/100)*EnergyperModal!$B$5*10^-9</f>
        <v>1.7547978940807276</v>
      </c>
      <c r="D33">
        <f>Tonnenkm_road_train!C33*productionvolume_2050!E33*(ModalSplit_Roads!C33/100)*EnergyperModal!$B$7*10^-9</f>
        <v>15.009404461362827</v>
      </c>
      <c r="E33" s="19">
        <f>Tonnenkm_road_train!C33*productionvolume_2050!E33*(ModalSplit_ship!C33/100)*EnergyperModal!$B$6*10^-9</f>
        <v>0.3976879080069638</v>
      </c>
      <c r="F33">
        <f>Tonnenkm_fligth!C33*productionvolume_2050!D33*EnergyperModal!$B$8*10^-9</f>
        <v>1.4796099835539863E-5</v>
      </c>
      <c r="G33" s="16">
        <f t="shared" si="0"/>
        <v>17.161905059550357</v>
      </c>
    </row>
    <row r="34" spans="1:7" x14ac:dyDescent="0.3">
      <c r="A34" s="12" t="s">
        <v>31</v>
      </c>
      <c r="B34" s="14" t="s">
        <v>61</v>
      </c>
      <c r="C34" s="15">
        <f>Tonnenkm_road_train!C34*productionvolume_2050!E34*(ModalSplit_Railways!C34/100)*EnergyperModal!$B$5*10^-9</f>
        <v>2.2952312052565809</v>
      </c>
      <c r="D34">
        <f>Tonnenkm_road_train!C34*productionvolume_2050!E34*(ModalSplit_Roads!C34/100)*EnergyperModal!$B$7*10^-9</f>
        <v>21.15930935234492</v>
      </c>
      <c r="E34" s="19">
        <f>Tonnenkm_road_train!C34*productionvolume_2050!E34*(ModalSplit_ship!C34/100)*EnergyperModal!$B$6*10^-9</f>
        <v>0.28162346076767864</v>
      </c>
      <c r="F34">
        <f>Tonnenkm_fligth!C34*productionvolume_2050!D34*EnergyperModal!$B$8*10^-9</f>
        <v>1.2062623318858047E-5</v>
      </c>
      <c r="G34" s="16">
        <f t="shared" si="0"/>
        <v>23.7361760809925</v>
      </c>
    </row>
    <row r="35" spans="1:7" x14ac:dyDescent="0.3">
      <c r="A35" s="12" t="s">
        <v>32</v>
      </c>
      <c r="B35" s="14" t="s">
        <v>62</v>
      </c>
      <c r="C35" s="15">
        <f>Tonnenkm_road_train!C35*productionvolume_2050!E35*(ModalSplit_Railways!C35/100)*EnergyperModal!$B$5*10^-9</f>
        <v>0</v>
      </c>
      <c r="D35">
        <f>Tonnenkm_road_train!C35*productionvolume_2050!E35*(ModalSplit_Roads!C35/100)*EnergyperModal!$B$7*10^-9</f>
        <v>0</v>
      </c>
      <c r="E35" s="19">
        <f>Tonnenkm_road_train!C35*productionvolume_2050!E35*(ModalSplit_ship!C35/100)*EnergyperModal!$B$6*10^-9</f>
        <v>0</v>
      </c>
      <c r="F35">
        <f>Tonnenkm_fligth!C35*productionvolume_2050!D35*EnergyperModal!$B$8*10^-9</f>
        <v>3.4231326195884802E-4</v>
      </c>
      <c r="G35" s="16">
        <f t="shared" si="0"/>
        <v>3.4231326195884802E-4</v>
      </c>
    </row>
    <row r="36" spans="1:7" x14ac:dyDescent="0.3">
      <c r="A36" s="12" t="s">
        <v>33</v>
      </c>
      <c r="B36" s="14" t="s">
        <v>63</v>
      </c>
      <c r="C36" s="15">
        <f>Tonnenkm_road_train!C36*productionvolume_2050!E36*(ModalSplit_Railways!C36/100)*EnergyperModal!$B$5*10^-9</f>
        <v>7.2724124792603542</v>
      </c>
      <c r="D36">
        <f>Tonnenkm_road_train!C36*productionvolume_2050!E36*(ModalSplit_Roads!C36/100)*EnergyperModal!$B$7*10^-9</f>
        <v>75.187235557283373</v>
      </c>
      <c r="E36" s="19">
        <f>Tonnenkm_road_train!C36*productionvolume_2050!E36*(ModalSplit_ship!C36/100)*EnergyperModal!$B$6*10^-9</f>
        <v>0</v>
      </c>
      <c r="F36">
        <f>Tonnenkm_fligth!C36*productionvolume_2050!D36*EnergyperModal!$B$8*10^-9</f>
        <v>3.5328721529793978E-4</v>
      </c>
      <c r="G36" s="16">
        <f t="shared" si="0"/>
        <v>82.46000132375903</v>
      </c>
    </row>
    <row r="37" spans="1:7" x14ac:dyDescent="0.3">
      <c r="A37" s="12" t="s">
        <v>34</v>
      </c>
      <c r="B37" s="14" t="s">
        <v>64</v>
      </c>
      <c r="C37" s="15">
        <f>Tonnenkm_road_train!C37*productionvolume_2050!E37*(ModalSplit_Railways!C37/100)*EnergyperModal!$B$5*10^-9</f>
        <v>3.4219577252348143</v>
      </c>
      <c r="D37">
        <f>Tonnenkm_road_train!C37*productionvolume_2050!E37*(ModalSplit_Roads!C37/100)*EnergyperModal!$B$7*10^-9</f>
        <v>153.74540559831593</v>
      </c>
      <c r="E37" s="19">
        <f>Tonnenkm_road_train!C37*productionvolume_2050!E37*(ModalSplit_ship!C37/100)*EnergyperModal!$B$6*10^-9</f>
        <v>4.8538407450139223E-2</v>
      </c>
      <c r="F37">
        <f>Tonnenkm_fligth!C37*productionvolume_2050!D37*EnergyperModal!$B$8*10^-9</f>
        <v>0.12933022920624138</v>
      </c>
      <c r="G37" s="16">
        <f t="shared" si="0"/>
        <v>157.34523196020712</v>
      </c>
    </row>
    <row r="38" spans="1:7" x14ac:dyDescent="0.3">
      <c r="A38" s="12" t="s">
        <v>35</v>
      </c>
      <c r="B38" s="14" t="s">
        <v>65</v>
      </c>
      <c r="C38" s="15">
        <f>Tonnenkm_road_train!C38*productionvolume_2050!E38*(ModalSplit_Railways!C38/100)*EnergyperModal!$B$5*10^-9</f>
        <v>0</v>
      </c>
      <c r="D38">
        <f>Tonnenkm_road_train!C38*productionvolume_2050!E38*(ModalSplit_Roads!C38/100)*EnergyperModal!$B$7*10^-9</f>
        <v>0</v>
      </c>
      <c r="E38" s="19">
        <f>Tonnenkm_road_train!C38*productionvolume_2050!E38*(ModalSplit_ship!C38/100)*EnergyperModal!$B$6*10^-9</f>
        <v>0</v>
      </c>
      <c r="F38">
        <f>Tonnenkm_fligth!C38*productionvolume_2050!D38*EnergyperModal!$B$8*10^-9</f>
        <v>0</v>
      </c>
      <c r="G38" s="16">
        <f t="shared" si="0"/>
        <v>0</v>
      </c>
    </row>
    <row r="39" spans="1:7" x14ac:dyDescent="0.3">
      <c r="A39" s="12" t="s">
        <v>36</v>
      </c>
      <c r="B39" s="14" t="s">
        <v>66</v>
      </c>
      <c r="C39" s="15">
        <f>Tonnenkm_road_train!C39*productionvolume_2050!E39*(ModalSplit_Railways!C39/100)*EnergyperModal!$B$5*10^-9</f>
        <v>0.94710563497655598</v>
      </c>
      <c r="D39">
        <f>Tonnenkm_road_train!C39*productionvolume_2050!E39*(ModalSplit_Roads!C39/100)*EnergyperModal!$B$7*10^-9</f>
        <v>24.095182068328295</v>
      </c>
      <c r="E39" s="19">
        <f>Tonnenkm_road_train!C39*productionvolume_2050!E39*(ModalSplit_ship!C39/100)*EnergyperModal!$B$6*10^-9</f>
        <v>0.48882871482660956</v>
      </c>
      <c r="F39">
        <f>Tonnenkm_fligth!C39*productionvolume_2050!D39*EnergyperModal!$B$8*10^-9</f>
        <v>5.7935205368457468E-4</v>
      </c>
      <c r="G39" s="16">
        <f t="shared" si="0"/>
        <v>25.531695770185145</v>
      </c>
    </row>
    <row r="40" spans="1:7" x14ac:dyDescent="0.3">
      <c r="A40" s="12" t="s">
        <v>37</v>
      </c>
      <c r="B40" s="14" t="s">
        <v>67</v>
      </c>
      <c r="C40" s="15">
        <f>Tonnenkm_road_train!C40*productionvolume_2050!E40*(ModalSplit_Railways!C40/100)*EnergyperModal!$B$5*10^-9</f>
        <v>0</v>
      </c>
      <c r="D40">
        <f>Tonnenkm_road_train!C40*productionvolume_2050!E40*(ModalSplit_Roads!C40/100)*EnergyperModal!$B$7*10^-9</f>
        <v>0</v>
      </c>
      <c r="E40" s="19">
        <f>Tonnenkm_road_train!C40*productionvolume_2050!E40*(ModalSplit_ship!C40/100)*EnergyperModal!$B$6*10^-9</f>
        <v>0</v>
      </c>
      <c r="F40">
        <f>Tonnenkm_fligth!C40*productionvolume_2050!D40*EnergyperModal!$B$8*10^-9</f>
        <v>4.099294526283867E-3</v>
      </c>
      <c r="G40" s="16">
        <f t="shared" si="0"/>
        <v>4.099294526283867E-3</v>
      </c>
    </row>
    <row r="41" spans="1:7" x14ac:dyDescent="0.3">
      <c r="A41" s="1" t="s">
        <v>68</v>
      </c>
      <c r="B41" s="14" t="s">
        <v>68</v>
      </c>
      <c r="C41" s="15">
        <f>Tonnenkm_road_train!C41*productionvolume_2050!E41*(ModalSplit_Railways!C41/100)*EnergyperModal!$B$5*10^-9</f>
        <v>0</v>
      </c>
      <c r="D41">
        <f>Tonnenkm_road_train!C41*productionvolume_2050!E41*(ModalSplit_Roads!C41/100)*EnergyperModal!$B$7*10^-9</f>
        <v>0</v>
      </c>
      <c r="E41" s="19">
        <f>Tonnenkm_road_train!C41*productionvolume_2050!E41*(ModalSplit_ship!C41/100)*EnergyperModal!$B$6*10^-9</f>
        <v>0</v>
      </c>
      <c r="F41">
        <f>Tonnenkm_fligth!C41*productionvolume_2050!D41*EnergyperModal!$B$8*10^-9</f>
        <v>0</v>
      </c>
      <c r="G41" s="16">
        <f t="shared" si="0"/>
        <v>0</v>
      </c>
    </row>
    <row r="42" spans="1:7" x14ac:dyDescent="0.3">
      <c r="A42" s="1" t="s">
        <v>69</v>
      </c>
      <c r="B42" s="14" t="s">
        <v>72</v>
      </c>
      <c r="C42" s="15">
        <f>Tonnenkm_road_train!C42*productionvolume_2050!E42*(ModalSplit_Railways!C42/100)*EnergyperModal!$B$5*10^-9</f>
        <v>0</v>
      </c>
      <c r="D42">
        <f>Tonnenkm_road_train!C42*productionvolume_2050!E42*(ModalSplit_Roads!C42/100)*EnergyperModal!$B$7*10^-9</f>
        <v>0</v>
      </c>
      <c r="E42" s="19">
        <f>Tonnenkm_road_train!C42*productionvolume_2050!E42*(ModalSplit_ship!C42/100)*EnergyperModal!$B$6*10^-9</f>
        <v>0</v>
      </c>
      <c r="F42">
        <f>Tonnenkm_fligth!C42*productionvolume_2050!D42*EnergyperModal!$B$8*10^-9</f>
        <v>0</v>
      </c>
      <c r="G42" s="16">
        <f t="shared" si="0"/>
        <v>0</v>
      </c>
    </row>
    <row r="43" spans="1:7" x14ac:dyDescent="0.3">
      <c r="A43" s="8" t="s">
        <v>70</v>
      </c>
      <c r="B43" s="14" t="s">
        <v>71</v>
      </c>
      <c r="C43" s="15">
        <f>Tonnenkm_road_train!C43*productionvolume_2050!E43*(ModalSplit_Railways!C43/100)*EnergyperModal!$B$5*10^-9</f>
        <v>0</v>
      </c>
      <c r="D43">
        <f>Tonnenkm_road_train!C43*productionvolume_2050!E43*(ModalSplit_Roads!C43/100)*EnergyperModal!$B$7*10^-9</f>
        <v>0</v>
      </c>
      <c r="E43" s="19">
        <f>Tonnenkm_road_train!C43*productionvolume_2050!E43*(ModalSplit_ship!C43/100)*EnergyperModal!$B$6*10^-9</f>
        <v>0</v>
      </c>
      <c r="F43">
        <f>Tonnenkm_fligth!C43*productionvolume_2050!D43*EnergyperModal!$B$8*10^-9</f>
        <v>0</v>
      </c>
      <c r="G43" s="16">
        <f t="shared" si="0"/>
        <v>0</v>
      </c>
    </row>
    <row r="44" spans="1:7" x14ac:dyDescent="0.3">
      <c r="A44" s="17" t="s">
        <v>79</v>
      </c>
      <c r="B44" s="14" t="s">
        <v>77</v>
      </c>
      <c r="C44" s="15">
        <f>Tonnenkm_road_train!C44*productionvolume_2050!E44*(ModalSplit_Railways!C44/100)*EnergyperModal!$B$5*10^-9</f>
        <v>0</v>
      </c>
      <c r="D44">
        <f>Tonnenkm_road_train!C44*productionvolume_2050!E44*(ModalSplit_Roads!C44/100)*EnergyperModal!$B$7*10^-9</f>
        <v>0</v>
      </c>
      <c r="E44" s="19">
        <f>Tonnenkm_road_train!C44*productionvolume_2050!E44*(ModalSplit_ship!C44/100)*EnergyperModal!$B$6*10^-9</f>
        <v>0</v>
      </c>
      <c r="F44">
        <f>Tonnenkm_fligth!C44*productionvolume_2050!D44*EnergyperModal!$B$8*10^-9</f>
        <v>0</v>
      </c>
      <c r="G44" s="16">
        <f t="shared" si="0"/>
        <v>0</v>
      </c>
    </row>
    <row r="45" spans="1:7" x14ac:dyDescent="0.3">
      <c r="A45" s="17" t="s">
        <v>80</v>
      </c>
      <c r="B45" s="14" t="s">
        <v>78</v>
      </c>
      <c r="C45" s="15">
        <f>Tonnenkm_road_train!C45*productionvolume_2050!E45*(ModalSplit_Railways!C45/100)*EnergyperModal!$B$5*10^-9</f>
        <v>0</v>
      </c>
      <c r="D45">
        <f>Tonnenkm_road_train!C45*productionvolume_2050!E45*(ModalSplit_Roads!C45/100)*EnergyperModal!$B$7*10^-9</f>
        <v>0</v>
      </c>
      <c r="E45" s="19">
        <f>Tonnenkm_road_train!C45*productionvolume_2050!E45*(ModalSplit_ship!C45/100)*EnergyperModal!$B$6*10^-9</f>
        <v>0</v>
      </c>
      <c r="F45">
        <f>Tonnenkm_fligth!C45*productionvolume_2050!D45*EnergyperModal!$B$8*10^-9</f>
        <v>0</v>
      </c>
      <c r="G45" s="16">
        <f t="shared" si="0"/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" workbookViewId="0">
      <selection activeCell="C16" sqref="C16"/>
    </sheetView>
  </sheetViews>
  <sheetFormatPr baseColWidth="10" defaultRowHeight="14.4" x14ac:dyDescent="0.3"/>
  <sheetData>
    <row r="1" spans="1:4" x14ac:dyDescent="0.3">
      <c r="A1" t="s">
        <v>75</v>
      </c>
      <c r="B1" t="s">
        <v>74</v>
      </c>
      <c r="C1">
        <v>2018</v>
      </c>
    </row>
    <row r="2" spans="1:4" x14ac:dyDescent="0.3">
      <c r="A2" s="1" t="s">
        <v>38</v>
      </c>
      <c r="B2" s="1" t="s">
        <v>73</v>
      </c>
      <c r="C2" s="8">
        <v>2018</v>
      </c>
    </row>
    <row r="3" spans="1:4" x14ac:dyDescent="0.3">
      <c r="A3" s="1" t="s">
        <v>0</v>
      </c>
      <c r="B3" s="7"/>
      <c r="C3" s="9"/>
    </row>
    <row r="4" spans="1:4" x14ac:dyDescent="0.3">
      <c r="A4" s="1" t="s">
        <v>1</v>
      </c>
      <c r="B4" s="7"/>
      <c r="C4" s="9">
        <v>18.7</v>
      </c>
    </row>
    <row r="5" spans="1:4" x14ac:dyDescent="0.3">
      <c r="A5" s="1" t="s">
        <v>2</v>
      </c>
      <c r="B5" s="7"/>
      <c r="C5" s="9">
        <v>18</v>
      </c>
    </row>
    <row r="6" spans="1:4" x14ac:dyDescent="0.3">
      <c r="A6" s="1" t="s">
        <v>3</v>
      </c>
      <c r="B6" s="7"/>
      <c r="C6" s="9"/>
    </row>
    <row r="7" spans="1:4" x14ac:dyDescent="0.3">
      <c r="A7" s="1" t="s">
        <v>4</v>
      </c>
      <c r="B7" s="7"/>
      <c r="C7" s="9"/>
    </row>
    <row r="8" spans="1:4" x14ac:dyDescent="0.3">
      <c r="A8" s="1" t="s">
        <v>5</v>
      </c>
      <c r="B8" s="7"/>
      <c r="C8" s="9"/>
    </row>
    <row r="9" spans="1:4" x14ac:dyDescent="0.3">
      <c r="A9" s="1" t="s">
        <v>6</v>
      </c>
      <c r="B9" s="7"/>
      <c r="C9" s="9"/>
      <c r="D9" t="s">
        <v>88</v>
      </c>
    </row>
    <row r="10" spans="1:4" x14ac:dyDescent="0.3">
      <c r="A10" s="1" t="s">
        <v>7</v>
      </c>
      <c r="B10" s="7" t="s">
        <v>39</v>
      </c>
      <c r="C10" s="9">
        <v>11.7</v>
      </c>
    </row>
    <row r="11" spans="1:4" x14ac:dyDescent="0.3">
      <c r="A11" s="1" t="s">
        <v>8</v>
      </c>
      <c r="B11" s="7" t="s">
        <v>40</v>
      </c>
      <c r="C11" s="9">
        <v>19.3</v>
      </c>
    </row>
    <row r="12" spans="1:4" x14ac:dyDescent="0.3">
      <c r="A12" s="1" t="s">
        <v>9</v>
      </c>
      <c r="B12" s="7" t="s">
        <v>41</v>
      </c>
      <c r="C12" s="9">
        <v>27.6</v>
      </c>
    </row>
    <row r="13" spans="1:4" x14ac:dyDescent="0.3">
      <c r="A13" s="1" t="s">
        <v>10</v>
      </c>
      <c r="B13" s="7" t="s">
        <v>42</v>
      </c>
      <c r="C13" s="9">
        <v>11.8</v>
      </c>
    </row>
    <row r="14" spans="1:4" x14ac:dyDescent="0.3">
      <c r="A14" s="1" t="s">
        <v>11</v>
      </c>
      <c r="B14" s="7" t="s">
        <v>43</v>
      </c>
      <c r="C14" s="9">
        <v>19.8</v>
      </c>
    </row>
    <row r="15" spans="1:4" x14ac:dyDescent="0.3">
      <c r="A15" s="1" t="s">
        <v>12</v>
      </c>
      <c r="B15" s="7" t="s">
        <v>44</v>
      </c>
      <c r="C15" s="9">
        <v>46.2</v>
      </c>
    </row>
    <row r="16" spans="1:4" x14ac:dyDescent="0.3">
      <c r="A16" s="1" t="s">
        <v>13</v>
      </c>
      <c r="B16" s="7" t="s">
        <v>45</v>
      </c>
      <c r="C16" s="9">
        <v>0.8</v>
      </c>
    </row>
    <row r="17" spans="1:3" x14ac:dyDescent="0.3">
      <c r="A17" s="1" t="s">
        <v>14</v>
      </c>
      <c r="B17" s="7" t="s">
        <v>46</v>
      </c>
      <c r="C17" s="9">
        <v>2.1</v>
      </c>
    </row>
    <row r="18" spans="1:3" x14ac:dyDescent="0.3">
      <c r="A18" s="1" t="s">
        <v>15</v>
      </c>
      <c r="B18" s="7" t="s">
        <v>47</v>
      </c>
      <c r="C18" s="9">
        <v>5</v>
      </c>
    </row>
    <row r="19" spans="1:3" x14ac:dyDescent="0.3">
      <c r="A19" s="1" t="s">
        <v>16</v>
      </c>
      <c r="B19" s="7" t="s">
        <v>48</v>
      </c>
      <c r="C19" s="9">
        <v>9.9</v>
      </c>
    </row>
    <row r="20" spans="1:3" x14ac:dyDescent="0.3">
      <c r="A20" s="1" t="s">
        <v>17</v>
      </c>
      <c r="B20" s="7" t="s">
        <v>49</v>
      </c>
      <c r="C20" s="9">
        <v>21.2</v>
      </c>
    </row>
    <row r="21" spans="1:3" x14ac:dyDescent="0.3">
      <c r="A21" s="1" t="s">
        <v>18</v>
      </c>
      <c r="B21" s="7" t="s">
        <v>50</v>
      </c>
      <c r="C21" s="9">
        <v>13.1</v>
      </c>
    </row>
    <row r="22" spans="1:3" x14ac:dyDescent="0.3">
      <c r="A22" s="1" t="s">
        <v>19</v>
      </c>
      <c r="B22" s="7" t="s">
        <v>51</v>
      </c>
      <c r="C22" s="9">
        <f>C4</f>
        <v>18.7</v>
      </c>
    </row>
    <row r="23" spans="1:3" x14ac:dyDescent="0.3">
      <c r="A23" s="1" t="s">
        <v>20</v>
      </c>
      <c r="B23" s="7" t="s">
        <v>52</v>
      </c>
      <c r="C23" s="9">
        <v>75.8</v>
      </c>
    </row>
    <row r="24" spans="1:3" x14ac:dyDescent="0.3">
      <c r="A24" s="1" t="s">
        <v>21</v>
      </c>
      <c r="B24" s="7" t="s">
        <v>53</v>
      </c>
      <c r="C24" s="9">
        <v>67.900000000000006</v>
      </c>
    </row>
    <row r="25" spans="1:3" x14ac:dyDescent="0.3">
      <c r="A25" s="1" t="s">
        <v>22</v>
      </c>
      <c r="B25" s="7" t="s">
        <v>54</v>
      </c>
      <c r="C25" s="9">
        <v>8.1999999999999993</v>
      </c>
    </row>
    <row r="26" spans="1:3" x14ac:dyDescent="0.3">
      <c r="A26" s="1" t="s">
        <v>23</v>
      </c>
      <c r="B26" s="7" t="s">
        <v>55</v>
      </c>
      <c r="C26" s="9">
        <v>27</v>
      </c>
    </row>
    <row r="27" spans="1:3" x14ac:dyDescent="0.3">
      <c r="A27" s="1" t="s">
        <v>24</v>
      </c>
      <c r="B27" s="7" t="s">
        <v>24</v>
      </c>
      <c r="C27" s="9">
        <f>C4</f>
        <v>18.7</v>
      </c>
    </row>
    <row r="28" spans="1:3" x14ac:dyDescent="0.3">
      <c r="A28" s="1" t="s">
        <v>25</v>
      </c>
      <c r="B28" s="7" t="s">
        <v>56</v>
      </c>
      <c r="C28" s="9">
        <v>6.4</v>
      </c>
    </row>
    <row r="29" spans="1:3" x14ac:dyDescent="0.3">
      <c r="A29" s="1" t="s">
        <v>26</v>
      </c>
      <c r="B29" s="7" t="s">
        <v>57</v>
      </c>
      <c r="C29" s="9">
        <v>31.5</v>
      </c>
    </row>
    <row r="30" spans="1:3" x14ac:dyDescent="0.3">
      <c r="A30" s="1" t="s">
        <v>27</v>
      </c>
      <c r="B30" s="7" t="s">
        <v>58</v>
      </c>
      <c r="C30" s="9">
        <v>26.8</v>
      </c>
    </row>
    <row r="31" spans="1:3" x14ac:dyDescent="0.3">
      <c r="A31" s="1" t="s">
        <v>28</v>
      </c>
      <c r="B31" s="7" t="s">
        <v>28</v>
      </c>
      <c r="C31" s="9">
        <v>14.2</v>
      </c>
    </row>
    <row r="32" spans="1:3" x14ac:dyDescent="0.3">
      <c r="A32" s="1" t="s">
        <v>29</v>
      </c>
      <c r="B32" s="7" t="s">
        <v>59</v>
      </c>
      <c r="C32" s="9">
        <v>28.9</v>
      </c>
    </row>
    <row r="33" spans="1:3" x14ac:dyDescent="0.3">
      <c r="A33" s="1" t="s">
        <v>30</v>
      </c>
      <c r="B33" s="7" t="s">
        <v>60</v>
      </c>
      <c r="C33" s="9">
        <v>35.299999999999997</v>
      </c>
    </row>
    <row r="34" spans="1:3" x14ac:dyDescent="0.3">
      <c r="A34" s="1" t="s">
        <v>31</v>
      </c>
      <c r="B34" s="7" t="s">
        <v>61</v>
      </c>
      <c r="C34" s="9">
        <v>32.6</v>
      </c>
    </row>
    <row r="35" spans="1:3" x14ac:dyDescent="0.3">
      <c r="A35" s="1" t="s">
        <v>32</v>
      </c>
      <c r="B35" s="7" t="s">
        <v>62</v>
      </c>
      <c r="C35" s="9">
        <v>29</v>
      </c>
    </row>
    <row r="36" spans="1:3" x14ac:dyDescent="0.3">
      <c r="A36" s="1" t="s">
        <v>33</v>
      </c>
      <c r="B36" s="7" t="s">
        <v>63</v>
      </c>
      <c r="C36" s="9">
        <v>31.1</v>
      </c>
    </row>
    <row r="37" spans="1:3" x14ac:dyDescent="0.3">
      <c r="A37" s="1" t="s">
        <v>34</v>
      </c>
      <c r="B37" s="7" t="s">
        <v>64</v>
      </c>
      <c r="C37" s="9">
        <v>9.4</v>
      </c>
    </row>
    <row r="38" spans="1:3" x14ac:dyDescent="0.3">
      <c r="A38" s="1" t="s">
        <v>35</v>
      </c>
      <c r="B38" s="7" t="s">
        <v>65</v>
      </c>
      <c r="C38" s="9">
        <f>C4</f>
        <v>18.7</v>
      </c>
    </row>
    <row r="39" spans="1:3" x14ac:dyDescent="0.3">
      <c r="A39" s="1" t="s">
        <v>36</v>
      </c>
      <c r="B39" s="7" t="s">
        <v>66</v>
      </c>
      <c r="C39" s="9">
        <v>15.5</v>
      </c>
    </row>
    <row r="40" spans="1:3" x14ac:dyDescent="0.3">
      <c r="A40" s="1" t="s">
        <v>37</v>
      </c>
      <c r="B40" s="7" t="s">
        <v>67</v>
      </c>
      <c r="C40" s="9">
        <v>34.700000000000003</v>
      </c>
    </row>
    <row r="41" spans="1:3" x14ac:dyDescent="0.3">
      <c r="A41" s="3" t="s">
        <v>68</v>
      </c>
      <c r="B41" s="7" t="s">
        <v>68</v>
      </c>
      <c r="C41" s="9">
        <f>C4</f>
        <v>18.7</v>
      </c>
    </row>
    <row r="42" spans="1:3" x14ac:dyDescent="0.3">
      <c r="A42" s="3" t="s">
        <v>69</v>
      </c>
      <c r="B42" s="7" t="s">
        <v>72</v>
      </c>
      <c r="C42" s="9">
        <f>C4</f>
        <v>18.7</v>
      </c>
    </row>
    <row r="43" spans="1:3" x14ac:dyDescent="0.3">
      <c r="A43" s="5" t="s">
        <v>70</v>
      </c>
      <c r="B43" s="7" t="s">
        <v>71</v>
      </c>
      <c r="C43" s="9">
        <f>C4</f>
        <v>18.7</v>
      </c>
    </row>
    <row r="44" spans="1:3" x14ac:dyDescent="0.3">
      <c r="A44" s="6" t="s">
        <v>79</v>
      </c>
      <c r="B44" s="7" t="s">
        <v>77</v>
      </c>
      <c r="C44" s="9">
        <f>C4</f>
        <v>18.7</v>
      </c>
    </row>
    <row r="45" spans="1:3" x14ac:dyDescent="0.3">
      <c r="A45" s="6" t="s">
        <v>80</v>
      </c>
      <c r="B45" s="7" t="s">
        <v>78</v>
      </c>
      <c r="C45" s="9">
        <f>C4</f>
        <v>18.7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O47" sqref="O47:O48"/>
    </sheetView>
  </sheetViews>
  <sheetFormatPr baseColWidth="10" defaultRowHeight="14.4" x14ac:dyDescent="0.3"/>
  <sheetData>
    <row r="1" spans="1:4" x14ac:dyDescent="0.3">
      <c r="A1" t="s">
        <v>75</v>
      </c>
      <c r="B1" t="s">
        <v>74</v>
      </c>
      <c r="C1">
        <v>2018</v>
      </c>
    </row>
    <row r="2" spans="1:4" x14ac:dyDescent="0.3">
      <c r="A2" s="1" t="s">
        <v>38</v>
      </c>
      <c r="B2" s="1" t="s">
        <v>73</v>
      </c>
      <c r="C2" s="8">
        <v>2018</v>
      </c>
    </row>
    <row r="3" spans="1:4" x14ac:dyDescent="0.3">
      <c r="A3" s="1" t="s">
        <v>0</v>
      </c>
      <c r="B3" s="7"/>
      <c r="C3" s="9">
        <v>75.3</v>
      </c>
    </row>
    <row r="4" spans="1:4" x14ac:dyDescent="0.3">
      <c r="A4" s="1" t="s">
        <v>1</v>
      </c>
      <c r="B4" s="7"/>
      <c r="C4" s="9">
        <v>76.5</v>
      </c>
    </row>
    <row r="5" spans="1:4" x14ac:dyDescent="0.3">
      <c r="A5" s="1" t="s">
        <v>2</v>
      </c>
      <c r="B5" s="7"/>
      <c r="C5" s="9"/>
    </row>
    <row r="6" spans="1:4" x14ac:dyDescent="0.3">
      <c r="A6" s="1" t="s">
        <v>3</v>
      </c>
      <c r="B6" s="7"/>
      <c r="C6" s="9"/>
    </row>
    <row r="7" spans="1:4" x14ac:dyDescent="0.3">
      <c r="A7" s="1" t="s">
        <v>4</v>
      </c>
      <c r="B7" s="7"/>
      <c r="C7" s="9"/>
    </row>
    <row r="8" spans="1:4" x14ac:dyDescent="0.3">
      <c r="A8" s="1" t="s">
        <v>5</v>
      </c>
      <c r="B8" s="7"/>
      <c r="C8" s="9"/>
    </row>
    <row r="9" spans="1:4" x14ac:dyDescent="0.3">
      <c r="A9" s="1" t="s">
        <v>6</v>
      </c>
      <c r="B9" s="7"/>
      <c r="C9" s="9"/>
      <c r="D9" t="s">
        <v>88</v>
      </c>
    </row>
    <row r="10" spans="1:4" x14ac:dyDescent="0.3">
      <c r="A10" s="1" t="s">
        <v>7</v>
      </c>
      <c r="B10" s="7" t="s">
        <v>39</v>
      </c>
      <c r="C10" s="9">
        <v>72.099999999999994</v>
      </c>
    </row>
    <row r="11" spans="1:4" x14ac:dyDescent="0.3">
      <c r="A11" s="1" t="s">
        <v>8</v>
      </c>
      <c r="B11" s="7" t="s">
        <v>40</v>
      </c>
      <c r="C11" s="9">
        <v>56.2</v>
      </c>
    </row>
    <row r="12" spans="1:4" x14ac:dyDescent="0.3">
      <c r="A12" s="1" t="s">
        <v>9</v>
      </c>
      <c r="B12" s="7" t="s">
        <v>41</v>
      </c>
      <c r="C12" s="9">
        <v>72.400000000000006</v>
      </c>
    </row>
    <row r="13" spans="1:4" x14ac:dyDescent="0.3">
      <c r="A13" s="1" t="s">
        <v>10</v>
      </c>
      <c r="B13" s="7" t="s">
        <v>42</v>
      </c>
      <c r="C13" s="9">
        <v>88.2</v>
      </c>
    </row>
    <row r="14" spans="1:4" x14ac:dyDescent="0.3">
      <c r="A14" s="1" t="s">
        <v>11</v>
      </c>
      <c r="B14" s="7" t="s">
        <v>43</v>
      </c>
      <c r="C14" s="9">
        <v>72.8</v>
      </c>
    </row>
    <row r="15" spans="1:4" x14ac:dyDescent="0.3">
      <c r="A15" s="1" t="s">
        <v>12</v>
      </c>
      <c r="B15" s="7" t="s">
        <v>44</v>
      </c>
      <c r="C15" s="9">
        <v>53.8</v>
      </c>
    </row>
    <row r="16" spans="1:4" x14ac:dyDescent="0.3">
      <c r="A16" s="1" t="s">
        <v>13</v>
      </c>
      <c r="B16" s="7" t="s">
        <v>45</v>
      </c>
      <c r="C16" s="9">
        <v>99.2</v>
      </c>
    </row>
    <row r="17" spans="1:3" x14ac:dyDescent="0.3">
      <c r="A17" s="1" t="s">
        <v>14</v>
      </c>
      <c r="B17" s="7" t="s">
        <v>46</v>
      </c>
      <c r="C17" s="9">
        <v>97.9</v>
      </c>
    </row>
    <row r="18" spans="1:3" x14ac:dyDescent="0.3">
      <c r="A18" s="1" t="s">
        <v>15</v>
      </c>
      <c r="B18" s="7" t="s">
        <v>47</v>
      </c>
      <c r="C18" s="9">
        <v>95</v>
      </c>
    </row>
    <row r="19" spans="1:3" x14ac:dyDescent="0.3">
      <c r="A19" s="1" t="s">
        <v>16</v>
      </c>
      <c r="B19" s="7" t="s">
        <v>48</v>
      </c>
      <c r="C19" s="9">
        <v>87.8</v>
      </c>
    </row>
    <row r="20" spans="1:3" x14ac:dyDescent="0.3">
      <c r="A20" s="1" t="s">
        <v>17</v>
      </c>
      <c r="B20" s="7" t="s">
        <v>49</v>
      </c>
      <c r="C20" s="9">
        <v>73.599999999999994</v>
      </c>
    </row>
    <row r="21" spans="1:3" x14ac:dyDescent="0.3">
      <c r="A21" s="1" t="s">
        <v>18</v>
      </c>
      <c r="B21" s="7" t="s">
        <v>50</v>
      </c>
      <c r="C21" s="9">
        <v>86.8</v>
      </c>
    </row>
    <row r="22" spans="1:3" x14ac:dyDescent="0.3">
      <c r="A22" s="1" t="s">
        <v>19</v>
      </c>
      <c r="B22" s="7" t="s">
        <v>51</v>
      </c>
      <c r="C22" s="9">
        <v>100</v>
      </c>
    </row>
    <row r="23" spans="1:3" x14ac:dyDescent="0.3">
      <c r="A23" s="1" t="s">
        <v>20</v>
      </c>
      <c r="B23" s="7" t="s">
        <v>52</v>
      </c>
      <c r="C23" s="9">
        <v>24.2</v>
      </c>
    </row>
    <row r="24" spans="1:3" x14ac:dyDescent="0.3">
      <c r="A24" s="1" t="s">
        <v>21</v>
      </c>
      <c r="B24" s="7" t="s">
        <v>53</v>
      </c>
      <c r="C24" s="9">
        <v>32.1</v>
      </c>
    </row>
    <row r="25" spans="1:3" x14ac:dyDescent="0.3">
      <c r="A25" s="1" t="s">
        <v>22</v>
      </c>
      <c r="B25" s="7" t="s">
        <v>54</v>
      </c>
      <c r="C25" s="9">
        <v>84.3</v>
      </c>
    </row>
    <row r="26" spans="1:3" x14ac:dyDescent="0.3">
      <c r="A26" s="1" t="s">
        <v>23</v>
      </c>
      <c r="B26" s="7" t="s">
        <v>55</v>
      </c>
      <c r="C26" s="9">
        <v>68.900000000000006</v>
      </c>
    </row>
    <row r="27" spans="1:3" x14ac:dyDescent="0.3">
      <c r="A27" s="1" t="s">
        <v>24</v>
      </c>
      <c r="B27" s="7" t="s">
        <v>24</v>
      </c>
      <c r="C27" s="9">
        <v>100</v>
      </c>
    </row>
    <row r="28" spans="1:3" x14ac:dyDescent="0.3">
      <c r="A28" s="1" t="s">
        <v>25</v>
      </c>
      <c r="B28" s="7" t="s">
        <v>56</v>
      </c>
      <c r="C28" s="9">
        <v>50.4</v>
      </c>
    </row>
    <row r="29" spans="1:3" x14ac:dyDescent="0.3">
      <c r="A29" s="1" t="s">
        <v>26</v>
      </c>
      <c r="B29" s="7" t="s">
        <v>57</v>
      </c>
      <c r="C29" s="9">
        <v>66.3</v>
      </c>
    </row>
    <row r="30" spans="1:3" x14ac:dyDescent="0.3">
      <c r="A30" s="1" t="s">
        <v>27</v>
      </c>
      <c r="B30" s="7" t="s">
        <v>58</v>
      </c>
      <c r="C30" s="9">
        <v>73.099999999999994</v>
      </c>
    </row>
    <row r="31" spans="1:3" x14ac:dyDescent="0.3">
      <c r="A31" s="1" t="s">
        <v>28</v>
      </c>
      <c r="B31" s="7" t="s">
        <v>28</v>
      </c>
      <c r="C31" s="9">
        <v>85.8</v>
      </c>
    </row>
    <row r="32" spans="1:3" x14ac:dyDescent="0.3">
      <c r="A32" s="1" t="s">
        <v>29</v>
      </c>
      <c r="B32" s="7" t="s">
        <v>59</v>
      </c>
      <c r="C32" s="9">
        <v>44</v>
      </c>
    </row>
    <row r="33" spans="1:4" x14ac:dyDescent="0.3">
      <c r="A33" s="1" t="s">
        <v>30</v>
      </c>
      <c r="B33" s="7" t="s">
        <v>60</v>
      </c>
      <c r="C33" s="9">
        <v>64.7</v>
      </c>
    </row>
    <row r="34" spans="1:4" x14ac:dyDescent="0.3">
      <c r="A34" s="1" t="s">
        <v>31</v>
      </c>
      <c r="B34" s="7" t="s">
        <v>61</v>
      </c>
      <c r="C34" s="9">
        <v>64.400000000000006</v>
      </c>
    </row>
    <row r="35" spans="1:4" x14ac:dyDescent="0.3">
      <c r="A35" s="1" t="s">
        <v>32</v>
      </c>
      <c r="B35" s="7" t="s">
        <v>62</v>
      </c>
      <c r="C35" s="9">
        <v>70.7</v>
      </c>
    </row>
    <row r="36" spans="1:4" x14ac:dyDescent="0.3">
      <c r="A36" s="1" t="s">
        <v>33</v>
      </c>
      <c r="B36" s="7" t="s">
        <v>63</v>
      </c>
      <c r="C36" s="9">
        <v>68.900000000000006</v>
      </c>
    </row>
    <row r="37" spans="1:4" x14ac:dyDescent="0.3">
      <c r="A37" s="1" t="s">
        <v>34</v>
      </c>
      <c r="B37" s="7" t="s">
        <v>64</v>
      </c>
      <c r="C37" s="9">
        <v>90.5</v>
      </c>
    </row>
    <row r="38" spans="1:4" x14ac:dyDescent="0.3">
      <c r="A38" s="1" t="s">
        <v>35</v>
      </c>
      <c r="B38" s="7" t="s">
        <v>65</v>
      </c>
      <c r="C38" s="11">
        <f>C3</f>
        <v>75.3</v>
      </c>
      <c r="D38" t="s">
        <v>89</v>
      </c>
    </row>
    <row r="39" spans="1:4" x14ac:dyDescent="0.3">
      <c r="A39" s="1" t="s">
        <v>36</v>
      </c>
      <c r="B39" s="7" t="s">
        <v>66</v>
      </c>
      <c r="C39" s="9">
        <v>84.5</v>
      </c>
    </row>
    <row r="40" spans="1:4" x14ac:dyDescent="0.3">
      <c r="A40" s="1" t="s">
        <v>37</v>
      </c>
      <c r="B40" s="7" t="s">
        <v>67</v>
      </c>
      <c r="C40" s="9">
        <v>65.2</v>
      </c>
    </row>
    <row r="41" spans="1:4" x14ac:dyDescent="0.3">
      <c r="A41" s="3" t="s">
        <v>68</v>
      </c>
      <c r="B41" s="7" t="s">
        <v>68</v>
      </c>
      <c r="C41" s="9">
        <f>C3</f>
        <v>75.3</v>
      </c>
      <c r="D41" t="s">
        <v>89</v>
      </c>
    </row>
    <row r="42" spans="1:4" x14ac:dyDescent="0.3">
      <c r="A42" s="3" t="s">
        <v>69</v>
      </c>
      <c r="B42" s="7" t="s">
        <v>72</v>
      </c>
      <c r="C42" s="9">
        <f>C3</f>
        <v>75.3</v>
      </c>
      <c r="D42" t="s">
        <v>89</v>
      </c>
    </row>
    <row r="43" spans="1:4" x14ac:dyDescent="0.3">
      <c r="A43" s="5" t="s">
        <v>70</v>
      </c>
      <c r="B43" s="7" t="s">
        <v>71</v>
      </c>
      <c r="C43" s="9">
        <f>C3</f>
        <v>75.3</v>
      </c>
      <c r="D43" t="s">
        <v>89</v>
      </c>
    </row>
    <row r="44" spans="1:4" x14ac:dyDescent="0.3">
      <c r="A44" s="6" t="s">
        <v>79</v>
      </c>
      <c r="B44" s="7" t="s">
        <v>77</v>
      </c>
      <c r="C44" s="9">
        <f>C3</f>
        <v>75.3</v>
      </c>
      <c r="D44" t="s">
        <v>89</v>
      </c>
    </row>
    <row r="45" spans="1:4" x14ac:dyDescent="0.3">
      <c r="A45" s="6" t="s">
        <v>80</v>
      </c>
      <c r="B45" s="7" t="s">
        <v>78</v>
      </c>
      <c r="C45" s="9">
        <f>C3</f>
        <v>75.3</v>
      </c>
      <c r="D45" t="s">
        <v>89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I41" sqref="I41"/>
    </sheetView>
  </sheetViews>
  <sheetFormatPr baseColWidth="10" defaultRowHeight="14.4" x14ac:dyDescent="0.3"/>
  <sheetData>
    <row r="1" spans="1:4" x14ac:dyDescent="0.3">
      <c r="A1" t="s">
        <v>75</v>
      </c>
      <c r="B1" t="s">
        <v>74</v>
      </c>
      <c r="C1">
        <v>2018</v>
      </c>
    </row>
    <row r="2" spans="1:4" x14ac:dyDescent="0.3">
      <c r="A2" s="1" t="s">
        <v>38</v>
      </c>
      <c r="B2" s="1" t="s">
        <v>73</v>
      </c>
      <c r="C2" s="8">
        <v>2018</v>
      </c>
    </row>
    <row r="3" spans="1:4" x14ac:dyDescent="0.3">
      <c r="A3" s="1" t="s">
        <v>0</v>
      </c>
      <c r="B3" s="7"/>
      <c r="C3" s="9">
        <v>6</v>
      </c>
    </row>
    <row r="4" spans="1:4" x14ac:dyDescent="0.3">
      <c r="A4" s="1" t="s">
        <v>1</v>
      </c>
      <c r="B4" s="7"/>
      <c r="C4" s="9">
        <v>5.5</v>
      </c>
    </row>
    <row r="5" spans="1:4" x14ac:dyDescent="0.3">
      <c r="A5" s="1" t="s">
        <v>2</v>
      </c>
      <c r="B5" s="7"/>
      <c r="C5" s="9"/>
    </row>
    <row r="6" spans="1:4" x14ac:dyDescent="0.3">
      <c r="A6" s="1" t="s">
        <v>3</v>
      </c>
      <c r="B6" s="7"/>
      <c r="C6" s="9"/>
    </row>
    <row r="7" spans="1:4" x14ac:dyDescent="0.3">
      <c r="A7" s="1" t="s">
        <v>4</v>
      </c>
      <c r="B7" s="7"/>
      <c r="C7" s="9"/>
    </row>
    <row r="8" spans="1:4" x14ac:dyDescent="0.3">
      <c r="A8" s="1" t="s">
        <v>5</v>
      </c>
      <c r="B8" s="7"/>
      <c r="C8" s="9"/>
    </row>
    <row r="9" spans="1:4" x14ac:dyDescent="0.3">
      <c r="A9" s="1" t="s">
        <v>6</v>
      </c>
      <c r="B9" s="7"/>
      <c r="C9" s="9"/>
      <c r="D9" t="s">
        <v>88</v>
      </c>
    </row>
    <row r="10" spans="1:4" x14ac:dyDescent="0.3">
      <c r="A10" s="1" t="s">
        <v>7</v>
      </c>
      <c r="B10" s="7" t="s">
        <v>39</v>
      </c>
      <c r="C10" s="9">
        <v>16.100000000000001</v>
      </c>
    </row>
    <row r="11" spans="1:4" x14ac:dyDescent="0.3">
      <c r="A11" s="1" t="s">
        <v>8</v>
      </c>
      <c r="B11" s="7" t="s">
        <v>40</v>
      </c>
      <c r="C11" s="9">
        <v>24.5</v>
      </c>
    </row>
    <row r="12" spans="1:4" x14ac:dyDescent="0.3">
      <c r="A12" s="1" t="s">
        <v>9</v>
      </c>
      <c r="B12" s="7" t="s">
        <v>41</v>
      </c>
      <c r="C12" s="9">
        <v>0</v>
      </c>
    </row>
    <row r="13" spans="1:4" x14ac:dyDescent="0.3">
      <c r="A13" s="1" t="s">
        <v>10</v>
      </c>
      <c r="B13" s="7" t="s">
        <v>42</v>
      </c>
      <c r="C13" s="9">
        <f>C3</f>
        <v>6</v>
      </c>
    </row>
    <row r="14" spans="1:4" x14ac:dyDescent="0.3">
      <c r="A14" s="1" t="s">
        <v>11</v>
      </c>
      <c r="B14" s="7" t="s">
        <v>43</v>
      </c>
      <c r="C14" s="9">
        <v>7.4</v>
      </c>
    </row>
    <row r="15" spans="1:4" x14ac:dyDescent="0.3">
      <c r="A15" s="1" t="s">
        <v>12</v>
      </c>
      <c r="B15" s="7" t="s">
        <v>44</v>
      </c>
      <c r="C15" s="9">
        <f>C3</f>
        <v>6</v>
      </c>
    </row>
    <row r="16" spans="1:4" x14ac:dyDescent="0.3">
      <c r="A16" s="1" t="s">
        <v>13</v>
      </c>
      <c r="B16" s="7" t="s">
        <v>45</v>
      </c>
      <c r="C16" s="9">
        <f>C3</f>
        <v>6</v>
      </c>
    </row>
    <row r="17" spans="1:3" x14ac:dyDescent="0.3">
      <c r="A17" s="1" t="s">
        <v>14</v>
      </c>
      <c r="B17" s="7" t="s">
        <v>46</v>
      </c>
      <c r="C17" s="9">
        <f>C3</f>
        <v>6</v>
      </c>
    </row>
    <row r="18" spans="1:3" x14ac:dyDescent="0.3">
      <c r="A18" s="1" t="s">
        <v>15</v>
      </c>
      <c r="B18" s="7" t="s">
        <v>47</v>
      </c>
      <c r="C18" s="9">
        <f>C3</f>
        <v>6</v>
      </c>
    </row>
    <row r="19" spans="1:3" x14ac:dyDescent="0.3">
      <c r="A19" s="1" t="s">
        <v>16</v>
      </c>
      <c r="B19" s="7" t="s">
        <v>48</v>
      </c>
      <c r="C19" s="9">
        <v>2.2999999999999998</v>
      </c>
    </row>
    <row r="20" spans="1:3" x14ac:dyDescent="0.3">
      <c r="A20" s="1" t="s">
        <v>17</v>
      </c>
      <c r="B20" s="7" t="s">
        <v>49</v>
      </c>
      <c r="C20" s="9">
        <v>5.2</v>
      </c>
    </row>
    <row r="21" spans="1:3" x14ac:dyDescent="0.3">
      <c r="A21" s="1" t="s">
        <v>18</v>
      </c>
      <c r="B21" s="7" t="s">
        <v>50</v>
      </c>
      <c r="C21" s="9">
        <v>0</v>
      </c>
    </row>
    <row r="22" spans="1:3" x14ac:dyDescent="0.3">
      <c r="A22" s="1" t="s">
        <v>19</v>
      </c>
      <c r="B22" s="7" t="s">
        <v>51</v>
      </c>
      <c r="C22" s="9">
        <f>C3</f>
        <v>6</v>
      </c>
    </row>
    <row r="23" spans="1:3" x14ac:dyDescent="0.3">
      <c r="A23" s="1" t="s">
        <v>20</v>
      </c>
      <c r="B23" s="7" t="s">
        <v>52</v>
      </c>
      <c r="C23" s="9">
        <f>C3</f>
        <v>6</v>
      </c>
    </row>
    <row r="24" spans="1:3" x14ac:dyDescent="0.3">
      <c r="A24" s="1" t="s">
        <v>21</v>
      </c>
      <c r="B24" s="7" t="s">
        <v>53</v>
      </c>
      <c r="C24" s="9">
        <v>0</v>
      </c>
    </row>
    <row r="25" spans="1:3" x14ac:dyDescent="0.3">
      <c r="A25" s="1" t="s">
        <v>22</v>
      </c>
      <c r="B25" s="7" t="s">
        <v>54</v>
      </c>
      <c r="C25" s="9">
        <v>7.5</v>
      </c>
    </row>
    <row r="26" spans="1:3" x14ac:dyDescent="0.3">
      <c r="A26" s="1" t="s">
        <v>23</v>
      </c>
      <c r="B26" s="7" t="s">
        <v>55</v>
      </c>
      <c r="C26" s="9">
        <v>4.0999999999999996</v>
      </c>
    </row>
    <row r="27" spans="1:3" x14ac:dyDescent="0.3">
      <c r="A27" s="1" t="s">
        <v>24</v>
      </c>
      <c r="B27" s="7" t="s">
        <v>24</v>
      </c>
      <c r="C27" s="9">
        <f>C3</f>
        <v>6</v>
      </c>
    </row>
    <row r="28" spans="1:3" x14ac:dyDescent="0.3">
      <c r="A28" s="1" t="s">
        <v>25</v>
      </c>
      <c r="B28" s="7" t="s">
        <v>56</v>
      </c>
      <c r="C28" s="9">
        <v>43.2</v>
      </c>
    </row>
    <row r="29" spans="1:3" x14ac:dyDescent="0.3">
      <c r="A29" s="1" t="s">
        <v>26</v>
      </c>
      <c r="B29" s="7" t="s">
        <v>57</v>
      </c>
      <c r="C29" s="9">
        <v>2.1</v>
      </c>
    </row>
    <row r="30" spans="1:3" x14ac:dyDescent="0.3">
      <c r="A30" s="1" t="s">
        <v>27</v>
      </c>
      <c r="B30" s="7" t="s">
        <v>58</v>
      </c>
      <c r="C30" s="9">
        <v>0.1</v>
      </c>
    </row>
    <row r="31" spans="1:3" x14ac:dyDescent="0.3">
      <c r="A31" s="1" t="s">
        <v>28</v>
      </c>
      <c r="B31" s="7" t="s">
        <v>28</v>
      </c>
      <c r="C31" s="9">
        <f>C3</f>
        <v>6</v>
      </c>
    </row>
    <row r="32" spans="1:3" x14ac:dyDescent="0.3">
      <c r="A32" s="1" t="s">
        <v>29</v>
      </c>
      <c r="B32" s="7" t="s">
        <v>59</v>
      </c>
      <c r="C32" s="9">
        <v>27.1</v>
      </c>
    </row>
    <row r="33" spans="1:4" x14ac:dyDescent="0.3">
      <c r="A33" s="1" t="s">
        <v>30</v>
      </c>
      <c r="B33" s="7" t="s">
        <v>60</v>
      </c>
      <c r="C33" s="9">
        <f>C3</f>
        <v>6</v>
      </c>
    </row>
    <row r="34" spans="1:4" x14ac:dyDescent="0.3">
      <c r="A34" s="1" t="s">
        <v>31</v>
      </c>
      <c r="B34" s="7" t="s">
        <v>61</v>
      </c>
      <c r="C34" s="9">
        <v>3</v>
      </c>
    </row>
    <row r="35" spans="1:4" x14ac:dyDescent="0.3">
      <c r="A35" s="1" t="s">
        <v>32</v>
      </c>
      <c r="B35" s="7" t="s">
        <v>62</v>
      </c>
      <c r="C35" s="9">
        <v>0.4</v>
      </c>
    </row>
    <row r="36" spans="1:4" x14ac:dyDescent="0.3">
      <c r="A36" s="1" t="s">
        <v>33</v>
      </c>
      <c r="B36" s="7" t="s">
        <v>63</v>
      </c>
      <c r="C36" s="9">
        <v>0</v>
      </c>
    </row>
    <row r="37" spans="1:4" x14ac:dyDescent="0.3">
      <c r="A37" s="1" t="s">
        <v>34</v>
      </c>
      <c r="B37" s="7" t="s">
        <v>64</v>
      </c>
      <c r="C37" s="9">
        <v>0.1</v>
      </c>
    </row>
    <row r="38" spans="1:4" x14ac:dyDescent="0.3">
      <c r="A38" s="1" t="s">
        <v>35</v>
      </c>
      <c r="B38" s="7" t="s">
        <v>65</v>
      </c>
      <c r="C38" s="11">
        <f>C3</f>
        <v>6</v>
      </c>
      <c r="D38" t="s">
        <v>89</v>
      </c>
    </row>
    <row r="39" spans="1:4" x14ac:dyDescent="0.3">
      <c r="A39" s="1" t="s">
        <v>36</v>
      </c>
      <c r="B39" s="7" t="s">
        <v>66</v>
      </c>
      <c r="C39" s="9">
        <f>C3</f>
        <v>6</v>
      </c>
    </row>
    <row r="40" spans="1:4" x14ac:dyDescent="0.3">
      <c r="A40" s="1" t="s">
        <v>37</v>
      </c>
      <c r="B40" s="7" t="s">
        <v>67</v>
      </c>
      <c r="C40" s="9">
        <v>0.1</v>
      </c>
    </row>
    <row r="41" spans="1:4" x14ac:dyDescent="0.3">
      <c r="A41" s="3" t="s">
        <v>68</v>
      </c>
      <c r="B41" s="7" t="s">
        <v>68</v>
      </c>
      <c r="C41" s="9">
        <f>C3</f>
        <v>6</v>
      </c>
      <c r="D41" t="s">
        <v>89</v>
      </c>
    </row>
    <row r="42" spans="1:4" x14ac:dyDescent="0.3">
      <c r="A42" s="3" t="s">
        <v>69</v>
      </c>
      <c r="B42" s="7" t="s">
        <v>72</v>
      </c>
      <c r="C42" s="9">
        <f>C3</f>
        <v>6</v>
      </c>
      <c r="D42" t="s">
        <v>89</v>
      </c>
    </row>
    <row r="43" spans="1:4" x14ac:dyDescent="0.3">
      <c r="A43" s="5" t="s">
        <v>70</v>
      </c>
      <c r="B43" s="7" t="s">
        <v>71</v>
      </c>
      <c r="C43" s="9">
        <f>C3</f>
        <v>6</v>
      </c>
      <c r="D43" t="s">
        <v>89</v>
      </c>
    </row>
    <row r="44" spans="1:4" x14ac:dyDescent="0.3">
      <c r="A44" s="6" t="s">
        <v>79</v>
      </c>
      <c r="B44" s="7" t="s">
        <v>77</v>
      </c>
      <c r="C44" s="9">
        <f>C3</f>
        <v>6</v>
      </c>
      <c r="D44" t="s">
        <v>89</v>
      </c>
    </row>
    <row r="45" spans="1:4" x14ac:dyDescent="0.3">
      <c r="A45" s="6" t="s">
        <v>80</v>
      </c>
      <c r="B45" s="7" t="s">
        <v>78</v>
      </c>
      <c r="C45" s="9">
        <f>C3</f>
        <v>6</v>
      </c>
      <c r="D45" t="s">
        <v>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Tonnenkm_road_train</vt:lpstr>
      <vt:lpstr>Tonnenkm_fligth</vt:lpstr>
      <vt:lpstr>Tonnenkm_transportperformance</vt:lpstr>
      <vt:lpstr>production_volume_his</vt:lpstr>
      <vt:lpstr>productionvolume_2050</vt:lpstr>
      <vt:lpstr>Results_2050</vt:lpstr>
      <vt:lpstr>ModalSplit_Railways</vt:lpstr>
      <vt:lpstr>ModalSplit_Roads</vt:lpstr>
      <vt:lpstr>ModalSplit_ship</vt:lpstr>
      <vt:lpstr>flight_tkm</vt:lpstr>
      <vt:lpstr>EnergyperModal</vt:lpstr>
      <vt:lpstr>literatur</vt:lpstr>
      <vt:lpstr>Validierung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2020-07-15T13:31:24Z</dcterms:created>
  <dcterms:modified xsi:type="dcterms:W3CDTF">2020-11-17T16:56:04Z</dcterms:modified>
</cp:coreProperties>
</file>