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B17D7D0A-C3A5-427E-AFFE-C4A0EC033E38}" xr6:coauthVersionLast="47" xr6:coauthVersionMax="47" xr10:uidLastSave="{00000000-0000-0000-0000-000000000000}"/>
  <bookViews>
    <workbookView xWindow="-120" yWindow="-120" windowWidth="29040" windowHeight="17640" firstSheet="4" activeTab="15" xr2:uid="{25B839AB-F145-4046-9E36-EEE6C704F95A}"/>
    <workbookView xWindow="-19310" yWindow="1160" windowWidth="19420" windowHeight="10420" firstSheet="4" activeTab="16" xr2:uid="{228D4939-5C91-456A-B1AB-654004D52185}"/>
  </bookViews>
  <sheets>
    <sheet name="steel" sheetId="6" r:id="rId1"/>
    <sheet name="steel_prim" sheetId="23" r:id="rId2"/>
    <sheet name="steel_sec" sheetId="24" r:id="rId3"/>
    <sheet name="alu_prim" sheetId="9" r:id="rId4"/>
    <sheet name="alu_sec" sheetId="18" r:id="rId5"/>
    <sheet name="copper_prim" sheetId="20" r:id="rId6"/>
    <sheet name="copper_sec" sheetId="21" r:id="rId7"/>
    <sheet name="paper" sheetId="13" r:id="rId8"/>
    <sheet name="cement" sheetId="14" r:id="rId9"/>
    <sheet name="glass" sheetId="16" r:id="rId10"/>
    <sheet name="chlorine" sheetId="10" r:id="rId11"/>
    <sheet name="ammonia" sheetId="15" r:id="rId12"/>
    <sheet name="methanol" sheetId="11" r:id="rId13"/>
    <sheet name="ethylene" sheetId="3" r:id="rId14"/>
    <sheet name="propylene" sheetId="8" r:id="rId15"/>
    <sheet name="aromatics" sheetId="12" r:id="rId16"/>
    <sheet name="Info" sheetId="22" r:id="rId17"/>
  </sheets>
  <definedNames>
    <definedName name="_xlnm._FilterDatabase" localSheetId="15" hidden="1">aromatics!$I$2:$I$315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9" i="14"/>
  <c r="F149" i="12" l="1"/>
  <c r="E101" i="12"/>
  <c r="F3" i="12"/>
  <c r="E3" i="12"/>
  <c r="G101" i="12" l="1"/>
  <c r="J222" i="12" l="1"/>
  <c r="J221" i="12"/>
  <c r="F219" i="8"/>
  <c r="F220" i="8"/>
  <c r="F221" i="8"/>
  <c r="F222" i="8"/>
  <c r="F223" i="8"/>
  <c r="F224" i="8"/>
  <c r="F225" i="8"/>
  <c r="F218" i="8"/>
  <c r="J186" i="12"/>
  <c r="H149" i="12"/>
  <c r="G149" i="12"/>
  <c r="H148" i="12"/>
  <c r="G148" i="12"/>
  <c r="G111" i="12"/>
  <c r="H111" i="12"/>
  <c r="F101" i="12"/>
  <c r="I3" i="12"/>
  <c r="J68" i="12"/>
  <c r="J66" i="12"/>
  <c r="J62" i="12"/>
  <c r="J56" i="12"/>
  <c r="J55" i="12"/>
  <c r="J54" i="12"/>
  <c r="J44" i="12"/>
  <c r="J36" i="12"/>
  <c r="J33" i="12"/>
  <c r="I33" i="12"/>
  <c r="G56" i="12"/>
  <c r="H56" i="12"/>
  <c r="E56" i="12"/>
  <c r="F56" i="12"/>
  <c r="F55" i="12"/>
  <c r="I5" i="12"/>
  <c r="I36" i="12"/>
  <c r="I44" i="12"/>
  <c r="I54" i="12"/>
  <c r="E55" i="12"/>
  <c r="I55" i="12"/>
  <c r="I62" i="12"/>
  <c r="I66" i="12"/>
  <c r="I68" i="12"/>
  <c r="I96" i="12"/>
  <c r="I98" i="12"/>
  <c r="I101" i="12"/>
  <c r="I111" i="12"/>
  <c r="I116" i="12"/>
  <c r="I125" i="12"/>
  <c r="I126" i="12"/>
  <c r="J98" i="12" l="1"/>
  <c r="J101" i="12"/>
  <c r="J96" i="12"/>
  <c r="J126" i="12"/>
  <c r="J116" i="12"/>
  <c r="J125" i="12"/>
  <c r="I56" i="12"/>
  <c r="J111" i="12"/>
  <c r="E252" i="15" l="1"/>
  <c r="E250" i="15"/>
  <c r="E245" i="15"/>
  <c r="E229" i="15"/>
  <c r="E160" i="15"/>
  <c r="E214" i="15"/>
  <c r="F200" i="15"/>
  <c r="F197" i="15"/>
  <c r="F194" i="15"/>
  <c r="F206" i="15"/>
  <c r="E201" i="15"/>
  <c r="E190" i="15"/>
  <c r="E182" i="15"/>
  <c r="E184" i="15"/>
  <c r="F169" i="15"/>
  <c r="E162" i="15"/>
  <c r="F93" i="15"/>
  <c r="F101" i="15"/>
  <c r="E70" i="15"/>
  <c r="F55" i="15"/>
  <c r="E22" i="15"/>
  <c r="E9" i="15"/>
  <c r="E3" i="15"/>
  <c r="G174" i="24"/>
  <c r="G175" i="24"/>
  <c r="G176" i="24"/>
  <c r="G177" i="24"/>
  <c r="G178" i="24"/>
  <c r="G179" i="24"/>
  <c r="G180" i="24"/>
  <c r="G181" i="24"/>
  <c r="G182" i="24"/>
  <c r="G183" i="24"/>
  <c r="G184" i="24"/>
  <c r="G173" i="24"/>
  <c r="G205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F279" i="24"/>
  <c r="F278" i="24"/>
  <c r="E254" i="24"/>
  <c r="F254" i="24" s="1"/>
  <c r="G254" i="24" s="1"/>
  <c r="F252" i="24"/>
  <c r="F244" i="24"/>
  <c r="E242" i="24"/>
  <c r="F242" i="24" s="1"/>
  <c r="F238" i="24"/>
  <c r="G238" i="24" s="1"/>
  <c r="F235" i="24"/>
  <c r="F234" i="24"/>
  <c r="G234" i="24" s="1"/>
  <c r="F231" i="24"/>
  <c r="G231" i="24" s="1"/>
  <c r="F230" i="24"/>
  <c r="G230" i="24" s="1"/>
  <c r="F227" i="24"/>
  <c r="E226" i="24"/>
  <c r="F226" i="24" s="1"/>
  <c r="G226" i="24" s="1"/>
  <c r="E225" i="24"/>
  <c r="F225" i="24" s="1"/>
  <c r="F222" i="24"/>
  <c r="G222" i="24" s="1"/>
  <c r="F221" i="24"/>
  <c r="F214" i="24"/>
  <c r="G214" i="24" s="1"/>
  <c r="F211" i="24"/>
  <c r="F209" i="24"/>
  <c r="F207" i="24"/>
  <c r="F205" i="24"/>
  <c r="E195" i="24"/>
  <c r="F195" i="24" s="1"/>
  <c r="F194" i="24"/>
  <c r="F190" i="24"/>
  <c r="E189" i="24"/>
  <c r="F189" i="24" s="1"/>
  <c r="G189" i="24" s="1"/>
  <c r="F180" i="24"/>
  <c r="F169" i="24"/>
  <c r="G169" i="24" s="1"/>
  <c r="F166" i="24"/>
  <c r="G166" i="24" s="1"/>
  <c r="F163" i="24"/>
  <c r="F156" i="24"/>
  <c r="E153" i="24"/>
  <c r="F153" i="24" s="1"/>
  <c r="E152" i="24"/>
  <c r="F152" i="24" s="1"/>
  <c r="F151" i="24"/>
  <c r="F150" i="24"/>
  <c r="F148" i="24"/>
  <c r="F145" i="24"/>
  <c r="E141" i="24"/>
  <c r="F141" i="24" s="1"/>
  <c r="F139" i="24"/>
  <c r="F138" i="24"/>
  <c r="E135" i="24"/>
  <c r="F134" i="24"/>
  <c r="G134" i="24" s="1"/>
  <c r="F133" i="24"/>
  <c r="G133" i="24" s="1"/>
  <c r="G135" i="24" s="1"/>
  <c r="F126" i="24"/>
  <c r="E125" i="24"/>
  <c r="F125" i="24" s="1"/>
  <c r="F119" i="24"/>
  <c r="E116" i="24"/>
  <c r="F116" i="24" s="1"/>
  <c r="G116" i="24" s="1"/>
  <c r="E112" i="24"/>
  <c r="F112" i="24" s="1"/>
  <c r="E108" i="24"/>
  <c r="F108" i="24" s="1"/>
  <c r="E106" i="24"/>
  <c r="F106" i="24" s="1"/>
  <c r="F101" i="24"/>
  <c r="E101" i="24"/>
  <c r="F98" i="24"/>
  <c r="F94" i="24"/>
  <c r="F93" i="24"/>
  <c r="E90" i="24"/>
  <c r="F90" i="24" s="1"/>
  <c r="E89" i="24"/>
  <c r="F89" i="24" s="1"/>
  <c r="G89" i="24" s="1"/>
  <c r="F88" i="24"/>
  <c r="F87" i="24"/>
  <c r="F82" i="24"/>
  <c r="G82" i="24" s="1"/>
  <c r="E82" i="24"/>
  <c r="F79" i="24"/>
  <c r="E74" i="24"/>
  <c r="F74" i="24" s="1"/>
  <c r="G73" i="24"/>
  <c r="G72" i="24"/>
  <c r="G71" i="24"/>
  <c r="F69" i="24"/>
  <c r="E64" i="24"/>
  <c r="F64" i="24" s="1"/>
  <c r="E63" i="24"/>
  <c r="F63" i="24" s="1"/>
  <c r="G63" i="24" s="1"/>
  <c r="E59" i="24"/>
  <c r="F59" i="24" s="1"/>
  <c r="F55" i="24"/>
  <c r="F54" i="24"/>
  <c r="E54" i="24"/>
  <c r="F51" i="24"/>
  <c r="F48" i="24"/>
  <c r="F46" i="24"/>
  <c r="F45" i="24"/>
  <c r="E44" i="24"/>
  <c r="F44" i="24" s="1"/>
  <c r="F42" i="24"/>
  <c r="F34" i="24"/>
  <c r="G31" i="24"/>
  <c r="G30" i="24"/>
  <c r="G29" i="24"/>
  <c r="G28" i="24"/>
  <c r="G27" i="24"/>
  <c r="F26" i="24"/>
  <c r="F21" i="24"/>
  <c r="F17" i="24"/>
  <c r="G9" i="24"/>
  <c r="F9" i="24"/>
  <c r="E9" i="24"/>
  <c r="F5" i="24"/>
  <c r="F4" i="24"/>
  <c r="G212" i="23"/>
  <c r="G213" i="23"/>
  <c r="G214" i="23"/>
  <c r="G215" i="23"/>
  <c r="G216" i="23"/>
  <c r="G217" i="23"/>
  <c r="G211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74" i="23"/>
  <c r="G21" i="23"/>
  <c r="F17" i="23"/>
  <c r="G14" i="23"/>
  <c r="G15" i="23"/>
  <c r="G16" i="23"/>
  <c r="G17" i="23"/>
  <c r="G18" i="23"/>
  <c r="G13" i="23"/>
  <c r="F4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2" i="23"/>
  <c r="G291" i="23"/>
  <c r="G296" i="23" s="1"/>
  <c r="G290" i="23"/>
  <c r="G295" i="23" s="1"/>
  <c r="G289" i="23"/>
  <c r="G294" i="23" s="1"/>
  <c r="G288" i="23"/>
  <c r="G287" i="23"/>
  <c r="G286" i="23"/>
  <c r="F279" i="23"/>
  <c r="F278" i="23"/>
  <c r="F254" i="23"/>
  <c r="F252" i="23"/>
  <c r="G279" i="23" s="1"/>
  <c r="F244" i="23"/>
  <c r="G244" i="23" s="1"/>
  <c r="F242" i="23"/>
  <c r="F238" i="23"/>
  <c r="F235" i="23"/>
  <c r="F234" i="23"/>
  <c r="G234" i="23" s="1"/>
  <c r="F231" i="23"/>
  <c r="F230" i="23"/>
  <c r="F227" i="23"/>
  <c r="F226" i="23"/>
  <c r="F225" i="23"/>
  <c r="F222" i="23"/>
  <c r="F221" i="23"/>
  <c r="G221" i="23" s="1"/>
  <c r="F214" i="23"/>
  <c r="F211" i="23"/>
  <c r="F209" i="23"/>
  <c r="F207" i="23"/>
  <c r="G207" i="23" s="1"/>
  <c r="F205" i="23"/>
  <c r="F195" i="23"/>
  <c r="F194" i="23"/>
  <c r="F190" i="23"/>
  <c r="F189" i="23"/>
  <c r="G189" i="23" s="1"/>
  <c r="F180" i="23"/>
  <c r="F169" i="23"/>
  <c r="F166" i="23"/>
  <c r="G166" i="23" s="1"/>
  <c r="F163" i="23"/>
  <c r="F156" i="23"/>
  <c r="F153" i="23"/>
  <c r="F152" i="23"/>
  <c r="F151" i="23"/>
  <c r="F150" i="23"/>
  <c r="F148" i="23"/>
  <c r="F145" i="23"/>
  <c r="F141" i="23"/>
  <c r="F139" i="23"/>
  <c r="F138" i="23"/>
  <c r="F134" i="23"/>
  <c r="F133" i="23"/>
  <c r="F126" i="23"/>
  <c r="F125" i="23"/>
  <c r="F119" i="23"/>
  <c r="F116" i="23"/>
  <c r="F112" i="23"/>
  <c r="F108" i="23"/>
  <c r="F106" i="23"/>
  <c r="F101" i="23"/>
  <c r="F98" i="23"/>
  <c r="F94" i="23"/>
  <c r="F93" i="23"/>
  <c r="F90" i="23"/>
  <c r="F89" i="23"/>
  <c r="E88" i="23"/>
  <c r="F88" i="23" s="1"/>
  <c r="F87" i="23"/>
  <c r="F82" i="23"/>
  <c r="F79" i="23"/>
  <c r="F74" i="23"/>
  <c r="G73" i="23"/>
  <c r="G72" i="23"/>
  <c r="G71" i="23"/>
  <c r="F69" i="23"/>
  <c r="F64" i="23"/>
  <c r="E63" i="23"/>
  <c r="F63" i="23" s="1"/>
  <c r="F59" i="23"/>
  <c r="F55" i="23"/>
  <c r="F54" i="23"/>
  <c r="F51" i="23"/>
  <c r="F48" i="23"/>
  <c r="F46" i="23"/>
  <c r="F45" i="23"/>
  <c r="F44" i="23"/>
  <c r="F42" i="23"/>
  <c r="F34" i="23"/>
  <c r="G31" i="23"/>
  <c r="G30" i="23"/>
  <c r="G29" i="23"/>
  <c r="G28" i="23"/>
  <c r="G27" i="23"/>
  <c r="F26" i="23"/>
  <c r="F21" i="23"/>
  <c r="F9" i="23"/>
  <c r="F5" i="23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32" i="20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32" i="16"/>
  <c r="H32" i="16"/>
  <c r="I309" i="12"/>
  <c r="E309" i="8"/>
  <c r="E282" i="8"/>
  <c r="E245" i="8"/>
  <c r="E241" i="8"/>
  <c r="E233" i="8"/>
  <c r="E228" i="8"/>
  <c r="E215" i="8"/>
  <c r="E210" i="8"/>
  <c r="E186" i="8"/>
  <c r="E184" i="8"/>
  <c r="E183" i="8"/>
  <c r="E182" i="8"/>
  <c r="E169" i="8"/>
  <c r="E152" i="8"/>
  <c r="E148" i="8"/>
  <c r="E145" i="8"/>
  <c r="E126" i="8"/>
  <c r="E125" i="8"/>
  <c r="E112" i="8"/>
  <c r="E111" i="8"/>
  <c r="E98" i="8"/>
  <c r="E96" i="8"/>
  <c r="E68" i="8"/>
  <c r="E66" i="8"/>
  <c r="E62" i="8"/>
  <c r="E56" i="8"/>
  <c r="E55" i="8"/>
  <c r="E36" i="8"/>
  <c r="E22" i="8"/>
  <c r="E5" i="8"/>
  <c r="E3" i="8"/>
  <c r="E282" i="3"/>
  <c r="E245" i="3"/>
  <c r="E241" i="3"/>
  <c r="E233" i="3"/>
  <c r="E228" i="3"/>
  <c r="E215" i="3"/>
  <c r="E210" i="3"/>
  <c r="E186" i="3"/>
  <c r="E184" i="3"/>
  <c r="E183" i="3"/>
  <c r="E182" i="3"/>
  <c r="E169" i="3"/>
  <c r="E152" i="3"/>
  <c r="E148" i="3"/>
  <c r="E145" i="3"/>
  <c r="E126" i="3"/>
  <c r="E125" i="3"/>
  <c r="E112" i="3"/>
  <c r="E111" i="3"/>
  <c r="E98" i="3"/>
  <c r="E96" i="3"/>
  <c r="E68" i="3"/>
  <c r="E66" i="3"/>
  <c r="E62" i="3"/>
  <c r="E56" i="3"/>
  <c r="E55" i="3"/>
  <c r="E36" i="3"/>
  <c r="E22" i="3"/>
  <c r="E5" i="3"/>
  <c r="E3" i="3"/>
  <c r="G51" i="24" l="1"/>
  <c r="G64" i="24"/>
  <c r="G98" i="24"/>
  <c r="G119" i="24"/>
  <c r="G278" i="24"/>
  <c r="G45" i="24"/>
  <c r="G87" i="24"/>
  <c r="G125" i="24"/>
  <c r="G221" i="24"/>
  <c r="G235" i="24"/>
  <c r="G279" i="24"/>
  <c r="G26" i="24"/>
  <c r="G225" i="24"/>
  <c r="G5" i="24"/>
  <c r="G74" i="24"/>
  <c r="G252" i="24"/>
  <c r="G79" i="24"/>
  <c r="G93" i="24"/>
  <c r="G209" i="24"/>
  <c r="G48" i="24"/>
  <c r="F135" i="24"/>
  <c r="G152" i="24"/>
  <c r="G211" i="24"/>
  <c r="G42" i="24"/>
  <c r="G139" i="24"/>
  <c r="G153" i="24"/>
  <c r="G190" i="24"/>
  <c r="G55" i="24"/>
  <c r="G94" i="24"/>
  <c r="G88" i="24"/>
  <c r="G101" i="24"/>
  <c r="G141" i="24"/>
  <c r="G156" i="24"/>
  <c r="G54" i="24"/>
  <c r="G126" i="24"/>
  <c r="G106" i="24"/>
  <c r="G195" i="24"/>
  <c r="G194" i="24"/>
  <c r="G244" i="24"/>
  <c r="G242" i="24"/>
  <c r="G148" i="24"/>
  <c r="G149" i="24"/>
  <c r="G69" i="24"/>
  <c r="G59" i="24"/>
  <c r="G108" i="24"/>
  <c r="G46" i="24"/>
  <c r="G90" i="24"/>
  <c r="G112" i="24"/>
  <c r="G150" i="24"/>
  <c r="G207" i="24"/>
  <c r="G227" i="24"/>
  <c r="G151" i="24"/>
  <c r="G44" i="24"/>
  <c r="G4" i="24"/>
  <c r="G21" i="24"/>
  <c r="G34" i="24"/>
  <c r="G145" i="24"/>
  <c r="G138" i="24"/>
  <c r="G135" i="23"/>
  <c r="G9" i="23"/>
  <c r="G94" i="23"/>
  <c r="G63" i="23"/>
  <c r="G98" i="23"/>
  <c r="G169" i="23"/>
  <c r="G231" i="23"/>
  <c r="G45" i="23"/>
  <c r="G87" i="23"/>
  <c r="G151" i="23"/>
  <c r="F135" i="23"/>
  <c r="G152" i="23"/>
  <c r="G149" i="23"/>
  <c r="G194" i="23"/>
  <c r="G238" i="23"/>
  <c r="G116" i="23"/>
  <c r="G139" i="23"/>
  <c r="G195" i="23"/>
  <c r="G225" i="23"/>
  <c r="G242" i="23"/>
  <c r="G4" i="23"/>
  <c r="G64" i="23"/>
  <c r="G278" i="23"/>
  <c r="G119" i="23"/>
  <c r="G141" i="23"/>
  <c r="G153" i="23"/>
  <c r="G48" i="23"/>
  <c r="G112" i="23"/>
  <c r="G106" i="23"/>
  <c r="G125" i="23"/>
  <c r="G126" i="23"/>
  <c r="G156" i="23"/>
  <c r="G252" i="23"/>
  <c r="G254" i="23"/>
  <c r="G190" i="23"/>
  <c r="G34" i="23"/>
  <c r="G42" i="23"/>
  <c r="G55" i="23"/>
  <c r="G89" i="23"/>
  <c r="G93" i="23"/>
  <c r="G88" i="23"/>
  <c r="G108" i="23"/>
  <c r="G145" i="23"/>
  <c r="G54" i="23"/>
  <c r="G90" i="23"/>
  <c r="G148" i="23"/>
  <c r="G69" i="23"/>
  <c r="G26" i="23"/>
  <c r="G138" i="23"/>
  <c r="G205" i="23"/>
  <c r="G5" i="23"/>
  <c r="G46" i="23"/>
  <c r="G44" i="23"/>
  <c r="G51" i="23"/>
  <c r="G59" i="23"/>
  <c r="G101" i="23"/>
  <c r="G150" i="23"/>
  <c r="G209" i="23"/>
  <c r="G222" i="23"/>
  <c r="G235" i="23"/>
  <c r="G293" i="23"/>
  <c r="G230" i="23"/>
  <c r="F312" i="21" l="1"/>
  <c r="F311" i="21"/>
  <c r="F310" i="21"/>
  <c r="F309" i="21"/>
  <c r="F308" i="21"/>
  <c r="F307" i="21"/>
  <c r="F306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1" i="21"/>
  <c r="F170" i="21"/>
  <c r="F169" i="21"/>
  <c r="F168" i="21"/>
  <c r="F167" i="21"/>
  <c r="F166" i="21"/>
  <c r="F165" i="21"/>
  <c r="F164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310" i="20"/>
  <c r="F311" i="20"/>
  <c r="F312" i="20"/>
  <c r="F309" i="20"/>
  <c r="F287" i="20"/>
  <c r="F288" i="20"/>
  <c r="F289" i="20"/>
  <c r="F290" i="20"/>
  <c r="F291" i="20"/>
  <c r="F292" i="20"/>
  <c r="F293" i="20"/>
  <c r="F294" i="20"/>
  <c r="F295" i="20"/>
  <c r="F296" i="20"/>
  <c r="F286" i="20"/>
  <c r="F220" i="20"/>
  <c r="F221" i="20"/>
  <c r="F222" i="20"/>
  <c r="F223" i="20"/>
  <c r="F224" i="20"/>
  <c r="F225" i="20"/>
  <c r="F219" i="20"/>
  <c r="F218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195" i="20"/>
  <c r="F194" i="20"/>
  <c r="F174" i="20"/>
  <c r="F175" i="20"/>
  <c r="F176" i="20"/>
  <c r="F177" i="20"/>
  <c r="F178" i="20"/>
  <c r="F179" i="20"/>
  <c r="F180" i="20"/>
  <c r="F181" i="20"/>
  <c r="F182" i="20"/>
  <c r="F183" i="20"/>
  <c r="F184" i="20"/>
  <c r="F134" i="20"/>
  <c r="F135" i="20"/>
  <c r="F136" i="20"/>
  <c r="F137" i="20"/>
  <c r="F133" i="20"/>
  <c r="F165" i="11"/>
  <c r="F166" i="11"/>
  <c r="F167" i="11"/>
  <c r="F168" i="11"/>
  <c r="F169" i="11"/>
  <c r="F170" i="11"/>
  <c r="F171" i="11"/>
  <c r="F165" i="20"/>
  <c r="F166" i="20"/>
  <c r="F167" i="20"/>
  <c r="F168" i="20"/>
  <c r="F169" i="20"/>
  <c r="F170" i="20"/>
  <c r="F171" i="20"/>
  <c r="F173" i="20"/>
  <c r="F308" i="20"/>
  <c r="F307" i="20"/>
  <c r="F306" i="20"/>
  <c r="F303" i="20"/>
  <c r="F302" i="20"/>
  <c r="F301" i="20"/>
  <c r="F300" i="20"/>
  <c r="F299" i="20"/>
  <c r="F298" i="20"/>
  <c r="F297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17" i="20"/>
  <c r="F216" i="20"/>
  <c r="F215" i="20"/>
  <c r="F214" i="20"/>
  <c r="F213" i="20"/>
  <c r="F212" i="20"/>
  <c r="F211" i="20"/>
  <c r="F193" i="20"/>
  <c r="F192" i="20"/>
  <c r="F191" i="20"/>
  <c r="F190" i="20"/>
  <c r="F189" i="20"/>
  <c r="F188" i="20"/>
  <c r="F187" i="20"/>
  <c r="F186" i="20"/>
  <c r="F185" i="20"/>
  <c r="F164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294" i="13"/>
  <c r="F293" i="13"/>
  <c r="K287" i="16"/>
  <c r="K288" i="16"/>
  <c r="K289" i="16"/>
  <c r="K293" i="16" s="1"/>
  <c r="K290" i="16"/>
  <c r="K295" i="16" s="1"/>
  <c r="K291" i="16"/>
  <c r="K296" i="16" s="1"/>
  <c r="K292" i="16"/>
  <c r="I287" i="14"/>
  <c r="I288" i="14"/>
  <c r="I289" i="14"/>
  <c r="I290" i="14"/>
  <c r="I291" i="14"/>
  <c r="I292" i="14"/>
  <c r="F287" i="13"/>
  <c r="F288" i="13"/>
  <c r="F289" i="13"/>
  <c r="F290" i="13"/>
  <c r="F295" i="13" s="1"/>
  <c r="F291" i="13"/>
  <c r="F296" i="13" s="1"/>
  <c r="F292" i="13"/>
  <c r="J287" i="12"/>
  <c r="J288" i="12"/>
  <c r="J289" i="12"/>
  <c r="J294" i="12" s="1"/>
  <c r="J290" i="12"/>
  <c r="J295" i="12" s="1"/>
  <c r="J291" i="12"/>
  <c r="J296" i="12" s="1"/>
  <c r="J292" i="12"/>
  <c r="F287" i="8"/>
  <c r="F288" i="8"/>
  <c r="F289" i="8"/>
  <c r="F294" i="8" s="1"/>
  <c r="F290" i="8"/>
  <c r="F295" i="8" s="1"/>
  <c r="F291" i="8"/>
  <c r="F296" i="8" s="1"/>
  <c r="F292" i="8"/>
  <c r="F288" i="3"/>
  <c r="F289" i="3"/>
  <c r="F290" i="3"/>
  <c r="F291" i="3"/>
  <c r="F296" i="3" s="1"/>
  <c r="F292" i="3"/>
  <c r="F287" i="3"/>
  <c r="F296" i="11"/>
  <c r="F295" i="11"/>
  <c r="F294" i="11"/>
  <c r="F293" i="11"/>
  <c r="F296" i="15"/>
  <c r="F295" i="15"/>
  <c r="F294" i="15"/>
  <c r="F293" i="15"/>
  <c r="I296" i="14"/>
  <c r="I295" i="14"/>
  <c r="I294" i="14"/>
  <c r="I293" i="14"/>
  <c r="F295" i="3"/>
  <c r="F294" i="3"/>
  <c r="F293" i="3"/>
  <c r="F136" i="13"/>
  <c r="F133" i="13"/>
  <c r="E136" i="13"/>
  <c r="E135" i="13"/>
  <c r="E133" i="13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161" i="14"/>
  <c r="G162" i="14"/>
  <c r="G164" i="14"/>
  <c r="G165" i="14"/>
  <c r="G166" i="14"/>
  <c r="G167" i="14"/>
  <c r="G168" i="14"/>
  <c r="G169" i="14"/>
  <c r="G170" i="14"/>
  <c r="G171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H136" i="16"/>
  <c r="J136" i="16"/>
  <c r="G135" i="16"/>
  <c r="E135" i="16"/>
  <c r="F135" i="14"/>
  <c r="E135" i="14"/>
  <c r="F137" i="8"/>
  <c r="F136" i="8"/>
  <c r="F134" i="8"/>
  <c r="F133" i="8"/>
  <c r="F137" i="3"/>
  <c r="F136" i="3"/>
  <c r="F134" i="3"/>
  <c r="F133" i="3"/>
  <c r="F137" i="11"/>
  <c r="F136" i="11"/>
  <c r="F134" i="11"/>
  <c r="F133" i="11"/>
  <c r="F137" i="10"/>
  <c r="F136" i="10"/>
  <c r="F134" i="10"/>
  <c r="F133" i="10"/>
  <c r="F135" i="6"/>
  <c r="E162" i="13"/>
  <c r="E161" i="13"/>
  <c r="F162" i="13"/>
  <c r="E70" i="13"/>
  <c r="F71" i="13"/>
  <c r="F72" i="13"/>
  <c r="F73" i="13"/>
  <c r="F286" i="13"/>
  <c r="F297" i="13"/>
  <c r="F298" i="13"/>
  <c r="F299" i="13"/>
  <c r="F300" i="13"/>
  <c r="F301" i="13"/>
  <c r="F302" i="13"/>
  <c r="F303" i="13"/>
  <c r="F306" i="13"/>
  <c r="F307" i="13"/>
  <c r="F308" i="13"/>
  <c r="F309" i="13"/>
  <c r="F310" i="13"/>
  <c r="F311" i="13"/>
  <c r="F312" i="13"/>
  <c r="F310" i="15"/>
  <c r="F311" i="15"/>
  <c r="F312" i="15"/>
  <c r="F309" i="15"/>
  <c r="F307" i="15"/>
  <c r="F308" i="15"/>
  <c r="F306" i="15"/>
  <c r="F298" i="15"/>
  <c r="F299" i="15"/>
  <c r="F300" i="15"/>
  <c r="F301" i="15"/>
  <c r="F302" i="15"/>
  <c r="F303" i="15"/>
  <c r="F297" i="15"/>
  <c r="F238" i="15"/>
  <c r="F239" i="15"/>
  <c r="F240" i="15"/>
  <c r="F241" i="15"/>
  <c r="F242" i="15"/>
  <c r="F243" i="15"/>
  <c r="F244" i="15"/>
  <c r="F245" i="15"/>
  <c r="F237" i="15"/>
  <c r="F233" i="15"/>
  <c r="F234" i="15"/>
  <c r="F235" i="15"/>
  <c r="F236" i="15"/>
  <c r="F232" i="15"/>
  <c r="F72" i="15"/>
  <c r="F73" i="15"/>
  <c r="F71" i="15"/>
  <c r="F28" i="15"/>
  <c r="F29" i="15"/>
  <c r="F30" i="15"/>
  <c r="F31" i="15"/>
  <c r="F27" i="15"/>
  <c r="J307" i="12"/>
  <c r="J308" i="12"/>
  <c r="J306" i="12"/>
  <c r="J297" i="12"/>
  <c r="J298" i="12"/>
  <c r="J299" i="12"/>
  <c r="J300" i="12"/>
  <c r="J301" i="12"/>
  <c r="J302" i="12"/>
  <c r="J303" i="12"/>
  <c r="J286" i="12"/>
  <c r="J238" i="12"/>
  <c r="J239" i="12"/>
  <c r="J240" i="12"/>
  <c r="J241" i="12"/>
  <c r="J242" i="12"/>
  <c r="J243" i="12"/>
  <c r="J244" i="12"/>
  <c r="J237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74" i="12"/>
  <c r="J72" i="12"/>
  <c r="J73" i="12"/>
  <c r="J71" i="12"/>
  <c r="J28" i="12"/>
  <c r="J29" i="12"/>
  <c r="J30" i="12"/>
  <c r="J31" i="12"/>
  <c r="J27" i="12"/>
  <c r="J20" i="12"/>
  <c r="J21" i="12"/>
  <c r="J22" i="12"/>
  <c r="J23" i="12"/>
  <c r="J24" i="12"/>
  <c r="J25" i="12"/>
  <c r="J26" i="12"/>
  <c r="J19" i="12"/>
  <c r="J14" i="12"/>
  <c r="J15" i="12"/>
  <c r="J16" i="12"/>
  <c r="J17" i="12"/>
  <c r="J18" i="12"/>
  <c r="J13" i="12"/>
  <c r="F297" i="8"/>
  <c r="F298" i="8"/>
  <c r="F299" i="8"/>
  <c r="F300" i="8"/>
  <c r="F301" i="8"/>
  <c r="F302" i="8"/>
  <c r="F303" i="8"/>
  <c r="F286" i="8"/>
  <c r="F75" i="8"/>
  <c r="F76" i="8"/>
  <c r="F77" i="8"/>
  <c r="F78" i="8"/>
  <c r="F79" i="8"/>
  <c r="F80" i="8"/>
  <c r="F81" i="8"/>
  <c r="F82" i="8"/>
  <c r="F83" i="8"/>
  <c r="F84" i="8"/>
  <c r="F85" i="8"/>
  <c r="F86" i="8"/>
  <c r="F74" i="8"/>
  <c r="F72" i="8"/>
  <c r="F73" i="8"/>
  <c r="F71" i="8"/>
  <c r="F28" i="8"/>
  <c r="F29" i="8"/>
  <c r="F30" i="8"/>
  <c r="F31" i="8"/>
  <c r="F27" i="8"/>
  <c r="F14" i="8"/>
  <c r="F15" i="8"/>
  <c r="F16" i="8"/>
  <c r="F17" i="8"/>
  <c r="F18" i="8"/>
  <c r="F13" i="8"/>
  <c r="F307" i="3"/>
  <c r="F308" i="3"/>
  <c r="F306" i="3"/>
  <c r="F297" i="3"/>
  <c r="F298" i="3"/>
  <c r="F299" i="3"/>
  <c r="F300" i="3"/>
  <c r="F301" i="3"/>
  <c r="F302" i="3"/>
  <c r="F303" i="3"/>
  <c r="F286" i="3"/>
  <c r="F227" i="3"/>
  <c r="F226" i="3"/>
  <c r="F218" i="3"/>
  <c r="F219" i="3"/>
  <c r="F220" i="3"/>
  <c r="F221" i="3"/>
  <c r="F222" i="3"/>
  <c r="F223" i="3"/>
  <c r="F224" i="3"/>
  <c r="F225" i="3"/>
  <c r="F75" i="3"/>
  <c r="F76" i="3"/>
  <c r="F77" i="3"/>
  <c r="F78" i="3"/>
  <c r="F79" i="3"/>
  <c r="F80" i="3"/>
  <c r="F81" i="3"/>
  <c r="F82" i="3"/>
  <c r="F83" i="3"/>
  <c r="F84" i="3"/>
  <c r="F85" i="3"/>
  <c r="F86" i="3"/>
  <c r="F74" i="3"/>
  <c r="F72" i="3"/>
  <c r="F73" i="3"/>
  <c r="F71" i="3"/>
  <c r="F28" i="3"/>
  <c r="F29" i="3"/>
  <c r="F30" i="3"/>
  <c r="F31" i="3"/>
  <c r="F27" i="3"/>
  <c r="F14" i="3"/>
  <c r="F15" i="3"/>
  <c r="F16" i="3"/>
  <c r="F17" i="3"/>
  <c r="F18" i="3"/>
  <c r="F13" i="3"/>
  <c r="H72" i="6"/>
  <c r="H73" i="6"/>
  <c r="H71" i="6"/>
  <c r="H28" i="6"/>
  <c r="H29" i="6"/>
  <c r="H30" i="6"/>
  <c r="H31" i="6"/>
  <c r="H27" i="6"/>
  <c r="K297" i="16"/>
  <c r="K298" i="16"/>
  <c r="K299" i="16"/>
  <c r="K300" i="16"/>
  <c r="K301" i="16"/>
  <c r="K302" i="16"/>
  <c r="K303" i="16"/>
  <c r="K286" i="16"/>
  <c r="I310" i="14"/>
  <c r="I311" i="14"/>
  <c r="I312" i="14"/>
  <c r="I309" i="14"/>
  <c r="I307" i="14"/>
  <c r="I308" i="14"/>
  <c r="I306" i="14"/>
  <c r="I297" i="14"/>
  <c r="I298" i="14"/>
  <c r="I299" i="14"/>
  <c r="I300" i="14"/>
  <c r="I301" i="14"/>
  <c r="I302" i="14"/>
  <c r="I303" i="14"/>
  <c r="I286" i="14"/>
  <c r="F293" i="8" l="1"/>
  <c r="K294" i="16"/>
  <c r="J293" i="12"/>
  <c r="F161" i="13"/>
  <c r="F307" i="11"/>
  <c r="F308" i="11"/>
  <c r="F306" i="11"/>
  <c r="F298" i="11"/>
  <c r="F299" i="11"/>
  <c r="F300" i="11"/>
  <c r="F301" i="11"/>
  <c r="F302" i="11"/>
  <c r="F303" i="11"/>
  <c r="F297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45" i="11"/>
  <c r="F238" i="11"/>
  <c r="F239" i="11"/>
  <c r="F240" i="11"/>
  <c r="F241" i="11"/>
  <c r="F242" i="11"/>
  <c r="F243" i="11"/>
  <c r="F244" i="11"/>
  <c r="F237" i="11"/>
  <c r="F233" i="11"/>
  <c r="F234" i="11"/>
  <c r="F235" i="11"/>
  <c r="F236" i="11"/>
  <c r="F232" i="11"/>
  <c r="F229" i="11"/>
  <c r="F230" i="11"/>
  <c r="F231" i="11"/>
  <c r="F228" i="11"/>
  <c r="F227" i="11"/>
  <c r="F226" i="11"/>
  <c r="F212" i="11"/>
  <c r="F213" i="11"/>
  <c r="F214" i="11"/>
  <c r="F215" i="11"/>
  <c r="F216" i="11"/>
  <c r="F217" i="11"/>
  <c r="F211" i="11"/>
  <c r="F186" i="11"/>
  <c r="F187" i="11"/>
  <c r="F188" i="11"/>
  <c r="F189" i="11"/>
  <c r="F190" i="11"/>
  <c r="F191" i="11"/>
  <c r="F192" i="11"/>
  <c r="F193" i="11"/>
  <c r="F185" i="11"/>
  <c r="F164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38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0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87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74" i="11"/>
  <c r="F28" i="11"/>
  <c r="F29" i="11"/>
  <c r="F30" i="11"/>
  <c r="F31" i="11"/>
  <c r="F27" i="11"/>
  <c r="F20" i="11"/>
  <c r="F21" i="11"/>
  <c r="F22" i="11"/>
  <c r="F23" i="11"/>
  <c r="F24" i="11"/>
  <c r="F25" i="11"/>
  <c r="F26" i="11"/>
  <c r="F19" i="11"/>
  <c r="F14" i="11"/>
  <c r="F15" i="11"/>
  <c r="F16" i="11"/>
  <c r="F17" i="11"/>
  <c r="F18" i="11"/>
  <c r="F13" i="11"/>
  <c r="F3" i="11"/>
  <c r="F4" i="11"/>
  <c r="F5" i="11"/>
  <c r="F6" i="11"/>
  <c r="F7" i="11"/>
  <c r="F8" i="11"/>
  <c r="F9" i="11"/>
  <c r="F10" i="11"/>
  <c r="F11" i="11"/>
  <c r="F12" i="11"/>
  <c r="F2" i="11"/>
  <c r="K163" i="16" l="1"/>
  <c r="K70" i="16"/>
  <c r="I70" i="14"/>
  <c r="I159" i="14"/>
  <c r="I160" i="14"/>
  <c r="I163" i="14"/>
  <c r="F14" i="10" l="1"/>
  <c r="F15" i="10"/>
  <c r="F16" i="10"/>
  <c r="F17" i="10"/>
  <c r="F18" i="10"/>
  <c r="F13" i="10"/>
  <c r="F28" i="10"/>
  <c r="F29" i="10"/>
  <c r="F30" i="10"/>
  <c r="F31" i="10"/>
  <c r="F27" i="10"/>
  <c r="F161" i="10"/>
  <c r="F162" i="10"/>
  <c r="F306" i="10"/>
  <c r="F307" i="10"/>
  <c r="F308" i="10"/>
  <c r="F309" i="10"/>
  <c r="F310" i="10"/>
  <c r="F311" i="10"/>
  <c r="F312" i="10"/>
  <c r="F20" i="10"/>
  <c r="F22" i="10"/>
  <c r="H314" i="6"/>
  <c r="H315" i="6"/>
  <c r="H313" i="6"/>
  <c r="H310" i="6"/>
  <c r="H311" i="6"/>
  <c r="H312" i="6"/>
  <c r="H309" i="6"/>
  <c r="H307" i="6"/>
  <c r="H308" i="6"/>
  <c r="H306" i="6"/>
  <c r="H305" i="6"/>
  <c r="H304" i="6"/>
  <c r="H303" i="6"/>
  <c r="H297" i="6"/>
  <c r="H298" i="6"/>
  <c r="H299" i="6"/>
  <c r="H300" i="6"/>
  <c r="H301" i="6"/>
  <c r="H302" i="6"/>
  <c r="H292" i="6"/>
  <c r="H287" i="6"/>
  <c r="H288" i="6"/>
  <c r="H289" i="6"/>
  <c r="H290" i="6"/>
  <c r="H295" i="6" s="1"/>
  <c r="H291" i="6"/>
  <c r="H296" i="6" s="1"/>
  <c r="H286" i="6"/>
  <c r="H293" i="6" l="1"/>
  <c r="H294" i="6"/>
  <c r="G211" i="16"/>
  <c r="G152" i="16"/>
  <c r="G138" i="16"/>
  <c r="G112" i="16"/>
  <c r="G96" i="16"/>
  <c r="F250" i="15" l="1"/>
  <c r="F252" i="15"/>
  <c r="F182" i="15"/>
  <c r="F184" i="15"/>
  <c r="F3" i="15"/>
  <c r="F9" i="15"/>
  <c r="E18" i="15"/>
  <c r="E17" i="15"/>
  <c r="E15" i="15"/>
  <c r="F106" i="15"/>
  <c r="G255" i="16"/>
  <c r="E255" i="16"/>
  <c r="G101" i="16"/>
  <c r="E101" i="16"/>
  <c r="G151" i="16"/>
  <c r="E151" i="16"/>
  <c r="G142" i="16"/>
  <c r="E142" i="16"/>
  <c r="G144" i="16"/>
  <c r="E144" i="16"/>
  <c r="E152" i="16"/>
  <c r="G125" i="16"/>
  <c r="E125" i="16"/>
  <c r="G108" i="16"/>
  <c r="E108" i="16"/>
  <c r="J232" i="16"/>
  <c r="K232" i="16" s="1"/>
  <c r="J233" i="16"/>
  <c r="K233" i="16" s="1"/>
  <c r="J234" i="16"/>
  <c r="K234" i="16" s="1"/>
  <c r="J235" i="16"/>
  <c r="K235" i="16" s="1"/>
  <c r="J236" i="16"/>
  <c r="K236" i="16" s="1"/>
  <c r="H233" i="16"/>
  <c r="H234" i="16"/>
  <c r="H235" i="16"/>
  <c r="H236" i="16"/>
  <c r="H232" i="16"/>
  <c r="F147" i="14"/>
  <c r="E147" i="14"/>
  <c r="F145" i="14"/>
  <c r="E145" i="14"/>
  <c r="F213" i="14"/>
  <c r="H211" i="14" s="1"/>
  <c r="I211" i="14" s="1"/>
  <c r="E213" i="14"/>
  <c r="J228" i="16"/>
  <c r="K228" i="16" s="1"/>
  <c r="J229" i="16"/>
  <c r="K229" i="16" s="1"/>
  <c r="J230" i="16"/>
  <c r="K230" i="16" s="1"/>
  <c r="J231" i="16"/>
  <c r="K231" i="16" s="1"/>
  <c r="H229" i="16"/>
  <c r="H230" i="16"/>
  <c r="H231" i="16"/>
  <c r="H228" i="16"/>
  <c r="J226" i="16"/>
  <c r="K226" i="16" s="1"/>
  <c r="J227" i="16"/>
  <c r="K227" i="16" s="1"/>
  <c r="H227" i="16"/>
  <c r="H226" i="16"/>
  <c r="G241" i="16"/>
  <c r="J239" i="16" s="1"/>
  <c r="K239" i="16" s="1"/>
  <c r="E241" i="16"/>
  <c r="H240" i="16" s="1"/>
  <c r="G213" i="16"/>
  <c r="J214" i="16" s="1"/>
  <c r="K214" i="16" s="1"/>
  <c r="E213" i="16"/>
  <c r="H213" i="16" s="1"/>
  <c r="E211" i="16"/>
  <c r="G195" i="16"/>
  <c r="E195" i="16"/>
  <c r="G196" i="16"/>
  <c r="E196" i="16"/>
  <c r="G210" i="16"/>
  <c r="E210" i="16"/>
  <c r="G181" i="16"/>
  <c r="J175" i="16" s="1"/>
  <c r="K175" i="16" s="1"/>
  <c r="E181" i="16"/>
  <c r="H179" i="16" s="1"/>
  <c r="J161" i="16"/>
  <c r="K161" i="16" s="1"/>
  <c r="J162" i="16"/>
  <c r="K162" i="16" s="1"/>
  <c r="H162" i="16"/>
  <c r="H161" i="16"/>
  <c r="G153" i="16"/>
  <c r="E153" i="16"/>
  <c r="G141" i="16"/>
  <c r="E141" i="16"/>
  <c r="G145" i="16"/>
  <c r="E145" i="16"/>
  <c r="G155" i="16"/>
  <c r="E155" i="16"/>
  <c r="G140" i="16"/>
  <c r="E140" i="16"/>
  <c r="E138" i="16"/>
  <c r="F158" i="14"/>
  <c r="E158" i="14"/>
  <c r="F73" i="14"/>
  <c r="H71" i="14" s="1"/>
  <c r="I71" i="14" s="1"/>
  <c r="E73" i="14"/>
  <c r="G171" i="16"/>
  <c r="J170" i="16" s="1"/>
  <c r="K170" i="16" s="1"/>
  <c r="E171" i="16"/>
  <c r="H164" i="16" s="1"/>
  <c r="J133" i="16"/>
  <c r="J134" i="16"/>
  <c r="K134" i="16" s="1"/>
  <c r="K136" i="16"/>
  <c r="J137" i="16"/>
  <c r="K137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4" i="16"/>
  <c r="J265" i="16" s="1"/>
  <c r="K265" i="16" s="1"/>
  <c r="E254" i="16"/>
  <c r="G122" i="16"/>
  <c r="E122" i="16"/>
  <c r="E112" i="16"/>
  <c r="G115" i="16"/>
  <c r="E115" i="16"/>
  <c r="G111" i="16"/>
  <c r="E111" i="16"/>
  <c r="G113" i="16"/>
  <c r="E113" i="16"/>
  <c r="G95" i="16"/>
  <c r="E95" i="16"/>
  <c r="G98" i="16"/>
  <c r="E98" i="16"/>
  <c r="E96" i="16"/>
  <c r="J27" i="16"/>
  <c r="K27" i="16" s="1"/>
  <c r="J28" i="16"/>
  <c r="K28" i="16" s="1"/>
  <c r="J29" i="16"/>
  <c r="K29" i="16" s="1"/>
  <c r="J30" i="16"/>
  <c r="K30" i="16" s="1"/>
  <c r="J31" i="16"/>
  <c r="K31" i="16" s="1"/>
  <c r="H28" i="16"/>
  <c r="H29" i="16"/>
  <c r="H30" i="16"/>
  <c r="H31" i="16"/>
  <c r="H27" i="16"/>
  <c r="G39" i="16"/>
  <c r="E39" i="16"/>
  <c r="G52" i="16"/>
  <c r="E52" i="16"/>
  <c r="G69" i="16"/>
  <c r="E69" i="16"/>
  <c r="G44" i="16"/>
  <c r="E44" i="16"/>
  <c r="G36" i="16"/>
  <c r="E36" i="16"/>
  <c r="G55" i="16"/>
  <c r="E55" i="16"/>
  <c r="G64" i="16"/>
  <c r="E64" i="16"/>
  <c r="G56" i="16"/>
  <c r="E56" i="16"/>
  <c r="G67" i="16"/>
  <c r="E67" i="16"/>
  <c r="G22" i="16"/>
  <c r="E22" i="16"/>
  <c r="H21" i="16" s="1"/>
  <c r="G24" i="16"/>
  <c r="E24" i="16"/>
  <c r="G18" i="16"/>
  <c r="J13" i="16" s="1"/>
  <c r="K13" i="16" s="1"/>
  <c r="E18" i="16"/>
  <c r="H17" i="16" s="1"/>
  <c r="J185" i="16"/>
  <c r="K185" i="16" s="1"/>
  <c r="J186" i="16"/>
  <c r="K186" i="16" s="1"/>
  <c r="J187" i="16"/>
  <c r="K187" i="16" s="1"/>
  <c r="J188" i="16"/>
  <c r="K188" i="16" s="1"/>
  <c r="J189" i="16"/>
  <c r="K189" i="16" s="1"/>
  <c r="J190" i="16"/>
  <c r="K190" i="16" s="1"/>
  <c r="J191" i="16"/>
  <c r="K191" i="16" s="1"/>
  <c r="J192" i="16"/>
  <c r="K192" i="16" s="1"/>
  <c r="J193" i="16"/>
  <c r="K193" i="16" s="1"/>
  <c r="H186" i="16"/>
  <c r="H187" i="16"/>
  <c r="H188" i="16"/>
  <c r="H189" i="16"/>
  <c r="H190" i="16"/>
  <c r="H191" i="16"/>
  <c r="H192" i="16"/>
  <c r="H193" i="16"/>
  <c r="H185" i="16"/>
  <c r="F52" i="14"/>
  <c r="E52" i="14"/>
  <c r="F134" i="14"/>
  <c r="H133" i="14" s="1"/>
  <c r="I133" i="14" s="1"/>
  <c r="E134" i="14"/>
  <c r="F9" i="14"/>
  <c r="H6" i="14" s="1"/>
  <c r="I6" i="14" s="1"/>
  <c r="E9" i="14"/>
  <c r="F57" i="14"/>
  <c r="E57" i="14"/>
  <c r="H245" i="14"/>
  <c r="I245" i="14" s="1"/>
  <c r="H246" i="14"/>
  <c r="I246" i="14" s="1"/>
  <c r="H247" i="14"/>
  <c r="I247" i="14" s="1"/>
  <c r="H248" i="14"/>
  <c r="I248" i="14" s="1"/>
  <c r="H249" i="14"/>
  <c r="I249" i="14" s="1"/>
  <c r="H250" i="14"/>
  <c r="I250" i="14" s="1"/>
  <c r="H251" i="14"/>
  <c r="I251" i="14" s="1"/>
  <c r="H252" i="14"/>
  <c r="I252" i="14" s="1"/>
  <c r="H253" i="14"/>
  <c r="I253" i="14" s="1"/>
  <c r="H254" i="14"/>
  <c r="I254" i="14" s="1"/>
  <c r="H255" i="14"/>
  <c r="I255" i="14" s="1"/>
  <c r="H256" i="14"/>
  <c r="I256" i="14" s="1"/>
  <c r="H257" i="14"/>
  <c r="I257" i="14" s="1"/>
  <c r="H258" i="14"/>
  <c r="I258" i="14" s="1"/>
  <c r="H259" i="14"/>
  <c r="I259" i="14" s="1"/>
  <c r="H260" i="14"/>
  <c r="I260" i="14" s="1"/>
  <c r="H261" i="14"/>
  <c r="I261" i="14" s="1"/>
  <c r="H262" i="14"/>
  <c r="I262" i="14" s="1"/>
  <c r="H263" i="14"/>
  <c r="I263" i="14" s="1"/>
  <c r="H264" i="14"/>
  <c r="I264" i="14" s="1"/>
  <c r="H265" i="14"/>
  <c r="I265" i="14" s="1"/>
  <c r="H266" i="14"/>
  <c r="I266" i="14" s="1"/>
  <c r="H267" i="14"/>
  <c r="I267" i="14" s="1"/>
  <c r="H268" i="14"/>
  <c r="I268" i="14" s="1"/>
  <c r="H269" i="14"/>
  <c r="I269" i="14" s="1"/>
  <c r="H270" i="14"/>
  <c r="I270" i="14" s="1"/>
  <c r="H271" i="14"/>
  <c r="I271" i="14" s="1"/>
  <c r="H272" i="14"/>
  <c r="I272" i="14" s="1"/>
  <c r="H273" i="14"/>
  <c r="I273" i="14" s="1"/>
  <c r="H274" i="14"/>
  <c r="I274" i="14" s="1"/>
  <c r="H275" i="14"/>
  <c r="I275" i="14" s="1"/>
  <c r="H276" i="14"/>
  <c r="I276" i="14" s="1"/>
  <c r="H277" i="14"/>
  <c r="I277" i="14" s="1"/>
  <c r="H278" i="14"/>
  <c r="I278" i="14" s="1"/>
  <c r="H279" i="14"/>
  <c r="I279" i="14" s="1"/>
  <c r="H280" i="14"/>
  <c r="I280" i="14" s="1"/>
  <c r="H281" i="14"/>
  <c r="I281" i="14" s="1"/>
  <c r="H282" i="14"/>
  <c r="I282" i="14" s="1"/>
  <c r="H283" i="14"/>
  <c r="I283" i="14" s="1"/>
  <c r="H284" i="14"/>
  <c r="I284" i="14" s="1"/>
  <c r="H285" i="14"/>
  <c r="I285" i="14" s="1"/>
  <c r="F159" i="14"/>
  <c r="E159" i="14"/>
  <c r="F98" i="14"/>
  <c r="H91" i="14" s="1"/>
  <c r="I91" i="14" s="1"/>
  <c r="E98" i="14"/>
  <c r="F205" i="14"/>
  <c r="H201" i="14" s="1"/>
  <c r="I201" i="14" s="1"/>
  <c r="E205" i="14"/>
  <c r="J254" i="16"/>
  <c r="K254" i="16" s="1"/>
  <c r="H228" i="14"/>
  <c r="I228" i="14" s="1"/>
  <c r="H229" i="14"/>
  <c r="I229" i="14" s="1"/>
  <c r="H230" i="14"/>
  <c r="I230" i="14" s="1"/>
  <c r="H231" i="14"/>
  <c r="I231" i="14" s="1"/>
  <c r="H237" i="14"/>
  <c r="I237" i="14" s="1"/>
  <c r="H238" i="14"/>
  <c r="I238" i="14" s="1"/>
  <c r="H239" i="14"/>
  <c r="I239" i="14" s="1"/>
  <c r="H240" i="14"/>
  <c r="I240" i="14" s="1"/>
  <c r="H241" i="14"/>
  <c r="I241" i="14" s="1"/>
  <c r="H242" i="14"/>
  <c r="I242" i="14" s="1"/>
  <c r="H243" i="14"/>
  <c r="I243" i="14" s="1"/>
  <c r="H244" i="14"/>
  <c r="I244" i="14" s="1"/>
  <c r="H226" i="14"/>
  <c r="I226" i="14" s="1"/>
  <c r="H227" i="14"/>
  <c r="I227" i="14" s="1"/>
  <c r="J237" i="16"/>
  <c r="K237" i="16" s="1"/>
  <c r="J238" i="16"/>
  <c r="K238" i="16" s="1"/>
  <c r="J241" i="16"/>
  <c r="K241" i="16" s="1"/>
  <c r="J242" i="16"/>
  <c r="K242" i="16" s="1"/>
  <c r="H238" i="16"/>
  <c r="H239" i="16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J218" i="16"/>
  <c r="K218" i="16" s="1"/>
  <c r="J219" i="16"/>
  <c r="K219" i="16" s="1"/>
  <c r="J220" i="16"/>
  <c r="K220" i="16" s="1"/>
  <c r="J221" i="16"/>
  <c r="K221" i="16" s="1"/>
  <c r="J222" i="16"/>
  <c r="K222" i="16" s="1"/>
  <c r="J223" i="16"/>
  <c r="K223" i="16" s="1"/>
  <c r="J224" i="16"/>
  <c r="K224" i="16" s="1"/>
  <c r="J225" i="16"/>
  <c r="K225" i="16" s="1"/>
  <c r="H219" i="16"/>
  <c r="H220" i="16"/>
  <c r="H221" i="16"/>
  <c r="H222" i="16"/>
  <c r="H223" i="16"/>
  <c r="H224" i="16"/>
  <c r="H225" i="16"/>
  <c r="H218" i="16"/>
  <c r="J198" i="16"/>
  <c r="K198" i="16" s="1"/>
  <c r="H196" i="16"/>
  <c r="H197" i="16"/>
  <c r="H178" i="16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61" i="14"/>
  <c r="I161" i="14" s="1"/>
  <c r="H162" i="14"/>
  <c r="I162" i="14" s="1"/>
  <c r="J169" i="16"/>
  <c r="K169" i="16" s="1"/>
  <c r="J171" i="16"/>
  <c r="K171" i="16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F125" i="14"/>
  <c r="H108" i="14" s="1"/>
  <c r="I108" i="14" s="1"/>
  <c r="E125" i="14"/>
  <c r="H232" i="14"/>
  <c r="I232" i="14" s="1"/>
  <c r="H233" i="14"/>
  <c r="I233" i="14" s="1"/>
  <c r="H234" i="14"/>
  <c r="I234" i="14" s="1"/>
  <c r="H235" i="14"/>
  <c r="I235" i="14" s="1"/>
  <c r="H236" i="14"/>
  <c r="I236" i="14" s="1"/>
  <c r="H89" i="14"/>
  <c r="I89" i="14" s="1"/>
  <c r="H105" i="14"/>
  <c r="I105" i="14" s="1"/>
  <c r="G91" i="16"/>
  <c r="E90" i="16"/>
  <c r="F85" i="14"/>
  <c r="H81" i="14" s="1"/>
  <c r="I81" i="14" s="1"/>
  <c r="E85" i="14"/>
  <c r="H27" i="14"/>
  <c r="I27" i="14" s="1"/>
  <c r="H28" i="14"/>
  <c r="I28" i="14" s="1"/>
  <c r="H29" i="14"/>
  <c r="I29" i="14" s="1"/>
  <c r="H30" i="14"/>
  <c r="I30" i="14" s="1"/>
  <c r="H31" i="14"/>
  <c r="I31" i="14" s="1"/>
  <c r="F67" i="14"/>
  <c r="E67" i="14"/>
  <c r="F41" i="14"/>
  <c r="E41" i="14"/>
  <c r="F59" i="14"/>
  <c r="E59" i="14"/>
  <c r="F35" i="14"/>
  <c r="E35" i="14"/>
  <c r="F33" i="14"/>
  <c r="E33" i="14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F13" i="14"/>
  <c r="H18" i="14" s="1"/>
  <c r="I18" i="14" s="1"/>
  <c r="E13" i="14"/>
  <c r="J2" i="16"/>
  <c r="K2" i="16" s="1"/>
  <c r="J3" i="16"/>
  <c r="K3" i="16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H2" i="16"/>
  <c r="H3" i="16"/>
  <c r="H4" i="16"/>
  <c r="H5" i="16"/>
  <c r="H6" i="16"/>
  <c r="H7" i="16"/>
  <c r="H8" i="16"/>
  <c r="H9" i="16"/>
  <c r="H10" i="16"/>
  <c r="H11" i="16"/>
  <c r="H12" i="16"/>
  <c r="H5" i="14"/>
  <c r="I5" i="14" s="1"/>
  <c r="F190" i="14"/>
  <c r="E190" i="14"/>
  <c r="F186" i="14"/>
  <c r="E186" i="14"/>
  <c r="F189" i="14"/>
  <c r="E189" i="14"/>
  <c r="G231" i="6"/>
  <c r="G221" i="6"/>
  <c r="G211" i="6"/>
  <c r="G209" i="6"/>
  <c r="G207" i="6"/>
  <c r="G205" i="6"/>
  <c r="G151" i="6"/>
  <c r="F254" i="6"/>
  <c r="G254" i="6" s="1"/>
  <c r="F242" i="6"/>
  <c r="G242" i="6" s="1"/>
  <c r="F226" i="6"/>
  <c r="G226" i="6" s="1"/>
  <c r="F225" i="6"/>
  <c r="F195" i="6"/>
  <c r="G195" i="6" s="1"/>
  <c r="F189" i="6"/>
  <c r="G189" i="6" s="1"/>
  <c r="F153" i="6"/>
  <c r="G153" i="6" s="1"/>
  <c r="F152" i="6"/>
  <c r="G152" i="6" s="1"/>
  <c r="F141" i="6"/>
  <c r="G141" i="6" s="1"/>
  <c r="F125" i="6"/>
  <c r="G125" i="6" s="1"/>
  <c r="F116" i="6"/>
  <c r="G116" i="6" s="1"/>
  <c r="F112" i="6"/>
  <c r="F108" i="6"/>
  <c r="G108" i="6" s="1"/>
  <c r="F106" i="6"/>
  <c r="G106" i="6" s="1"/>
  <c r="F101" i="6"/>
  <c r="G101" i="6" s="1"/>
  <c r="F90" i="6"/>
  <c r="G90" i="6" s="1"/>
  <c r="F89" i="6"/>
  <c r="G89" i="6" s="1"/>
  <c r="F82" i="6"/>
  <c r="G82" i="6" s="1"/>
  <c r="F74" i="6"/>
  <c r="G74" i="6" s="1"/>
  <c r="F64" i="6"/>
  <c r="G64" i="6" s="1"/>
  <c r="F63" i="6"/>
  <c r="F59" i="6"/>
  <c r="G59" i="6" s="1"/>
  <c r="F54" i="6"/>
  <c r="G54" i="6" s="1"/>
  <c r="F44" i="6"/>
  <c r="G44" i="6" s="1"/>
  <c r="F9" i="6"/>
  <c r="G9" i="6" s="1"/>
  <c r="E88" i="6"/>
  <c r="G88" i="6" s="1"/>
  <c r="E63" i="6"/>
  <c r="G225" i="6"/>
  <c r="G112" i="6"/>
  <c r="G5" i="6"/>
  <c r="G17" i="6"/>
  <c r="G21" i="6"/>
  <c r="G26" i="6"/>
  <c r="G34" i="6"/>
  <c r="G42" i="6"/>
  <c r="G45" i="6"/>
  <c r="G46" i="6"/>
  <c r="G48" i="6"/>
  <c r="G51" i="6"/>
  <c r="G55" i="6"/>
  <c r="G69" i="6"/>
  <c r="G79" i="6"/>
  <c r="G87" i="6"/>
  <c r="G93" i="6"/>
  <c r="G94" i="6"/>
  <c r="G98" i="6"/>
  <c r="G119" i="6"/>
  <c r="G126" i="6"/>
  <c r="G133" i="6"/>
  <c r="G135" i="6" s="1"/>
  <c r="G134" i="6"/>
  <c r="G138" i="6"/>
  <c r="G139" i="6"/>
  <c r="G145" i="6"/>
  <c r="G148" i="6"/>
  <c r="G150" i="6"/>
  <c r="G156" i="6"/>
  <c r="G163" i="6"/>
  <c r="G166" i="6"/>
  <c r="G169" i="6"/>
  <c r="G180" i="6"/>
  <c r="G190" i="6"/>
  <c r="G194" i="6"/>
  <c r="G214" i="6"/>
  <c r="G222" i="6"/>
  <c r="G227" i="6"/>
  <c r="G230" i="6"/>
  <c r="G234" i="6"/>
  <c r="G235" i="6"/>
  <c r="G238" i="6"/>
  <c r="G244" i="6"/>
  <c r="G252" i="6"/>
  <c r="G278" i="6"/>
  <c r="G279" i="6"/>
  <c r="G4" i="6"/>
  <c r="F184" i="8"/>
  <c r="F152" i="8"/>
  <c r="F96" i="8"/>
  <c r="F184" i="3"/>
  <c r="F4" i="10"/>
  <c r="F12" i="10"/>
  <c r="F3" i="10"/>
  <c r="F235" i="10"/>
  <c r="F234" i="10"/>
  <c r="E125" i="10"/>
  <c r="E126" i="10"/>
  <c r="E56" i="10"/>
  <c r="E55" i="10"/>
  <c r="E67" i="10"/>
  <c r="E57" i="10"/>
  <c r="E36" i="10"/>
  <c r="F79" i="10"/>
  <c r="F85" i="10"/>
  <c r="F74" i="10"/>
  <c r="E155" i="10"/>
  <c r="F142" i="10" s="1"/>
  <c r="F290" i="10"/>
  <c r="F295" i="10" s="1"/>
  <c r="F291" i="10"/>
  <c r="F296" i="10" s="1"/>
  <c r="F289" i="10"/>
  <c r="F181" i="10"/>
  <c r="F182" i="10"/>
  <c r="F173" i="10"/>
  <c r="F201" i="10"/>
  <c r="F199" i="10"/>
  <c r="F213" i="10"/>
  <c r="F214" i="10"/>
  <c r="F220" i="10"/>
  <c r="F224" i="10"/>
  <c r="F250" i="10"/>
  <c r="F262" i="10"/>
  <c r="F267" i="10"/>
  <c r="E98" i="10"/>
  <c r="F89" i="10" s="1"/>
  <c r="F55" i="11"/>
  <c r="F56" i="11"/>
  <c r="F62" i="11"/>
  <c r="F67" i="11"/>
  <c r="I148" i="12"/>
  <c r="I149" i="12"/>
  <c r="I152" i="12"/>
  <c r="I165" i="12"/>
  <c r="I181" i="12"/>
  <c r="I182" i="12"/>
  <c r="I183" i="12"/>
  <c r="I184" i="12"/>
  <c r="I201" i="12"/>
  <c r="I210" i="12"/>
  <c r="I211" i="12"/>
  <c r="I228" i="12"/>
  <c r="I233" i="12"/>
  <c r="I245" i="12"/>
  <c r="I250" i="12"/>
  <c r="I252" i="12"/>
  <c r="I282" i="12"/>
  <c r="F5" i="3"/>
  <c r="J210" i="12" l="1"/>
  <c r="F294" i="10"/>
  <c r="F293" i="10"/>
  <c r="F126" i="10"/>
  <c r="H137" i="14"/>
  <c r="I137" i="14" s="1"/>
  <c r="J116" i="16"/>
  <c r="K116" i="16" s="1"/>
  <c r="J209" i="16"/>
  <c r="K209" i="16" s="1"/>
  <c r="H246" i="16"/>
  <c r="J197" i="16"/>
  <c r="K197" i="16" s="1"/>
  <c r="J194" i="16"/>
  <c r="K194" i="16" s="1"/>
  <c r="J210" i="16"/>
  <c r="K210" i="16" s="1"/>
  <c r="J23" i="16"/>
  <c r="K23" i="16" s="1"/>
  <c r="H198" i="16"/>
  <c r="H247" i="16"/>
  <c r="J201" i="16"/>
  <c r="K201" i="16" s="1"/>
  <c r="J182" i="16"/>
  <c r="K182" i="16" s="1"/>
  <c r="J26" i="16"/>
  <c r="K26" i="16" s="1"/>
  <c r="J22" i="16"/>
  <c r="K22" i="16" s="1"/>
  <c r="H210" i="16"/>
  <c r="H15" i="16"/>
  <c r="J21" i="16"/>
  <c r="K21" i="16" s="1"/>
  <c r="H171" i="16"/>
  <c r="H206" i="16"/>
  <c r="J206" i="16"/>
  <c r="K206" i="16" s="1"/>
  <c r="J213" i="16"/>
  <c r="K213" i="16" s="1"/>
  <c r="H245" i="16"/>
  <c r="H14" i="16"/>
  <c r="J20" i="16"/>
  <c r="K20" i="16" s="1"/>
  <c r="H170" i="16"/>
  <c r="H205" i="16"/>
  <c r="J205" i="16"/>
  <c r="K205" i="16" s="1"/>
  <c r="J212" i="16"/>
  <c r="K212" i="16" s="1"/>
  <c r="H272" i="16"/>
  <c r="H211" i="16"/>
  <c r="H167" i="16"/>
  <c r="H204" i="16"/>
  <c r="J202" i="16"/>
  <c r="K202" i="16" s="1"/>
  <c r="H243" i="16"/>
  <c r="H270" i="16"/>
  <c r="J24" i="16"/>
  <c r="K24" i="16" s="1"/>
  <c r="J174" i="16"/>
  <c r="K174" i="16" s="1"/>
  <c r="J108" i="16"/>
  <c r="K108" i="16" s="1"/>
  <c r="H166" i="16"/>
  <c r="H202" i="16"/>
  <c r="H242" i="16"/>
  <c r="H254" i="16"/>
  <c r="H102" i="14"/>
  <c r="I102" i="14" s="1"/>
  <c r="H101" i="14"/>
  <c r="I101" i="14" s="1"/>
  <c r="H97" i="14"/>
  <c r="I97" i="14" s="1"/>
  <c r="G41" i="14"/>
  <c r="H98" i="14"/>
  <c r="I98" i="14" s="1"/>
  <c r="H94" i="14"/>
  <c r="I94" i="14" s="1"/>
  <c r="H93" i="14"/>
  <c r="I93" i="14" s="1"/>
  <c r="G190" i="14"/>
  <c r="H90" i="14"/>
  <c r="I90" i="14" s="1"/>
  <c r="G81" i="14"/>
  <c r="G74" i="14"/>
  <c r="G82" i="14"/>
  <c r="G75" i="14"/>
  <c r="G83" i="14"/>
  <c r="G76" i="14"/>
  <c r="G84" i="14"/>
  <c r="G80" i="14"/>
  <c r="G77" i="14"/>
  <c r="G85" i="14"/>
  <c r="G78" i="14"/>
  <c r="G86" i="14"/>
  <c r="G79" i="14"/>
  <c r="H200" i="14"/>
  <c r="I200" i="14" s="1"/>
  <c r="G57" i="14"/>
  <c r="G216" i="14"/>
  <c r="G215" i="14"/>
  <c r="G217" i="14"/>
  <c r="G211" i="14"/>
  <c r="G212" i="14"/>
  <c r="G213" i="14"/>
  <c r="G214" i="14"/>
  <c r="G16" i="14"/>
  <c r="G17" i="14"/>
  <c r="G18" i="14"/>
  <c r="G15" i="14"/>
  <c r="G13" i="14"/>
  <c r="G14" i="14"/>
  <c r="G32" i="14"/>
  <c r="G40" i="14"/>
  <c r="G48" i="14"/>
  <c r="G56" i="14"/>
  <c r="G64" i="14"/>
  <c r="G47" i="14"/>
  <c r="G33" i="14"/>
  <c r="G49" i="14"/>
  <c r="G65" i="14"/>
  <c r="G39" i="14"/>
  <c r="G34" i="14"/>
  <c r="G42" i="14"/>
  <c r="G50" i="14"/>
  <c r="G58" i="14"/>
  <c r="G66" i="14"/>
  <c r="G43" i="14"/>
  <c r="G51" i="14"/>
  <c r="G55" i="14"/>
  <c r="G36" i="14"/>
  <c r="G44" i="14"/>
  <c r="G60" i="14"/>
  <c r="G68" i="14"/>
  <c r="G37" i="14"/>
  <c r="G45" i="14"/>
  <c r="G53" i="14"/>
  <c r="G61" i="14"/>
  <c r="G69" i="14"/>
  <c r="G38" i="14"/>
  <c r="G46" i="14"/>
  <c r="G54" i="14"/>
  <c r="G62" i="14"/>
  <c r="G63" i="14"/>
  <c r="G67" i="14"/>
  <c r="H199" i="14"/>
  <c r="I199" i="14" s="1"/>
  <c r="G200" i="14"/>
  <c r="G208" i="14"/>
  <c r="G201" i="14"/>
  <c r="G209" i="14"/>
  <c r="G194" i="14"/>
  <c r="G202" i="14"/>
  <c r="G210" i="14"/>
  <c r="G195" i="14"/>
  <c r="G203" i="14"/>
  <c r="G199" i="14"/>
  <c r="G196" i="14"/>
  <c r="G204" i="14"/>
  <c r="G197" i="14"/>
  <c r="G205" i="14"/>
  <c r="G207" i="14"/>
  <c r="G198" i="14"/>
  <c r="G206" i="14"/>
  <c r="G140" i="14"/>
  <c r="G148" i="14"/>
  <c r="G156" i="14"/>
  <c r="G155" i="14"/>
  <c r="G141" i="14"/>
  <c r="G149" i="14"/>
  <c r="G157" i="14"/>
  <c r="G142" i="14"/>
  <c r="G150" i="14"/>
  <c r="G143" i="14"/>
  <c r="G151" i="14"/>
  <c r="G139" i="14"/>
  <c r="G144" i="14"/>
  <c r="G152" i="14"/>
  <c r="G145" i="14"/>
  <c r="G153" i="14"/>
  <c r="G138" i="14"/>
  <c r="G146" i="14"/>
  <c r="G154" i="14"/>
  <c r="G35" i="14"/>
  <c r="G113" i="14"/>
  <c r="G121" i="14"/>
  <c r="G129" i="14"/>
  <c r="G106" i="14"/>
  <c r="G114" i="14"/>
  <c r="G122" i="14"/>
  <c r="G130" i="14"/>
  <c r="G107" i="14"/>
  <c r="G115" i="14"/>
  <c r="G123" i="14"/>
  <c r="G131" i="14"/>
  <c r="G108" i="14"/>
  <c r="G116" i="14"/>
  <c r="G124" i="14"/>
  <c r="G132" i="14"/>
  <c r="G109" i="14"/>
  <c r="G117" i="14"/>
  <c r="G125" i="14"/>
  <c r="G112" i="14"/>
  <c r="G110" i="14"/>
  <c r="G118" i="14"/>
  <c r="G126" i="14"/>
  <c r="G128" i="14"/>
  <c r="G111" i="14"/>
  <c r="G119" i="14"/>
  <c r="G127" i="14"/>
  <c r="G120" i="14"/>
  <c r="G89" i="14"/>
  <c r="G97" i="14"/>
  <c r="G105" i="14"/>
  <c r="G88" i="14"/>
  <c r="G90" i="14"/>
  <c r="G98" i="14"/>
  <c r="G96" i="14"/>
  <c r="G91" i="14"/>
  <c r="G99" i="14"/>
  <c r="G104" i="14"/>
  <c r="G92" i="14"/>
  <c r="G100" i="14"/>
  <c r="G93" i="14"/>
  <c r="G101" i="14"/>
  <c r="G94" i="14"/>
  <c r="G102" i="14"/>
  <c r="G87" i="14"/>
  <c r="G95" i="14"/>
  <c r="G103" i="14"/>
  <c r="G189" i="14"/>
  <c r="G192" i="14"/>
  <c r="G185" i="14"/>
  <c r="G193" i="14"/>
  <c r="G186" i="14"/>
  <c r="G187" i="14"/>
  <c r="G188" i="14"/>
  <c r="G191" i="14"/>
  <c r="G136" i="14"/>
  <c r="G133" i="14"/>
  <c r="G137" i="14"/>
  <c r="G134" i="14"/>
  <c r="G73" i="14"/>
  <c r="G71" i="14"/>
  <c r="G72" i="14"/>
  <c r="G147" i="14"/>
  <c r="G8" i="14"/>
  <c r="G9" i="14"/>
  <c r="G2" i="14"/>
  <c r="G10" i="14"/>
  <c r="G3" i="14"/>
  <c r="G11" i="14"/>
  <c r="G4" i="14"/>
  <c r="G12" i="14"/>
  <c r="G5" i="14"/>
  <c r="G6" i="14"/>
  <c r="G7" i="14"/>
  <c r="G59" i="14"/>
  <c r="H136" i="14"/>
  <c r="H134" i="14"/>
  <c r="I134" i="14" s="1"/>
  <c r="G52" i="14"/>
  <c r="G158" i="14"/>
  <c r="J250" i="12"/>
  <c r="K133" i="16"/>
  <c r="J135" i="16"/>
  <c r="K135" i="16" s="1"/>
  <c r="J181" i="16"/>
  <c r="K181" i="16" s="1"/>
  <c r="J173" i="16"/>
  <c r="K173" i="16" s="1"/>
  <c r="H217" i="16"/>
  <c r="J19" i="16"/>
  <c r="K19" i="16" s="1"/>
  <c r="J95" i="16"/>
  <c r="K95" i="16" s="1"/>
  <c r="J180" i="16"/>
  <c r="K180" i="16" s="1"/>
  <c r="H194" i="16"/>
  <c r="H203" i="16"/>
  <c r="H195" i="16"/>
  <c r="H214" i="16"/>
  <c r="J211" i="16"/>
  <c r="K211" i="16" s="1"/>
  <c r="J124" i="16"/>
  <c r="K124" i="16" s="1"/>
  <c r="J25" i="16"/>
  <c r="K25" i="16" s="1"/>
  <c r="J178" i="16"/>
  <c r="K178" i="16" s="1"/>
  <c r="H209" i="16"/>
  <c r="H201" i="16"/>
  <c r="J217" i="16"/>
  <c r="K217" i="16" s="1"/>
  <c r="J275" i="16"/>
  <c r="K275" i="16" s="1"/>
  <c r="J273" i="16"/>
  <c r="K273" i="16" s="1"/>
  <c r="J179" i="16"/>
  <c r="K179" i="16" s="1"/>
  <c r="J177" i="16"/>
  <c r="K177" i="16" s="1"/>
  <c r="H208" i="16"/>
  <c r="H200" i="16"/>
  <c r="J216" i="16"/>
  <c r="K216" i="16" s="1"/>
  <c r="J184" i="16"/>
  <c r="K184" i="16" s="1"/>
  <c r="J176" i="16"/>
  <c r="K176" i="16" s="1"/>
  <c r="H207" i="16"/>
  <c r="H199" i="16"/>
  <c r="J215" i="16"/>
  <c r="K215" i="16" s="1"/>
  <c r="J257" i="16"/>
  <c r="K257" i="16" s="1"/>
  <c r="H22" i="16"/>
  <c r="J195" i="16"/>
  <c r="K195" i="16" s="1"/>
  <c r="J183" i="16"/>
  <c r="K183" i="16" s="1"/>
  <c r="H215" i="16"/>
  <c r="H131" i="14"/>
  <c r="I131" i="14" s="1"/>
  <c r="H194" i="14"/>
  <c r="I194" i="14" s="1"/>
  <c r="H123" i="14"/>
  <c r="I123" i="14" s="1"/>
  <c r="H209" i="14"/>
  <c r="I209" i="14" s="1"/>
  <c r="H210" i="14"/>
  <c r="I210" i="14" s="1"/>
  <c r="H107" i="14"/>
  <c r="I107" i="14" s="1"/>
  <c r="H208" i="14"/>
  <c r="I208" i="14" s="1"/>
  <c r="H195" i="14"/>
  <c r="I195" i="14" s="1"/>
  <c r="H207" i="14"/>
  <c r="I207" i="14" s="1"/>
  <c r="H202" i="14"/>
  <c r="I202" i="14" s="1"/>
  <c r="H206" i="14"/>
  <c r="I206" i="14" s="1"/>
  <c r="H35" i="14"/>
  <c r="I35" i="14" s="1"/>
  <c r="H189" i="14"/>
  <c r="I189" i="14" s="1"/>
  <c r="J152" i="12"/>
  <c r="J184" i="12"/>
  <c r="F148" i="8"/>
  <c r="F5" i="8"/>
  <c r="F183" i="3"/>
  <c r="F245" i="3"/>
  <c r="F182" i="3"/>
  <c r="H230" i="6"/>
  <c r="H26" i="6"/>
  <c r="H244" i="6"/>
  <c r="H234" i="6"/>
  <c r="H169" i="6"/>
  <c r="H82" i="6"/>
  <c r="H189" i="6"/>
  <c r="H226" i="6"/>
  <c r="H222" i="6"/>
  <c r="H88" i="6"/>
  <c r="H214" i="6"/>
  <c r="H133" i="6"/>
  <c r="H135" i="6" s="1"/>
  <c r="H125" i="6"/>
  <c r="H278" i="6"/>
  <c r="F282" i="3"/>
  <c r="F67" i="10"/>
  <c r="H254" i="6"/>
  <c r="H227" i="6"/>
  <c r="H166" i="6"/>
  <c r="H134" i="6"/>
  <c r="H87" i="6"/>
  <c r="H89" i="6"/>
  <c r="H104" i="14"/>
  <c r="I104" i="14" s="1"/>
  <c r="H96" i="14"/>
  <c r="I96" i="14" s="1"/>
  <c r="H88" i="14"/>
  <c r="I88" i="14" s="1"/>
  <c r="H169" i="16"/>
  <c r="J208" i="16"/>
  <c r="K208" i="16" s="1"/>
  <c r="J200" i="16"/>
  <c r="K200" i="16" s="1"/>
  <c r="H212" i="16"/>
  <c r="H237" i="16"/>
  <c r="J244" i="16"/>
  <c r="K244" i="16" s="1"/>
  <c r="H280" i="16"/>
  <c r="J283" i="16"/>
  <c r="K283" i="16" s="1"/>
  <c r="F201" i="15"/>
  <c r="H93" i="6"/>
  <c r="F62" i="10"/>
  <c r="H279" i="6"/>
  <c r="H79" i="6"/>
  <c r="H152" i="6"/>
  <c r="H151" i="6"/>
  <c r="H16" i="16"/>
  <c r="H23" i="16"/>
  <c r="H103" i="14"/>
  <c r="I103" i="14" s="1"/>
  <c r="H95" i="14"/>
  <c r="I95" i="14" s="1"/>
  <c r="H87" i="14"/>
  <c r="I87" i="14" s="1"/>
  <c r="H168" i="16"/>
  <c r="J207" i="16"/>
  <c r="K207" i="16" s="1"/>
  <c r="J199" i="16"/>
  <c r="K199" i="16" s="1"/>
  <c r="H244" i="16"/>
  <c r="J243" i="16"/>
  <c r="K243" i="16" s="1"/>
  <c r="H278" i="16"/>
  <c r="J281" i="16"/>
  <c r="K281" i="16" s="1"/>
  <c r="H101" i="6"/>
  <c r="H112" i="6"/>
  <c r="F17" i="15"/>
  <c r="H126" i="6"/>
  <c r="H119" i="6"/>
  <c r="F113" i="10"/>
  <c r="F183" i="8"/>
  <c r="F282" i="8"/>
  <c r="H238" i="6"/>
  <c r="H194" i="6"/>
  <c r="H148" i="6"/>
  <c r="G63" i="6"/>
  <c r="H54" i="6" s="1"/>
  <c r="H108" i="6"/>
  <c r="H195" i="6"/>
  <c r="H100" i="14"/>
  <c r="I100" i="14" s="1"/>
  <c r="H92" i="14"/>
  <c r="I92" i="14" s="1"/>
  <c r="J132" i="16"/>
  <c r="K132" i="16" s="1"/>
  <c r="H115" i="14"/>
  <c r="I115" i="14" s="1"/>
  <c r="H165" i="16"/>
  <c r="J204" i="16"/>
  <c r="K204" i="16" s="1"/>
  <c r="J196" i="16"/>
  <c r="K196" i="16" s="1"/>
  <c r="H216" i="16"/>
  <c r="H241" i="16"/>
  <c r="J240" i="16"/>
  <c r="K240" i="16" s="1"/>
  <c r="H264" i="16"/>
  <c r="J267" i="16"/>
  <c r="K267" i="16" s="1"/>
  <c r="F18" i="15"/>
  <c r="H242" i="6"/>
  <c r="F112" i="10"/>
  <c r="H4" i="6"/>
  <c r="H235" i="6"/>
  <c r="H190" i="6"/>
  <c r="H145" i="6"/>
  <c r="H98" i="6"/>
  <c r="H21" i="6"/>
  <c r="H225" i="6"/>
  <c r="H99" i="14"/>
  <c r="I99" i="14" s="1"/>
  <c r="J203" i="16"/>
  <c r="K203" i="16" s="1"/>
  <c r="H262" i="16"/>
  <c r="H221" i="6"/>
  <c r="H231" i="6"/>
  <c r="F219" i="15"/>
  <c r="H209" i="6"/>
  <c r="H139" i="6"/>
  <c r="H138" i="6"/>
  <c r="H5" i="6"/>
  <c r="H9" i="6"/>
  <c r="H141" i="6"/>
  <c r="H156" i="6"/>
  <c r="H153" i="6"/>
  <c r="H205" i="6"/>
  <c r="H150" i="6"/>
  <c r="H106" i="6"/>
  <c r="H116" i="6"/>
  <c r="H207" i="6"/>
  <c r="J282" i="12"/>
  <c r="J149" i="12"/>
  <c r="F138" i="10"/>
  <c r="F56" i="10"/>
  <c r="F15" i="15"/>
  <c r="F119" i="15"/>
  <c r="J252" i="12"/>
  <c r="J201" i="12"/>
  <c r="J148" i="12"/>
  <c r="F148" i="3"/>
  <c r="H94" i="6"/>
  <c r="H252" i="6"/>
  <c r="F114" i="15"/>
  <c r="H17" i="14"/>
  <c r="I17" i="14" s="1"/>
  <c r="F110" i="15"/>
  <c r="J245" i="12"/>
  <c r="H74" i="6"/>
  <c r="H90" i="6"/>
  <c r="H211" i="6"/>
  <c r="F225" i="15"/>
  <c r="J182" i="12"/>
  <c r="F42" i="10"/>
  <c r="J183" i="12"/>
  <c r="F57" i="10"/>
  <c r="H149" i="6"/>
  <c r="H188" i="14"/>
  <c r="I188" i="14" s="1"/>
  <c r="H80" i="14"/>
  <c r="I80" i="14" s="1"/>
  <c r="H33" i="14"/>
  <c r="I33" i="14" s="1"/>
  <c r="F87" i="10"/>
  <c r="F55" i="10"/>
  <c r="H190" i="14"/>
  <c r="I190" i="14" s="1"/>
  <c r="J256" i="16"/>
  <c r="K256" i="16" s="1"/>
  <c r="J280" i="16"/>
  <c r="K280" i="16" s="1"/>
  <c r="J272" i="16"/>
  <c r="K272" i="16" s="1"/>
  <c r="J264" i="16"/>
  <c r="K264" i="16" s="1"/>
  <c r="J253" i="16"/>
  <c r="K253" i="16" s="1"/>
  <c r="J279" i="16"/>
  <c r="K279" i="16" s="1"/>
  <c r="J271" i="16"/>
  <c r="K271" i="16" s="1"/>
  <c r="J262" i="16"/>
  <c r="K262" i="16" s="1"/>
  <c r="J248" i="16"/>
  <c r="K248" i="16" s="1"/>
  <c r="J278" i="16"/>
  <c r="K278" i="16" s="1"/>
  <c r="J270" i="16"/>
  <c r="K270" i="16" s="1"/>
  <c r="J261" i="16"/>
  <c r="K261" i="16" s="1"/>
  <c r="J245" i="16"/>
  <c r="K245" i="16" s="1"/>
  <c r="J285" i="16"/>
  <c r="K285" i="16" s="1"/>
  <c r="J277" i="16"/>
  <c r="K277" i="16" s="1"/>
  <c r="J269" i="16"/>
  <c r="K269" i="16" s="1"/>
  <c r="J259" i="16"/>
  <c r="K259" i="16" s="1"/>
  <c r="J246" i="16"/>
  <c r="K246" i="16" s="1"/>
  <c r="J284" i="16"/>
  <c r="K284" i="16" s="1"/>
  <c r="J276" i="16"/>
  <c r="K276" i="16" s="1"/>
  <c r="J268" i="16"/>
  <c r="K268" i="16" s="1"/>
  <c r="J258" i="16"/>
  <c r="K258" i="16" s="1"/>
  <c r="J282" i="16"/>
  <c r="K282" i="16" s="1"/>
  <c r="J274" i="16"/>
  <c r="K274" i="16" s="1"/>
  <c r="J266" i="16"/>
  <c r="K266" i="16" s="1"/>
  <c r="J249" i="16"/>
  <c r="K249" i="16" s="1"/>
  <c r="J247" i="16"/>
  <c r="K247" i="16" s="1"/>
  <c r="H141" i="14"/>
  <c r="I141" i="14" s="1"/>
  <c r="H155" i="14"/>
  <c r="I155" i="14" s="1"/>
  <c r="H147" i="14"/>
  <c r="I147" i="14" s="1"/>
  <c r="H139" i="14"/>
  <c r="I139" i="14" s="1"/>
  <c r="H154" i="14"/>
  <c r="I154" i="14" s="1"/>
  <c r="H146" i="14"/>
  <c r="I146" i="14" s="1"/>
  <c r="H138" i="14"/>
  <c r="I138" i="14" s="1"/>
  <c r="H153" i="14"/>
  <c r="I153" i="14" s="1"/>
  <c r="H145" i="14"/>
  <c r="I145" i="14" s="1"/>
  <c r="H148" i="14"/>
  <c r="I148" i="14" s="1"/>
  <c r="H152" i="14"/>
  <c r="I152" i="14" s="1"/>
  <c r="H144" i="14"/>
  <c r="I144" i="14" s="1"/>
  <c r="H140" i="14"/>
  <c r="I140" i="14" s="1"/>
  <c r="H151" i="14"/>
  <c r="I151" i="14" s="1"/>
  <c r="H143" i="14"/>
  <c r="I143" i="14" s="1"/>
  <c r="H156" i="14"/>
  <c r="I156" i="14" s="1"/>
  <c r="H158" i="14"/>
  <c r="I158" i="14" s="1"/>
  <c r="H150" i="14"/>
  <c r="I150" i="14" s="1"/>
  <c r="H142" i="14"/>
  <c r="I142" i="14" s="1"/>
  <c r="H157" i="14"/>
  <c r="I157" i="14" s="1"/>
  <c r="H149" i="14"/>
  <c r="I149" i="14" s="1"/>
  <c r="H24" i="16"/>
  <c r="H173" i="16"/>
  <c r="H177" i="16"/>
  <c r="H184" i="16"/>
  <c r="H176" i="16"/>
  <c r="H183" i="16"/>
  <c r="H175" i="16"/>
  <c r="H182" i="16"/>
  <c r="H174" i="16"/>
  <c r="H181" i="16"/>
  <c r="H180" i="16"/>
  <c r="H146" i="16"/>
  <c r="J140" i="16"/>
  <c r="K140" i="16" s="1"/>
  <c r="H138" i="16"/>
  <c r="H155" i="16"/>
  <c r="H154" i="16"/>
  <c r="H152" i="16"/>
  <c r="H145" i="16"/>
  <c r="H144" i="16"/>
  <c r="J154" i="16"/>
  <c r="K154" i="16" s="1"/>
  <c r="J146" i="16"/>
  <c r="K146" i="16" s="1"/>
  <c r="J138" i="16"/>
  <c r="K138" i="16" s="1"/>
  <c r="J153" i="16"/>
  <c r="K153" i="16" s="1"/>
  <c r="J145" i="16"/>
  <c r="K145" i="16" s="1"/>
  <c r="J152" i="16"/>
  <c r="K152" i="16" s="1"/>
  <c r="J144" i="16"/>
  <c r="K144" i="16" s="1"/>
  <c r="J147" i="16"/>
  <c r="K147" i="16" s="1"/>
  <c r="J151" i="16"/>
  <c r="K151" i="16" s="1"/>
  <c r="J143" i="16"/>
  <c r="K143" i="16" s="1"/>
  <c r="J139" i="16"/>
  <c r="K139" i="16" s="1"/>
  <c r="J158" i="16"/>
  <c r="K158" i="16" s="1"/>
  <c r="J150" i="16"/>
  <c r="K150" i="16" s="1"/>
  <c r="J142" i="16"/>
  <c r="K142" i="16" s="1"/>
  <c r="J155" i="16"/>
  <c r="K155" i="16" s="1"/>
  <c r="J157" i="16"/>
  <c r="K157" i="16" s="1"/>
  <c r="J149" i="16"/>
  <c r="K149" i="16" s="1"/>
  <c r="J141" i="16"/>
  <c r="K141" i="16" s="1"/>
  <c r="J156" i="16"/>
  <c r="K156" i="16" s="1"/>
  <c r="J148" i="16"/>
  <c r="K148" i="16" s="1"/>
  <c r="H151" i="16"/>
  <c r="H143" i="16"/>
  <c r="H158" i="16"/>
  <c r="H150" i="16"/>
  <c r="H142" i="16"/>
  <c r="H157" i="16"/>
  <c r="H149" i="16"/>
  <c r="H141" i="16"/>
  <c r="H156" i="16"/>
  <c r="H148" i="16"/>
  <c r="H140" i="16"/>
  <c r="H147" i="16"/>
  <c r="H139" i="16"/>
  <c r="H153" i="16"/>
  <c r="H73" i="14"/>
  <c r="I73" i="14" s="1"/>
  <c r="H72" i="14"/>
  <c r="I72" i="14" s="1"/>
  <c r="J168" i="16"/>
  <c r="K168" i="16" s="1"/>
  <c r="J167" i="16"/>
  <c r="K167" i="16" s="1"/>
  <c r="J166" i="16"/>
  <c r="K166" i="16" s="1"/>
  <c r="J165" i="16"/>
  <c r="K165" i="16" s="1"/>
  <c r="J164" i="16"/>
  <c r="K164" i="16" s="1"/>
  <c r="H285" i="16"/>
  <c r="H277" i="16"/>
  <c r="H269" i="16"/>
  <c r="H261" i="16"/>
  <c r="H253" i="16"/>
  <c r="H284" i="16"/>
  <c r="H276" i="16"/>
  <c r="H268" i="16"/>
  <c r="H260" i="16"/>
  <c r="H252" i="16"/>
  <c r="J260" i="16"/>
  <c r="K260" i="16" s="1"/>
  <c r="J252" i="16"/>
  <c r="K252" i="16" s="1"/>
  <c r="H19" i="16"/>
  <c r="H26" i="16"/>
  <c r="H283" i="16"/>
  <c r="H275" i="16"/>
  <c r="H267" i="16"/>
  <c r="H259" i="16"/>
  <c r="H251" i="16"/>
  <c r="J251" i="16"/>
  <c r="K251" i="16" s="1"/>
  <c r="H20" i="16"/>
  <c r="H25" i="16"/>
  <c r="H282" i="16"/>
  <c r="H274" i="16"/>
  <c r="H266" i="16"/>
  <c r="H258" i="16"/>
  <c r="H250" i="16"/>
  <c r="J250" i="16"/>
  <c r="K250" i="16" s="1"/>
  <c r="H281" i="16"/>
  <c r="H273" i="16"/>
  <c r="H265" i="16"/>
  <c r="H257" i="16"/>
  <c r="H249" i="16"/>
  <c r="H256" i="16"/>
  <c r="H248" i="16"/>
  <c r="H279" i="16"/>
  <c r="H271" i="16"/>
  <c r="H263" i="16"/>
  <c r="H255" i="16"/>
  <c r="J263" i="16"/>
  <c r="K263" i="16" s="1"/>
  <c r="J255" i="16"/>
  <c r="K255" i="16" s="1"/>
  <c r="J109" i="16"/>
  <c r="K109" i="16" s="1"/>
  <c r="J131" i="16"/>
  <c r="K131" i="16" s="1"/>
  <c r="J123" i="16"/>
  <c r="K123" i="16" s="1"/>
  <c r="J115" i="16"/>
  <c r="K115" i="16" s="1"/>
  <c r="J107" i="16"/>
  <c r="K107" i="16" s="1"/>
  <c r="J130" i="16"/>
  <c r="K130" i="16" s="1"/>
  <c r="J122" i="16"/>
  <c r="K122" i="16" s="1"/>
  <c r="J114" i="16"/>
  <c r="K114" i="16" s="1"/>
  <c r="J106" i="16"/>
  <c r="K106" i="16" s="1"/>
  <c r="J129" i="16"/>
  <c r="K129" i="16" s="1"/>
  <c r="J121" i="16"/>
  <c r="K121" i="16" s="1"/>
  <c r="J113" i="16"/>
  <c r="K113" i="16" s="1"/>
  <c r="J128" i="16"/>
  <c r="K128" i="16" s="1"/>
  <c r="J120" i="16"/>
  <c r="K120" i="16" s="1"/>
  <c r="J112" i="16"/>
  <c r="K112" i="16" s="1"/>
  <c r="J127" i="16"/>
  <c r="K127" i="16" s="1"/>
  <c r="J119" i="16"/>
  <c r="K119" i="16" s="1"/>
  <c r="J111" i="16"/>
  <c r="K111" i="16" s="1"/>
  <c r="J126" i="16"/>
  <c r="K126" i="16" s="1"/>
  <c r="J118" i="16"/>
  <c r="K118" i="16" s="1"/>
  <c r="J110" i="16"/>
  <c r="K110" i="16" s="1"/>
  <c r="J125" i="16"/>
  <c r="K125" i="16" s="1"/>
  <c r="J117" i="16"/>
  <c r="K117" i="16" s="1"/>
  <c r="H113" i="16"/>
  <c r="H130" i="16"/>
  <c r="H129" i="16"/>
  <c r="H122" i="16"/>
  <c r="H107" i="16"/>
  <c r="H121" i="16"/>
  <c r="H114" i="16"/>
  <c r="H102" i="16"/>
  <c r="J38" i="16"/>
  <c r="K38" i="16" s="1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J17" i="16"/>
  <c r="K17" i="16" s="1"/>
  <c r="J16" i="16"/>
  <c r="K16" i="16" s="1"/>
  <c r="J18" i="16"/>
  <c r="K18" i="16" s="1"/>
  <c r="J15" i="16"/>
  <c r="K15" i="16" s="1"/>
  <c r="J14" i="16"/>
  <c r="K14" i="16" s="1"/>
  <c r="H13" i="16"/>
  <c r="H18" i="16"/>
  <c r="H4" i="14"/>
  <c r="I4" i="14" s="1"/>
  <c r="H12" i="14"/>
  <c r="I12" i="14" s="1"/>
  <c r="H11" i="14"/>
  <c r="I11" i="14" s="1"/>
  <c r="H3" i="14"/>
  <c r="I3" i="14" s="1"/>
  <c r="H10" i="14"/>
  <c r="I10" i="14" s="1"/>
  <c r="H2" i="14"/>
  <c r="I2" i="14" s="1"/>
  <c r="H9" i="14"/>
  <c r="H8" i="14"/>
  <c r="I8" i="14" s="1"/>
  <c r="H7" i="14"/>
  <c r="I7" i="14" s="1"/>
  <c r="H198" i="14"/>
  <c r="I198" i="14" s="1"/>
  <c r="H205" i="14"/>
  <c r="I205" i="14" s="1"/>
  <c r="H197" i="14"/>
  <c r="I197" i="14" s="1"/>
  <c r="H204" i="14"/>
  <c r="I204" i="14" s="1"/>
  <c r="H196" i="14"/>
  <c r="I196" i="14" s="1"/>
  <c r="H203" i="14"/>
  <c r="I203" i="14" s="1"/>
  <c r="H217" i="14"/>
  <c r="I217" i="14" s="1"/>
  <c r="H216" i="14"/>
  <c r="I216" i="14" s="1"/>
  <c r="H215" i="14"/>
  <c r="I215" i="14" s="1"/>
  <c r="H214" i="14"/>
  <c r="I214" i="14" s="1"/>
  <c r="H213" i="14"/>
  <c r="I213" i="14" s="1"/>
  <c r="H212" i="14"/>
  <c r="I212" i="14" s="1"/>
  <c r="J65" i="16"/>
  <c r="K65" i="16" s="1"/>
  <c r="H68" i="16"/>
  <c r="J47" i="16"/>
  <c r="K47" i="16" s="1"/>
  <c r="H63" i="16"/>
  <c r="J33" i="16"/>
  <c r="K33" i="16" s="1"/>
  <c r="J96" i="16"/>
  <c r="K96" i="16" s="1"/>
  <c r="H58" i="16"/>
  <c r="H53" i="16"/>
  <c r="H46" i="16"/>
  <c r="H36" i="16"/>
  <c r="H43" i="16"/>
  <c r="H67" i="14"/>
  <c r="I67" i="14" s="1"/>
  <c r="H57" i="14"/>
  <c r="I57" i="14" s="1"/>
  <c r="H59" i="14"/>
  <c r="I59" i="14" s="1"/>
  <c r="H41" i="14"/>
  <c r="I41" i="14" s="1"/>
  <c r="H40" i="14"/>
  <c r="I40" i="14" s="1"/>
  <c r="H185" i="14"/>
  <c r="I185" i="14" s="1"/>
  <c r="H16" i="14"/>
  <c r="I16" i="14" s="1"/>
  <c r="H63" i="14"/>
  <c r="I63" i="14" s="1"/>
  <c r="H55" i="14"/>
  <c r="I55" i="14" s="1"/>
  <c r="H47" i="14"/>
  <c r="I47" i="14" s="1"/>
  <c r="H39" i="14"/>
  <c r="I39" i="14" s="1"/>
  <c r="H79" i="14"/>
  <c r="I79" i="14" s="1"/>
  <c r="H130" i="14"/>
  <c r="I130" i="14" s="1"/>
  <c r="H122" i="14"/>
  <c r="I122" i="14" s="1"/>
  <c r="H114" i="14"/>
  <c r="I114" i="14" s="1"/>
  <c r="H106" i="14"/>
  <c r="I106" i="14" s="1"/>
  <c r="H32" i="14"/>
  <c r="I32" i="14" s="1"/>
  <c r="H15" i="14"/>
  <c r="I15" i="14" s="1"/>
  <c r="H62" i="14"/>
  <c r="I62" i="14" s="1"/>
  <c r="H54" i="14"/>
  <c r="I54" i="14" s="1"/>
  <c r="H46" i="14"/>
  <c r="I46" i="14" s="1"/>
  <c r="H38" i="14"/>
  <c r="I38" i="14" s="1"/>
  <c r="H86" i="14"/>
  <c r="I86" i="14" s="1"/>
  <c r="H78" i="14"/>
  <c r="I78" i="14" s="1"/>
  <c r="H129" i="14"/>
  <c r="I129" i="14" s="1"/>
  <c r="H121" i="14"/>
  <c r="I121" i="14" s="1"/>
  <c r="H113" i="14"/>
  <c r="I113" i="14" s="1"/>
  <c r="H192" i="14"/>
  <c r="I192" i="14" s="1"/>
  <c r="H187" i="14"/>
  <c r="I187" i="14" s="1"/>
  <c r="H14" i="14"/>
  <c r="I14" i="14" s="1"/>
  <c r="H69" i="14"/>
  <c r="I69" i="14" s="1"/>
  <c r="H61" i="14"/>
  <c r="I61" i="14" s="1"/>
  <c r="H53" i="14"/>
  <c r="I53" i="14" s="1"/>
  <c r="H45" i="14"/>
  <c r="I45" i="14" s="1"/>
  <c r="H37" i="14"/>
  <c r="I37" i="14" s="1"/>
  <c r="H85" i="14"/>
  <c r="I85" i="14" s="1"/>
  <c r="H77" i="14"/>
  <c r="I77" i="14" s="1"/>
  <c r="H128" i="14"/>
  <c r="I128" i="14" s="1"/>
  <c r="H120" i="14"/>
  <c r="I120" i="14" s="1"/>
  <c r="H112" i="14"/>
  <c r="I112" i="14" s="1"/>
  <c r="H186" i="14"/>
  <c r="I186" i="14" s="1"/>
  <c r="H48" i="14"/>
  <c r="I48" i="14" s="1"/>
  <c r="H191" i="14"/>
  <c r="I191" i="14" s="1"/>
  <c r="H13" i="14"/>
  <c r="I13" i="14" s="1"/>
  <c r="H68" i="14"/>
  <c r="I68" i="14" s="1"/>
  <c r="H60" i="14"/>
  <c r="I60" i="14" s="1"/>
  <c r="H52" i="14"/>
  <c r="I52" i="14" s="1"/>
  <c r="H44" i="14"/>
  <c r="I44" i="14" s="1"/>
  <c r="H36" i="14"/>
  <c r="I36" i="14" s="1"/>
  <c r="H84" i="14"/>
  <c r="I84" i="14" s="1"/>
  <c r="H76" i="14"/>
  <c r="I76" i="14" s="1"/>
  <c r="H127" i="14"/>
  <c r="I127" i="14" s="1"/>
  <c r="H119" i="14"/>
  <c r="I119" i="14" s="1"/>
  <c r="H111" i="14"/>
  <c r="I111" i="14" s="1"/>
  <c r="H51" i="14"/>
  <c r="I51" i="14" s="1"/>
  <c r="H43" i="14"/>
  <c r="I43" i="14" s="1"/>
  <c r="H83" i="14"/>
  <c r="I83" i="14" s="1"/>
  <c r="H75" i="14"/>
  <c r="I75" i="14" s="1"/>
  <c r="H126" i="14"/>
  <c r="I126" i="14" s="1"/>
  <c r="H118" i="14"/>
  <c r="I118" i="14" s="1"/>
  <c r="H110" i="14"/>
  <c r="I110" i="14" s="1"/>
  <c r="H56" i="14"/>
  <c r="I56" i="14" s="1"/>
  <c r="H193" i="14"/>
  <c r="I193" i="14" s="1"/>
  <c r="H66" i="14"/>
  <c r="I66" i="14" s="1"/>
  <c r="H58" i="14"/>
  <c r="I58" i="14" s="1"/>
  <c r="H50" i="14"/>
  <c r="I50" i="14" s="1"/>
  <c r="H42" i="14"/>
  <c r="I42" i="14" s="1"/>
  <c r="H34" i="14"/>
  <c r="I34" i="14" s="1"/>
  <c r="H82" i="14"/>
  <c r="I82" i="14" s="1"/>
  <c r="H74" i="14"/>
  <c r="I74" i="14" s="1"/>
  <c r="H125" i="14"/>
  <c r="I125" i="14" s="1"/>
  <c r="H117" i="14"/>
  <c r="I117" i="14" s="1"/>
  <c r="H109" i="14"/>
  <c r="I109" i="14" s="1"/>
  <c r="H64" i="14"/>
  <c r="I64" i="14" s="1"/>
  <c r="H65" i="14"/>
  <c r="I65" i="14" s="1"/>
  <c r="H49" i="14"/>
  <c r="I49" i="14" s="1"/>
  <c r="H132" i="14"/>
  <c r="I132" i="14" s="1"/>
  <c r="H124" i="14"/>
  <c r="I124" i="14" s="1"/>
  <c r="H116" i="14"/>
  <c r="I116" i="14" s="1"/>
  <c r="H62" i="16"/>
  <c r="H52" i="16"/>
  <c r="H42" i="16"/>
  <c r="J63" i="16"/>
  <c r="K63" i="16" s="1"/>
  <c r="H61" i="16"/>
  <c r="H51" i="16"/>
  <c r="H39" i="16"/>
  <c r="J57" i="16"/>
  <c r="K57" i="16" s="1"/>
  <c r="J93" i="16"/>
  <c r="K93" i="16" s="1"/>
  <c r="H60" i="16"/>
  <c r="H50" i="16"/>
  <c r="H38" i="16"/>
  <c r="J55" i="16"/>
  <c r="K55" i="16" s="1"/>
  <c r="J104" i="16"/>
  <c r="K104" i="16" s="1"/>
  <c r="H69" i="16"/>
  <c r="H59" i="16"/>
  <c r="H47" i="16"/>
  <c r="H37" i="16"/>
  <c r="J49" i="16"/>
  <c r="K49" i="16" s="1"/>
  <c r="J102" i="16"/>
  <c r="K102" i="16" s="1"/>
  <c r="H67" i="16"/>
  <c r="H55" i="16"/>
  <c r="H45" i="16"/>
  <c r="H35" i="16"/>
  <c r="J41" i="16"/>
  <c r="K41" i="16" s="1"/>
  <c r="H66" i="16"/>
  <c r="H54" i="16"/>
  <c r="H44" i="16"/>
  <c r="H34" i="16"/>
  <c r="J39" i="16"/>
  <c r="K39" i="16" s="1"/>
  <c r="H64" i="16"/>
  <c r="H56" i="16"/>
  <c r="H48" i="16"/>
  <c r="H40" i="16"/>
  <c r="J69" i="16"/>
  <c r="K69" i="16" s="1"/>
  <c r="J61" i="16"/>
  <c r="K61" i="16" s="1"/>
  <c r="J53" i="16"/>
  <c r="K53" i="16" s="1"/>
  <c r="J45" i="16"/>
  <c r="K45" i="16" s="1"/>
  <c r="J37" i="16"/>
  <c r="K37" i="16" s="1"/>
  <c r="H87" i="16"/>
  <c r="H98" i="16"/>
  <c r="H90" i="16"/>
  <c r="J100" i="16"/>
  <c r="K100" i="16" s="1"/>
  <c r="J92" i="16"/>
  <c r="K92" i="16" s="1"/>
  <c r="J68" i="16"/>
  <c r="K68" i="16" s="1"/>
  <c r="J60" i="16"/>
  <c r="K60" i="16" s="1"/>
  <c r="J52" i="16"/>
  <c r="K52" i="16" s="1"/>
  <c r="J44" i="16"/>
  <c r="K44" i="16" s="1"/>
  <c r="J36" i="16"/>
  <c r="K36" i="16" s="1"/>
  <c r="H105" i="16"/>
  <c r="H97" i="16"/>
  <c r="H89" i="16"/>
  <c r="J99" i="16"/>
  <c r="K99" i="16" s="1"/>
  <c r="J91" i="16"/>
  <c r="K91" i="16" s="1"/>
  <c r="J67" i="16"/>
  <c r="K67" i="16" s="1"/>
  <c r="J59" i="16"/>
  <c r="K59" i="16" s="1"/>
  <c r="J51" i="16"/>
  <c r="K51" i="16" s="1"/>
  <c r="J43" i="16"/>
  <c r="K43" i="16" s="1"/>
  <c r="J35" i="16"/>
  <c r="K35" i="16" s="1"/>
  <c r="H104" i="16"/>
  <c r="H96" i="16"/>
  <c r="H88" i="16"/>
  <c r="J98" i="16"/>
  <c r="K98" i="16" s="1"/>
  <c r="J90" i="16"/>
  <c r="K90" i="16" s="1"/>
  <c r="J66" i="16"/>
  <c r="K66" i="16" s="1"/>
  <c r="J58" i="16"/>
  <c r="K58" i="16" s="1"/>
  <c r="J50" i="16"/>
  <c r="K50" i="16" s="1"/>
  <c r="J42" i="16"/>
  <c r="K42" i="16" s="1"/>
  <c r="J34" i="16"/>
  <c r="K34" i="16" s="1"/>
  <c r="H103" i="16"/>
  <c r="H95" i="16"/>
  <c r="J105" i="16"/>
  <c r="K105" i="16" s="1"/>
  <c r="J97" i="16"/>
  <c r="K97" i="16" s="1"/>
  <c r="J89" i="16"/>
  <c r="K89" i="16" s="1"/>
  <c r="H94" i="16"/>
  <c r="J88" i="16"/>
  <c r="K88" i="16" s="1"/>
  <c r="J64" i="16"/>
  <c r="K64" i="16" s="1"/>
  <c r="J56" i="16"/>
  <c r="K56" i="16" s="1"/>
  <c r="J48" i="16"/>
  <c r="K48" i="16" s="1"/>
  <c r="J40" i="16"/>
  <c r="K40" i="16" s="1"/>
  <c r="J32" i="16"/>
  <c r="K32" i="16" s="1"/>
  <c r="H101" i="16"/>
  <c r="H93" i="16"/>
  <c r="J103" i="16"/>
  <c r="K103" i="16" s="1"/>
  <c r="J87" i="16"/>
  <c r="K87" i="16" s="1"/>
  <c r="H100" i="16"/>
  <c r="H92" i="16"/>
  <c r="J94" i="16"/>
  <c r="K94" i="16" s="1"/>
  <c r="H65" i="16"/>
  <c r="H57" i="16"/>
  <c r="H49" i="16"/>
  <c r="H41" i="16"/>
  <c r="J62" i="16"/>
  <c r="K62" i="16" s="1"/>
  <c r="J54" i="16"/>
  <c r="K54" i="16" s="1"/>
  <c r="J46" i="16"/>
  <c r="K46" i="16" s="1"/>
  <c r="H99" i="16"/>
  <c r="J101" i="16"/>
  <c r="K101" i="16" s="1"/>
  <c r="F182" i="8"/>
  <c r="F145" i="8"/>
  <c r="F145" i="3"/>
  <c r="F152" i="3"/>
  <c r="F125" i="3"/>
  <c r="F96" i="3"/>
  <c r="F55" i="3"/>
  <c r="F56" i="3"/>
  <c r="F36" i="3"/>
  <c r="F68" i="3"/>
  <c r="F66" i="3"/>
  <c r="F155" i="10"/>
  <c r="F149" i="10"/>
  <c r="F109" i="10"/>
  <c r="F111" i="3"/>
  <c r="F62" i="3"/>
  <c r="F101" i="10"/>
  <c r="F143" i="10"/>
  <c r="F126" i="3"/>
  <c r="F98" i="10"/>
  <c r="F54" i="10"/>
  <c r="F125" i="10"/>
  <c r="F98" i="3"/>
  <c r="F93" i="10"/>
  <c r="F36" i="10"/>
  <c r="F53" i="10"/>
  <c r="F123" i="10"/>
  <c r="J181" i="12"/>
  <c r="F90" i="10"/>
  <c r="F68" i="10"/>
  <c r="F47" i="10"/>
  <c r="F114" i="10"/>
  <c r="F36" i="8"/>
  <c r="F98" i="8"/>
  <c r="F126" i="8"/>
  <c r="F55" i="8"/>
  <c r="F111" i="8"/>
  <c r="F245" i="8"/>
  <c r="F56" i="8"/>
  <c r="F112" i="8"/>
  <c r="F3" i="8"/>
  <c r="F66" i="8"/>
  <c r="F125" i="8"/>
  <c r="F68" i="8"/>
  <c r="F62" i="8"/>
  <c r="F112" i="3"/>
  <c r="F3" i="3"/>
  <c r="H133" i="16"/>
  <c r="H137" i="16"/>
  <c r="H134" i="16"/>
  <c r="H135" i="16" l="1"/>
  <c r="H135" i="14"/>
  <c r="I135" i="14" s="1"/>
  <c r="I136" i="14"/>
  <c r="G135" i="14"/>
  <c r="H69" i="6"/>
  <c r="H45" i="6"/>
  <c r="H48" i="6"/>
  <c r="H55" i="6"/>
  <c r="H64" i="6"/>
  <c r="H51" i="6"/>
  <c r="H34" i="6"/>
  <c r="H44" i="6"/>
  <c r="H59" i="6"/>
  <c r="H42" i="6"/>
  <c r="H46" i="6"/>
  <c r="H63" i="6"/>
  <c r="F62" i="15"/>
  <c r="F67" i="15"/>
  <c r="F68" i="15"/>
  <c r="F56" i="15"/>
  <c r="F96" i="15"/>
  <c r="F156" i="15"/>
  <c r="F154" i="15"/>
</calcChain>
</file>

<file path=xl/sharedStrings.xml><?xml version="1.0" encoding="utf-8"?>
<sst xmlns="http://schemas.openxmlformats.org/spreadsheetml/2006/main" count="13240" uniqueCount="1258">
  <si>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</si>
  <si>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</si>
  <si>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</si>
  <si>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</si>
  <si>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</si>
  <si>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</si>
  <si>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</si>
  <si>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</si>
  <si>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</si>
  <si>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</si>
  <si>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</si>
  <si>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</si>
  <si>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</si>
  <si>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</si>
  <si>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</si>
  <si>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</si>
  <si>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</si>
  <si>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</si>
  <si>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</si>
  <si>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</si>
  <si>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</si>
  <si>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</si>
  <si>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</si>
  <si>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</si>
  <si>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</si>
  <si>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</si>
  <si>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</si>
  <si>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</si>
  <si>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</si>
  <si>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</si>
  <si>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</si>
  <si>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</si>
  <si>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</si>
  <si>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</si>
  <si>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</si>
  <si>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</si>
  <si>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</si>
  <si>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</si>
  <si>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</si>
  <si>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</si>
  <si>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</si>
  <si>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</si>
  <si>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</si>
  <si>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</si>
  <si>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</si>
  <si>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</si>
  <si>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</si>
  <si>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</si>
  <si>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</si>
  <si>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</si>
  <si>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</si>
  <si>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</si>
  <si>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</si>
  <si>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</si>
  <si>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</si>
  <si>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</si>
  <si>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</si>
  <si>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</si>
  <si>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</si>
  <si>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</si>
  <si>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</si>
  <si>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</si>
  <si>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</si>
  <si>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</si>
  <si>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</si>
  <si>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</si>
  <si>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</si>
  <si>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</si>
  <si>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</si>
  <si>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</si>
  <si>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</si>
  <si>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</si>
  <si>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</si>
  <si>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</si>
  <si>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</si>
  <si>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</si>
  <si>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</si>
  <si>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</si>
  <si>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</si>
  <si>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</si>
  <si>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</si>
  <si>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</si>
  <si>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</si>
  <si>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</si>
  <si>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</si>
  <si>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</si>
  <si>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</si>
  <si>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</si>
  <si>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</si>
  <si>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</si>
  <si>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</si>
  <si>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</si>
  <si>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</si>
  <si>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</si>
  <si>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</si>
  <si>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</si>
  <si>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</si>
  <si>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</si>
  <si>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</si>
  <si>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</si>
  <si>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</si>
  <si>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</si>
  <si>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</si>
  <si>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</si>
  <si>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</si>
  <si>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</si>
  <si>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</si>
  <si>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</si>
  <si>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</si>
  <si>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</si>
  <si>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</si>
  <si>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</si>
  <si>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</si>
  <si>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</si>
  <si>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</si>
  <si>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</si>
  <si>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</si>
  <si>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</si>
  <si>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</si>
  <si>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</si>
  <si>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</si>
  <si>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</si>
  <si>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</si>
  <si>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</si>
  <si>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</si>
  <si>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</si>
  <si>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</si>
  <si>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</si>
  <si>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</si>
  <si>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</si>
  <si>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</si>
  <si>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</si>
  <si>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</si>
  <si>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</si>
  <si>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</si>
  <si>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</si>
  <si>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</si>
  <si>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</si>
  <si>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</si>
  <si>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</si>
  <si>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</si>
  <si>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</si>
  <si>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</si>
  <si>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</si>
  <si>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</si>
  <si>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</si>
  <si>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</si>
  <si>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</si>
  <si>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</si>
  <si>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</si>
  <si>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</si>
  <si>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</si>
  <si>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</si>
  <si>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</si>
  <si>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</si>
  <si>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</si>
  <si>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</si>
  <si>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</si>
  <si>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</si>
  <si>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</si>
  <si>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</si>
  <si>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</si>
  <si>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</si>
  <si>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</si>
  <si>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</si>
  <si>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</si>
  <si>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</si>
  <si>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</si>
  <si>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</si>
  <si>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</si>
  <si>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</si>
  <si>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</si>
  <si>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</si>
  <si>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</si>
  <si>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</si>
  <si>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</si>
  <si>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</si>
  <si>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</si>
  <si>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</si>
  <si>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</si>
  <si>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</si>
  <si>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</si>
  <si>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</si>
  <si>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</si>
  <si>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</si>
  <si>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</si>
  <si>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</si>
  <si>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</si>
  <si>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</si>
  <si>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</si>
  <si>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</si>
  <si>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</si>
  <si>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</si>
  <si>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</si>
  <si>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</si>
  <si>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</si>
  <si>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</si>
  <si>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</si>
  <si>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</si>
  <si>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</si>
  <si>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</si>
  <si>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</si>
  <si>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</si>
  <si>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</si>
  <si>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</si>
  <si>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</si>
  <si>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</si>
  <si>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</si>
  <si>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</si>
  <si>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</si>
  <si>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</si>
  <si>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</si>
  <si>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</si>
  <si>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</si>
  <si>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</si>
  <si>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</si>
  <si>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</si>
  <si>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</si>
  <si>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</si>
  <si>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</si>
  <si>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</si>
  <si>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</si>
  <si>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</si>
  <si>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</si>
  <si>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</si>
  <si>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</si>
  <si>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</si>
  <si>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</si>
  <si>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</si>
  <si>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</si>
  <si>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</si>
  <si>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</si>
  <si>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</si>
  <si>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</si>
  <si>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</si>
  <si>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</si>
  <si>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</si>
  <si>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</si>
  <si>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</si>
  <si>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</si>
  <si>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</si>
  <si>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</si>
  <si>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</si>
  <si>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</si>
  <si>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</si>
  <si>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</si>
  <si>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</si>
  <si>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</si>
  <si>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</si>
  <si>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</si>
  <si>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</si>
  <si>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</si>
  <si>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</si>
  <si>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</si>
  <si>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</si>
  <si>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</si>
  <si>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</si>
  <si>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</si>
  <si>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</si>
  <si>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</si>
  <si>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</si>
  <si>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</si>
  <si>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</si>
  <si>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</si>
  <si>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</si>
  <si>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</si>
  <si>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</si>
  <si>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</si>
  <si>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</si>
  <si>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</si>
  <si>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</si>
  <si>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</si>
  <si>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</si>
  <si>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</si>
  <si>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</si>
  <si>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</si>
  <si>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</si>
  <si>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</si>
  <si>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</si>
  <si>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</si>
  <si>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</si>
  <si>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</si>
  <si>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</si>
  <si>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</si>
  <si>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</si>
  <si>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</si>
  <si>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</si>
  <si>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</si>
  <si>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</si>
  <si>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</si>
  <si>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</si>
  <si>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</si>
  <si>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</si>
  <si>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</si>
  <si>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</si>
  <si>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</si>
  <si>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</si>
  <si>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</si>
  <si>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</si>
  <si>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</si>
  <si>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</si>
  <si>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</si>
  <si>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</si>
  <si>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</si>
  <si>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</si>
  <si>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</si>
  <si>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</si>
  <si>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</si>
  <si>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</si>
  <si>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</si>
  <si>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</si>
  <si>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</si>
  <si>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</si>
  <si>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</si>
  <si>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</si>
  <si>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</si>
  <si>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</si>
  <si>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</si>
  <si>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</si>
  <si>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</si>
  <si>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</si>
  <si>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</si>
  <si>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</si>
  <si>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</si>
  <si>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</si>
  <si>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</si>
  <si>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</si>
  <si>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</si>
  <si>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</si>
  <si>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</si>
  <si>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</si>
  <si>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</si>
  <si>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</si>
  <si>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</si>
  <si>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</si>
  <si>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</si>
  <si>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</si>
  <si>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</si>
  <si>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</si>
  <si>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</si>
  <si>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</si>
  <si>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</si>
  <si>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</si>
  <si>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</si>
  <si>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</si>
  <si>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</si>
  <si>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</si>
  <si>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</si>
  <si>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</si>
  <si>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</si>
  <si>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</si>
  <si>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</si>
  <si>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</si>
  <si>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</si>
  <si>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</si>
  <si>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</si>
  <si>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</si>
  <si>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</si>
  <si>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</si>
  <si>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</si>
  <si>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</si>
  <si>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</si>
  <si>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</si>
  <si>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</si>
  <si>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</si>
  <si>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</si>
  <si>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</si>
  <si>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</si>
  <si>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</si>
  <si>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</si>
  <si>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</si>
  <si>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</si>
  <si>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</si>
  <si>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</si>
  <si>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</si>
  <si>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</si>
  <si>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</si>
  <si>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</si>
  <si>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</si>
  <si>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</si>
  <si>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</si>
  <si>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</si>
  <si>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</si>
  <si>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</si>
  <si>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</si>
  <si>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</si>
  <si>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</si>
  <si>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</si>
  <si>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</si>
  <si>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</si>
  <si>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</si>
  <si>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</si>
  <si>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</si>
  <si>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</si>
  <si>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</si>
  <si>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</si>
  <si>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</si>
  <si>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</si>
  <si>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</si>
  <si>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</si>
  <si>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</si>
  <si>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</si>
  <si>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</si>
  <si>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</si>
  <si>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</si>
  <si>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</si>
  <si>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</si>
  <si>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</si>
  <si>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</si>
  <si>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</si>
  <si>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</si>
  <si>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</si>
  <si>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</si>
  <si>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</si>
  <si>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</si>
  <si>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</si>
  <si>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</si>
  <si>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</si>
  <si>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</si>
  <si>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</si>
  <si>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</si>
  <si>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</si>
  <si>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</si>
  <si>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</si>
  <si>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</si>
  <si>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</si>
  <si>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</si>
  <si>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</si>
  <si>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</si>
  <si>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</si>
  <si>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</si>
  <si>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</si>
  <si>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</si>
  <si>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</si>
  <si>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</si>
  <si>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</si>
  <si>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</si>
  <si>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</si>
  <si>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</si>
  <si>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</si>
  <si>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</si>
  <si>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</si>
  <si>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</si>
  <si>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</si>
  <si>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</si>
  <si>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</si>
  <si>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</si>
  <si>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</si>
  <si>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</si>
  <si>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</si>
  <si>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</si>
  <si>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</si>
  <si>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</si>
  <si>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</si>
  <si>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</si>
  <si>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</si>
  <si>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</si>
  <si>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</si>
  <si>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</si>
  <si>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</si>
  <si>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</si>
  <si>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</si>
  <si>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</si>
  <si>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</si>
  <si>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</si>
  <si>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</si>
  <si>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</si>
  <si>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</si>
  <si>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</si>
  <si>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</si>
  <si>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</si>
  <si>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</si>
  <si>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</si>
  <si>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</si>
  <si>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</si>
  <si>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</si>
  <si>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</si>
  <si>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</si>
  <si>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</si>
  <si>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</si>
  <si>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</si>
  <si>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</si>
  <si>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</si>
  <si>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</si>
  <si>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</si>
  <si>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</si>
  <si>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</si>
  <si>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</si>
  <si>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</si>
  <si>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</si>
  <si>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</si>
  <si>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</si>
  <si>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</si>
  <si>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</si>
  <si>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</si>
  <si>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</si>
  <si>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</si>
  <si>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</si>
  <si>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</si>
  <si>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</si>
  <si>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</si>
  <si>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</si>
  <si>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</si>
  <si>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</si>
  <si>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</si>
  <si>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</si>
  <si>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</si>
  <si>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</si>
  <si>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</si>
  <si>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</si>
  <si>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</si>
  <si>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</si>
  <si>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</si>
  <si>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</si>
  <si>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</si>
  <si>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</si>
  <si>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</si>
  <si>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</si>
  <si>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</si>
  <si>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</si>
  <si>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</si>
  <si>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</si>
  <si>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</si>
  <si>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</si>
  <si>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</si>
  <si>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</si>
  <si>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</si>
  <si>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</si>
  <si>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</si>
  <si>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</si>
  <si>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</si>
  <si>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</si>
  <si>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</si>
  <si>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</si>
  <si>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</si>
  <si>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</si>
  <si>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</si>
  <si>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</si>
  <si>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</si>
  <si>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</si>
  <si>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</si>
  <si>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</si>
  <si>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</si>
  <si>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</si>
  <si>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</si>
  <si>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</si>
  <si>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</si>
  <si>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</si>
  <si>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</si>
  <si>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</si>
  <si>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</si>
  <si>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</si>
  <si>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</si>
  <si>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</si>
  <si>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</si>
  <si>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</si>
  <si>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</si>
  <si>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</si>
  <si>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</si>
  <si>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</si>
  <si>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</si>
  <si>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</si>
  <si>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</si>
  <si>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</si>
  <si>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</si>
  <si>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</si>
  <si>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</si>
  <si>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</si>
  <si>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</si>
  <si>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</si>
  <si>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</si>
  <si>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</si>
  <si>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</si>
  <si>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</si>
  <si>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</si>
  <si>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</si>
  <si>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</si>
  <si>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</si>
  <si>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</si>
  <si>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</si>
  <si>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</si>
  <si>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</si>
  <si>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</si>
  <si>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</si>
  <si>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</si>
  <si>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</si>
  <si>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</si>
  <si>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</si>
  <si>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</si>
  <si>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</si>
  <si>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</si>
  <si>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</si>
  <si>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</si>
  <si>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</si>
  <si>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</si>
  <si>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</si>
  <si>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</si>
  <si>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</si>
  <si>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</si>
  <si>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</si>
  <si>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</si>
  <si>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</si>
  <si>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</si>
  <si>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</si>
  <si>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</si>
  <si>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</si>
  <si>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</si>
  <si>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</si>
  <si>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</si>
  <si>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</si>
  <si>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</si>
  <si>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</si>
  <si>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</si>
  <si>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</si>
  <si>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</si>
  <si>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</si>
  <si>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</si>
  <si>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</si>
  <si>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</si>
  <si>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</si>
  <si>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</si>
  <si>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</si>
  <si>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</si>
  <si>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</si>
  <si>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</si>
  <si>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</si>
  <si>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</si>
  <si>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</si>
  <si>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</si>
  <si>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</si>
  <si>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</si>
  <si>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</si>
  <si>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</si>
  <si>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</si>
  <si>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</si>
  <si>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</si>
  <si>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</si>
  <si>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</si>
  <si>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</si>
  <si>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</si>
  <si>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</si>
  <si>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</si>
  <si>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</si>
  <si>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</si>
  <si>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</si>
  <si>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</si>
  <si>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</si>
  <si>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</si>
  <si>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</si>
  <si>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</si>
  <si>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</si>
  <si>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</si>
  <si>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</si>
  <si>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IS00</t>
  </si>
  <si>
    <t>LI00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</si>
  <si>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</si>
  <si>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</si>
  <si>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</si>
  <si>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</si>
  <si>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</si>
  <si>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</si>
  <si>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</si>
  <si>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</si>
  <si>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</si>
  <si>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</si>
  <si>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</si>
  <si>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</si>
  <si>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</si>
  <si>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</si>
  <si>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</si>
  <si>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</si>
  <si>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</si>
  <si>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</si>
  <si>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</si>
  <si>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</si>
  <si>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</si>
  <si>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</si>
  <si>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</si>
  <si>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</si>
  <si>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</si>
  <si>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</si>
  <si>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</si>
  <si>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</si>
  <si>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</si>
  <si>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</si>
  <si>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</si>
  <si>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</si>
  <si>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</si>
  <si>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</si>
  <si>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</si>
  <si>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</si>
  <si>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</si>
  <si>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</si>
  <si>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</si>
  <si>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</si>
  <si>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</si>
  <si>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</si>
  <si>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</si>
  <si>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</si>
  <si>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</si>
  <si>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</si>
  <si>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</si>
  <si>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</si>
  <si>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</si>
  <si>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</si>
  <si>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</si>
  <si>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</si>
  <si>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</si>
  <si>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</si>
  <si>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</si>
  <si>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</si>
  <si>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</si>
  <si>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</si>
  <si>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</si>
  <si>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</si>
  <si>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</si>
  <si>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</si>
  <si>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</si>
  <si>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</si>
  <si>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</si>
  <si>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</si>
  <si>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</si>
  <si>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</si>
  <si>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</si>
  <si>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</si>
  <si>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</si>
  <si>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</si>
  <si>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</si>
  <si>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</si>
  <si>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</si>
  <si>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</si>
  <si>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</si>
  <si>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</si>
  <si>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</si>
  <si>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</si>
  <si>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</si>
  <si>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</si>
  <si>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</si>
  <si>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</si>
  <si>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</si>
  <si>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</si>
  <si>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</si>
  <si>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</si>
  <si>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</si>
  <si>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</si>
  <si>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</si>
  <si>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</si>
  <si>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</si>
  <si>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</si>
  <si>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</si>
  <si>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</si>
  <si>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</si>
  <si>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</si>
  <si>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</si>
  <si>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</si>
  <si>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</si>
  <si>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</si>
  <si>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</si>
  <si>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</si>
  <si>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</si>
  <si>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</si>
  <si>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</si>
  <si>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</si>
  <si>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</si>
  <si>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</si>
  <si>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</si>
  <si>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</si>
  <si>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</si>
  <si>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</si>
  <si>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</si>
  <si>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</si>
  <si>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</si>
  <si>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</si>
  <si>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</si>
  <si>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</si>
  <si>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</si>
  <si>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</si>
  <si>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</si>
  <si>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</si>
  <si>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</si>
  <si>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</si>
  <si>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</si>
  <si>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</si>
  <si>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</si>
  <si>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</si>
  <si>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</si>
  <si>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</si>
  <si>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</si>
  <si>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</si>
  <si>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</si>
  <si>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</si>
  <si>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</si>
  <si>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</si>
  <si>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</si>
  <si>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</si>
  <si>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</si>
  <si>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</si>
  <si>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</si>
  <si>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Charleroi
Chatelet</t>
  </si>
  <si>
    <t>Genk</t>
  </si>
  <si>
    <t>Imphy
Le Creusot</t>
  </si>
  <si>
    <t>Wetzlar</t>
  </si>
  <si>
    <t>Siegen
Witten</t>
  </si>
  <si>
    <t>Aosta</t>
  </si>
  <si>
    <t>Bolzano</t>
  </si>
  <si>
    <t>Terni</t>
  </si>
  <si>
    <t>Udine</t>
  </si>
  <si>
    <t>Aldwarke
Sheffield
Shepcote Lane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</si>
  <si>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</si>
  <si>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</si>
  <si>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</si>
  <si>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</si>
  <si>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</si>
  <si>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</si>
  <si>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</si>
  <si>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</si>
  <si>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</si>
  <si>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</si>
  <si>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</si>
  <si>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</si>
  <si>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</si>
  <si>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</si>
  <si>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</si>
  <si>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</si>
  <si>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</si>
  <si>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</si>
  <si>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</si>
  <si>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</si>
  <si>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</si>
  <si>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</si>
  <si>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</si>
  <si>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</si>
  <si>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</si>
  <si>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</si>
  <si>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</si>
  <si>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</si>
  <si>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</si>
  <si>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</si>
  <si>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</si>
  <si>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</si>
  <si>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</si>
  <si>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</si>
  <si>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</si>
  <si>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</si>
  <si>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</si>
  <si>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</si>
  <si>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</si>
  <si>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</si>
  <si>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</si>
  <si>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</si>
  <si>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</si>
  <si>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</si>
  <si>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</si>
  <si>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</si>
  <si>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</si>
  <si>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</si>
  <si>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</si>
  <si>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</si>
  <si>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</si>
  <si>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</si>
  <si>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</si>
  <si>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</si>
  <si>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</si>
  <si>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</si>
  <si>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</si>
  <si>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</si>
  <si>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</si>
  <si>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</si>
  <si>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</si>
  <si>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</si>
  <si>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</si>
  <si>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</si>
  <si>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</si>
  <si>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</si>
  <si>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paper %</t>
  </si>
  <si>
    <t>installed capacity ammonia</t>
  </si>
  <si>
    <t>ammonia %</t>
  </si>
  <si>
    <t>Cologne</t>
  </si>
  <si>
    <t>Palos de la Frontera</t>
  </si>
  <si>
    <t>Barreiro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</si>
  <si>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</si>
  <si>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</si>
  <si>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</si>
  <si>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</si>
  <si>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</si>
  <si>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</si>
  <si>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</si>
  <si>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</si>
  <si>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</si>
  <si>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</si>
  <si>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</si>
  <si>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</si>
  <si>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</si>
  <si>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</si>
  <si>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</si>
  <si>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</si>
  <si>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</si>
  <si>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</si>
  <si>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</si>
  <si>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</si>
  <si>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</si>
  <si>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</si>
  <si>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</si>
  <si>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</si>
  <si>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</si>
  <si>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</si>
  <si>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</si>
  <si>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</si>
  <si>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Lodz</t>
  </si>
  <si>
    <t>Pyzdry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</si>
  <si>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</si>
  <si>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</si>
  <si>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</si>
  <si>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</si>
  <si>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</si>
  <si>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</si>
  <si>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</si>
  <si>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</si>
  <si>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</si>
  <si>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</si>
  <si>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</si>
  <si>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</si>
  <si>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</si>
  <si>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</si>
  <si>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alu_prim %</t>
  </si>
  <si>
    <t>no data</t>
  </si>
  <si>
    <t>comment alu_prim</t>
  </si>
  <si>
    <t>comment</t>
  </si>
  <si>
    <t>cement %</t>
  </si>
  <si>
    <t>glass %</t>
  </si>
  <si>
    <t>installed capacity alu_sec</t>
  </si>
  <si>
    <t>alu_sec %</t>
  </si>
  <si>
    <t>Hettstedt</t>
  </si>
  <si>
    <t>Iceland</t>
  </si>
  <si>
    <t>Excess heat [TJ]</t>
  </si>
  <si>
    <t>Excess heat [TWh]</t>
  </si>
  <si>
    <t>steel</t>
  </si>
  <si>
    <t>Source:</t>
  </si>
  <si>
    <t>[1]</t>
  </si>
  <si>
    <t>https://www.eurofer.eu/assets/Uploads/Map-20191113_Eurofer_SteelIndustry_Rev3-has-stainless.pdf</t>
  </si>
  <si>
    <t>installed capacity blast furnace/basic oxygen furnace</t>
  </si>
  <si>
    <t>Distribution of energy demand based on installed capacities per NUTS2 region.</t>
  </si>
  <si>
    <t>Assumptions for all sheets:</t>
  </si>
  <si>
    <t>A1</t>
  </si>
  <si>
    <t>if no installed production capacities are available for a country, the demand is equaly divided per all NUTS2 regions.</t>
  </si>
  <si>
    <t>steel_stainless</t>
  </si>
  <si>
    <t>alu_prim</t>
  </si>
  <si>
    <t>https://www.lightmetalage.com/resources-section/primary-producers/</t>
  </si>
  <si>
    <t>[2]</t>
  </si>
  <si>
    <t>Light Metal Age</t>
  </si>
  <si>
    <t>European commission based on Light Metal Age, S&amp;P Global Market Intelligence 2019a, companies' websites</t>
  </si>
  <si>
    <t>https://single-market-economy.ec.europa.eu/sectors/raw-materials/areas-specific-interest/critical-raw-materials_en</t>
  </si>
  <si>
    <t>CRM_2020_Critical_Factsheets</t>
  </si>
  <si>
    <t>Critical raw materials factsheets</t>
  </si>
  <si>
    <t>Further Info:</t>
  </si>
  <si>
    <t>F1</t>
  </si>
  <si>
    <t>F2</t>
  </si>
  <si>
    <t>F3</t>
  </si>
  <si>
    <t>https://face-aluminium.com/wp-content/uploads/2019/06/2019-LUISS-Study.pdf</t>
  </si>
  <si>
    <t>Locations of alu plants in Europe</t>
  </si>
  <si>
    <t>https://european-aluminium.eu/about-aluminium/aluminium-industry/</t>
  </si>
  <si>
    <t>https://www.lightmetalage.com/resources-section/secondary-producers/</t>
  </si>
  <si>
    <t>alu_sec</t>
  </si>
  <si>
    <t>see Info_alu_sec</t>
  </si>
  <si>
    <t>paper</t>
  </si>
  <si>
    <t>Based on exces heat</t>
  </si>
  <si>
    <t>see Excess_heat_geographical_distribution.xlsx</t>
  </si>
  <si>
    <t>https://s-eenergies-open-data-euf.hub.arcgis.com/datasets/a6a1e8e95514413a90bbb2e40515fdb2_0/explore?location=42.427085%2C6.679068%2C3.64&amp;showTable=true</t>
  </si>
  <si>
    <t>cement</t>
  </si>
  <si>
    <t>Based on fuel demand</t>
  </si>
  <si>
    <t>https://s-eenergies-open-data-euf.hub.arcgis.com/datasets/5e36c0af918040ed936b4e4c101f611d_0/explore?location=43.560559%2C6.679068%2C3.82&amp;showTable=true</t>
  </si>
  <si>
    <t>glass</t>
  </si>
  <si>
    <t>Based on employees</t>
  </si>
  <si>
    <t>https://ec.europa.eu/eurostat/statistics-explained/index.php?title=File:Wood_and_wood_products;_pulp</t>
  </si>
  <si>
    <t>_paper_and_paper_products_(NACE_Subsection_DD_and_Division_21)_Persons_employed_in_the_manufacture_of_wood_and_paper_(NACE_Subsection_DD_and_Division_21)_MAP.PNG</t>
  </si>
  <si>
    <t>Map</t>
  </si>
  <si>
    <t>https://publications.lib.chalmers.se/records/fulltext/185715/local_185715.pdf</t>
  </si>
  <si>
    <t>Based on CO2 emissions</t>
  </si>
  <si>
    <t>https://plants.glassglobal.com/login/</t>
  </si>
  <si>
    <t>not free of charge</t>
  </si>
  <si>
    <t>https://www.google.com/maps/d/u/2/embed?mid=z1zz1byO2tRw.kqh2OYwbS6J0</t>
  </si>
  <si>
    <t>only locations and type of glass</t>
  </si>
  <si>
    <t>chlorine</t>
  </si>
  <si>
    <t>world-wide</t>
  </si>
  <si>
    <t>https://healthybuilding.net/uploads/files/Chlorine%20&amp;%20Building%20Materials%20Phase%202%20Asia.pdf</t>
  </si>
  <si>
    <t>Appendix A: Global inventory of chlor-alkali plants</t>
  </si>
  <si>
    <t>ammonia</t>
  </si>
  <si>
    <t>https://www.iva.de/sites/default/files/benutzer/%25uid/publikationen/wiza_2015_2016_0.pdf</t>
  </si>
  <si>
    <t>Nera Montoro</t>
  </si>
  <si>
    <t>https://www.icis.com/explore/resources/news/2008/10/27/9166031/chemical-profile-ammonia/</t>
  </si>
  <si>
    <t>West European ammonia capacity</t>
  </si>
  <si>
    <t>https://eippcb.jrc.ec.europa.eu/sites/default/files/2019-11/lvic_aaf.pdf</t>
  </si>
  <si>
    <t>p. 64</t>
  </si>
  <si>
    <t>methanol</t>
  </si>
  <si>
    <t>https://www.icis.com/explore/resources/news/2012/06/25/9571858/europe-chemical-profile-methanol/</t>
  </si>
  <si>
    <t>https://www.icis.com/explore/resources/news/2019/01/31/10313703/chemical-profile-europe-methanol</t>
  </si>
  <si>
    <t>Assumption</t>
  </si>
  <si>
    <t>ethylene, propylene</t>
  </si>
  <si>
    <t xml:space="preserve">Source: </t>
  </si>
  <si>
    <t>ethylene and propylene production 50% + 50%</t>
  </si>
  <si>
    <t>aromatics</t>
  </si>
  <si>
    <t>benzen</t>
  </si>
  <si>
    <t>toluen</t>
  </si>
  <si>
    <t>paraxylene</t>
  </si>
  <si>
    <t>orthoxylene</t>
  </si>
  <si>
    <t>[3]</t>
  </si>
  <si>
    <t>[4]</t>
  </si>
  <si>
    <t>https://www.icis.com/explore/resources/news/2015/04/06/9873229/chemical-profile-europe-toluene/</t>
  </si>
  <si>
    <t>https://www.icis.com/explore/resources/news/2012/05/07/9556557/europe-chemical-profile-orthoxylene/</t>
  </si>
  <si>
    <t>https://www.icis.com/explore/resources/news/2011/07/04/9474487/european-chemical-profile-paraxylene/</t>
  </si>
  <si>
    <t>http://www.shts.org.rs/srpska/organic.html</t>
  </si>
  <si>
    <t>Pancevo</t>
  </si>
  <si>
    <t>Europe general</t>
  </si>
  <si>
    <t>https://www.hip-petrohemija.com/tehnologija/proizvodna-linija/etilen.22.html</t>
  </si>
  <si>
    <t>[5]</t>
  </si>
  <si>
    <t>BA00</t>
  </si>
  <si>
    <t>chlorine %</t>
  </si>
  <si>
    <t>installed capacity copper_prim</t>
  </si>
  <si>
    <t>copper_prim %</t>
  </si>
  <si>
    <t>installed capacity copper_sec</t>
  </si>
  <si>
    <t>copper_sec %</t>
  </si>
  <si>
    <t>copper_prim, copper_sec</t>
  </si>
  <si>
    <t>elec demand glass %</t>
  </si>
  <si>
    <t>elec demand glass</t>
  </si>
  <si>
    <t>Hamburg (Norddeutsche Affinerie)</t>
  </si>
  <si>
    <t>Lunen (Huettenwerke Kayser)</t>
  </si>
  <si>
    <t>Liechtenstein</t>
  </si>
  <si>
    <t>steel_sec %</t>
  </si>
  <si>
    <t>steel_prim %</t>
  </si>
  <si>
    <t>Publisher</t>
  </si>
  <si>
    <t>Information</t>
  </si>
  <si>
    <t>Web</t>
  </si>
  <si>
    <t>Additional information</t>
  </si>
  <si>
    <t>Title</t>
  </si>
  <si>
    <t>Map of EU steel production sites</t>
  </si>
  <si>
    <t>Year</t>
  </si>
  <si>
    <t>Last update</t>
  </si>
  <si>
    <t>Accessed</t>
  </si>
  <si>
    <t>Eurofer</t>
  </si>
  <si>
    <t>Primary = Blast Furnace &amp; Basic Oxygen Furnace; secondary = Electric Arc Furnace</t>
  </si>
  <si>
    <t>17.10.2023</t>
  </si>
  <si>
    <t>Primary aluminium producers</t>
  </si>
  <si>
    <t>Primary and secondary steel locations</t>
  </si>
  <si>
    <t>Stainless Steel Specialty locations</t>
  </si>
  <si>
    <t>Author</t>
  </si>
  <si>
    <t>R. P. Pawlek</t>
  </si>
  <si>
    <t>08.01.2023</t>
  </si>
  <si>
    <t>Study on the EU’s list of Critical Raw Materials. Factsheets on Critical Raw Materials</t>
  </si>
  <si>
    <t>The EU aluminium industry. The impact of the EU trade measures on the competitiveness of downstream activities</t>
  </si>
  <si>
    <t>Cassetta, E. et. all.</t>
  </si>
  <si>
    <t>A thriving and complete European value chain</t>
  </si>
  <si>
    <t>Europenian aluminium</t>
  </si>
  <si>
    <t>20.07.2022</t>
  </si>
  <si>
    <t>Secondary aluminium producers</t>
  </si>
  <si>
    <t>https://doi.org/10.3133/ofr0375</t>
  </si>
  <si>
    <t>USGS</t>
  </si>
  <si>
    <t>A1 for all data except Germany</t>
  </si>
  <si>
    <t>Copper smelter locations</t>
  </si>
  <si>
    <t>Laboy-Feliciano, Calix Saul ;  Gonzalez, Elizabeth</t>
  </si>
  <si>
    <t xml:space="preserve">sEEnergies Open Data </t>
  </si>
  <si>
    <t>D5 1 Industry Dataset</t>
  </si>
  <si>
    <t>06.03.2022</t>
  </si>
  <si>
    <t>D5 1 Industry Dataset With Demand Data</t>
  </si>
  <si>
    <t>11.02.2021</t>
  </si>
  <si>
    <t>Installed capacity reports Europe past years</t>
  </si>
  <si>
    <t>Euro Chlor</t>
  </si>
  <si>
    <t>https://www.eurochlor.org/resources/publications/</t>
  </si>
  <si>
    <t>2000-2023</t>
  </si>
  <si>
    <t>Healthy Building Network</t>
  </si>
  <si>
    <t>Chlorine and Building Materials: A Global Inventory of Production Technologies and Markets. Phase 2: Asia</t>
  </si>
  <si>
    <t>Vallette, Jim</t>
  </si>
  <si>
    <t>ICIS</t>
  </si>
  <si>
    <t>European comission</t>
  </si>
  <si>
    <t>Reference Document on Best Available Techniques for the Manufacture of Large Volume Inorganic Chemicals – Ammonia, Acids and Fertilisers</t>
  </si>
  <si>
    <t>Ammonia production plants in the European Union</t>
  </si>
  <si>
    <t>Page</t>
  </si>
  <si>
    <t>German producers</t>
  </si>
  <si>
    <t>European methanol capacity</t>
  </si>
  <si>
    <t>Serbia, Last available production year</t>
  </si>
  <si>
    <t>Association of chemists and chemical engineers of Serbia</t>
  </si>
  <si>
    <t>Organske hemikalije</t>
  </si>
  <si>
    <t>16.10.2023</t>
  </si>
  <si>
    <t>Best Available Techniques (BAT) Reference Document for the Production of Large Volume Organic Chemicals</t>
  </si>
  <si>
    <t>European Commission, Joint Research Centre</t>
  </si>
  <si>
    <t>JRC109279_LVOC_Bref.pdf, doi: 10.2760/77304</t>
  </si>
  <si>
    <t>Falcke, Heino; Holbrook, Simon; Clenahan, Iain; López Carretero, Alfredo; Sanalan, Teoman; Brinkmann, Thomas; Roth, Joze; Zerger, Benoit; Roudier, Serge; Delgado Sancho, Luis</t>
  </si>
  <si>
    <t>p. 162</t>
  </si>
  <si>
    <t>HIP-Petrohemija</t>
  </si>
  <si>
    <t>European benzene capacity</t>
  </si>
  <si>
    <t>https//www.icis.com/explore/resources/news/2012/10/15/9603331/europe-chemical-profile-benzene/</t>
  </si>
  <si>
    <t>European orthoxylene capacity</t>
  </si>
  <si>
    <t>European paraxylene capacity</t>
  </si>
  <si>
    <t>European toluene capacity</t>
  </si>
  <si>
    <t>Capacities of European producers</t>
  </si>
  <si>
    <t>installed capacity aromatics</t>
  </si>
  <si>
    <t>aromatics %</t>
  </si>
  <si>
    <t>used currently only for Germany</t>
  </si>
  <si>
    <t>Map and table of world copper smelters: Open-File Report 2003-75</t>
  </si>
  <si>
    <t>https://cdn.ceps.eu/wp-content/uploads/2014/01/Ammonia.pdf</t>
  </si>
  <si>
    <t>28.11.2023</t>
  </si>
  <si>
    <t>13.01.2014</t>
  </si>
  <si>
    <t>Egenhofer, Christian;  Schrefler, Lorna;  Rizos, Vasileios;  Infelise, Federico;  Luchetta, Giacomo;  Simonelli, Felice; Stoefs, Wijnand;  Timini, Jacopo;  Colantoni, Lorenzo</t>
  </si>
  <si>
    <t>Place</t>
  </si>
  <si>
    <t>Brussels</t>
  </si>
  <si>
    <t>Centre for European Policy Studies</t>
  </si>
  <si>
    <t>[3], own assumption</t>
  </si>
  <si>
    <t>Source/assumption</t>
  </si>
  <si>
    <t>Final report for a study on composition and drivers of energy prices and costs in energy intensive industries: the case of the chemical industry - ammonia</t>
  </si>
  <si>
    <t>p. 8</t>
  </si>
  <si>
    <t>t per day-&gt; kt per year</t>
  </si>
  <si>
    <t>per day installed</t>
  </si>
  <si>
    <t>BASF’s Antwerp, US ammonia output could offset potential shutdown in Germany – bank</t>
  </si>
  <si>
    <t>https://www.icis.com/explore/resources/news/2022/06/28/10779322/basf-s-antwerp-us-ammonia-output-could-offset-potential-shutdown-in-germany-bank/</t>
  </si>
  <si>
    <t>28.06.2022</t>
  </si>
  <si>
    <t xml:space="preserve"> Lopez, Jonathan</t>
  </si>
  <si>
    <t>BASF ammonia production capacities in Ludwigshafen Germany</t>
  </si>
  <si>
    <t>Kothla-Jarve</t>
  </si>
  <si>
    <t>https://energywatch.com/EnergyNews/Cleantech/article12613496.ece</t>
  </si>
  <si>
    <t>Yara plans carbon emissions cut of 800,000 tonnes</t>
  </si>
  <si>
    <t>EnergyWatch</t>
  </si>
  <si>
    <t>08.12.2020</t>
  </si>
  <si>
    <t>Norway capacity</t>
  </si>
  <si>
    <t>Capacity of Kavala in Greece</t>
  </si>
  <si>
    <t>http://www.sulphuric-acid.com/sulphuric-acid-on-the-web/acid%20plants/PFI%20-%20Kavala.htm</t>
  </si>
  <si>
    <t>Sulphuric acid on the web</t>
  </si>
  <si>
    <t>Acid Plant Database</t>
  </si>
  <si>
    <t>01.03.2018</t>
  </si>
  <si>
    <t>Sabinanigo</t>
  </si>
  <si>
    <t>Rouen, Gronfreville (Le Grand Quevilly
Le Havre)</t>
  </si>
  <si>
    <t>Pétfürdő</t>
  </si>
  <si>
    <t>Nitrogenmuvek is the sole producer of nitrogen fertilisers in Hungary.</t>
  </si>
  <si>
    <t>p. 4</t>
  </si>
  <si>
    <t>[6]</t>
  </si>
  <si>
    <t>https://www.scopegroup.com/ScopeGroupApi/api/analysis?id=ce027252-521a-479a-a8ae-0b5d36dc345a</t>
  </si>
  <si>
    <t>Nitrogenmuvek Zrt</t>
  </si>
  <si>
    <t>Hungary, Integrated Chemicals</t>
  </si>
  <si>
    <t>02.07.2020</t>
  </si>
  <si>
    <t>Puławy</t>
  </si>
  <si>
    <t>Police</t>
  </si>
  <si>
    <t>Kędzierzyn</t>
  </si>
  <si>
    <t>Włocławek (Varsovia)</t>
  </si>
  <si>
    <t>Tarnów</t>
  </si>
  <si>
    <t>[7]</t>
  </si>
  <si>
    <t>https://plattslive.com/thought-leadership/agriculture/060823-pkn-orlen-talks-grupa-azoty-fertilizer-plant</t>
  </si>
  <si>
    <t>S&amp;P</t>
  </si>
  <si>
    <t>PKN Orlen in talks to buy Grupa Azoty fertilizer plant</t>
  </si>
  <si>
    <t>08.06.2023</t>
  </si>
  <si>
    <t>Târgu Mureș (Brasov)</t>
  </si>
  <si>
    <t>[8]</t>
  </si>
  <si>
    <t>Azomures in Romania Plans to Restart Ammonia Production in October</t>
  </si>
  <si>
    <t>27.09.2023</t>
  </si>
  <si>
    <t xml:space="preserve"> Schmidt, Peter</t>
  </si>
  <si>
    <t>ChemAnalyst</t>
  </si>
  <si>
    <t>Krievu sala</t>
  </si>
  <si>
    <t>Sala nad Váhom</t>
  </si>
  <si>
    <t>https://www.ft.com/content/c35e1504-1910-4c20-851f-070fbbd282ef</t>
  </si>
  <si>
    <t>UK: Severnside closed 2021</t>
  </si>
  <si>
    <t>15.01.2021</t>
  </si>
  <si>
    <t>[9]</t>
  </si>
  <si>
    <t>https://www.chemanalyst.com/NewsAndDeals/NewsDetails/azomures-in-romania-plans-to-restart-ammonia-production-in-october-20810</t>
  </si>
  <si>
    <t>https://www.german-energy-solutions.de/GES/Redaktion/EN/News/2021/20210630-green-methanol-chemical-refinery.html</t>
  </si>
  <si>
    <t>The data is intended for personal, non-commercial use.</t>
  </si>
  <si>
    <t>https://www.irena.org/-/media/Files/IRENA/Agency/Publication/2021/Jan/IRENA_Innovation_Renewable_Methanol_2021.pdf</t>
  </si>
  <si>
    <t>https://www.bp.com/de_de/germany/home/wo-wir-sind/raffinerie-gelsenkirchen/wer-wir-sind/zahlen-und-fakten.html</t>
  </si>
  <si>
    <t>Lithuania</t>
  </si>
  <si>
    <t>https://en.chtc.com.ua/methanol_works/</t>
  </si>
  <si>
    <t>https://oci-global.com/news-stories/stories/oci-global-explores-sustainable-methanol-in-delfzijl/</t>
  </si>
  <si>
    <t>TNO-2020-R11105.pdf</t>
  </si>
  <si>
    <t>https://www.tbu.no/en/ressurser/</t>
  </si>
  <si>
    <t>Zelzaete</t>
  </si>
  <si>
    <t>p. 190</t>
  </si>
  <si>
    <t>Mannheim</t>
  </si>
  <si>
    <t>[1], A1</t>
  </si>
  <si>
    <t>Botlek/ Rotterdam</t>
  </si>
  <si>
    <t>https://info.opisnet.com/exxonmobil-eyes-netherlands-refinery-aromatics-plant-turnaround-in-h1-2021</t>
  </si>
  <si>
    <t>Schgwechat</t>
  </si>
  <si>
    <t>[1] (no numerical data)</t>
  </si>
  <si>
    <t>(Bucharest) Petrobrazi Refinery</t>
  </si>
  <si>
    <t>https://globalenergyinfrastructure.com/news/2022/10-october/omv-petrom-investment-of-eur-130-million-at-petrobrazi-refinery-to-build-new-unit-of-aromatic-products/</t>
  </si>
  <si>
    <t>https://rompetrol-rafinare.kmginternational.com/upload/files/production-plan-for-2022-2747.pdf</t>
  </si>
  <si>
    <t>https://rompetrol-rafinare.kmginternational.com/upload/files/raport_anual_2005_221.pdf</t>
  </si>
  <si>
    <t>North Tees (Middlesbrough)</t>
  </si>
  <si>
    <t>Source</t>
  </si>
  <si>
    <t>Romania, propylene</t>
  </si>
  <si>
    <t>Zahlen &amp; Fakten</t>
  </si>
  <si>
    <t>bp Deutschland</t>
  </si>
  <si>
    <t>07.12.2023</t>
  </si>
  <si>
    <t>own assumption, considering [2]</t>
  </si>
  <si>
    <t>https://www.mrchub.com/news/395313-shell-to-shut-crude-refining-at-wesseling-in-germany</t>
  </si>
  <si>
    <t>17.11.2021</t>
  </si>
  <si>
    <t>Shell to shut crude refining at Wesseling in Germany</t>
  </si>
  <si>
    <t>MRC</t>
  </si>
  <si>
    <t>IRENA</t>
  </si>
  <si>
    <t>IRENA; Methanol Institute</t>
  </si>
  <si>
    <t>Renewable Methanol</t>
  </si>
  <si>
    <t>Abu Dhabi</t>
  </si>
  <si>
    <t>[3], p. 40</t>
  </si>
  <si>
    <t>Green methanol pilot at Leuna chemical refinery</t>
  </si>
  <si>
    <t>30.06.2021</t>
  </si>
  <si>
    <t>German Energy Solutions Initiative</t>
  </si>
  <si>
    <t>Chamical technologic company</t>
  </si>
  <si>
    <t>Methanol</t>
  </si>
  <si>
    <t xml:space="preserve">OCI Global explores sustainable methanol in Delfzijl </t>
  </si>
  <si>
    <t>22.06.2023</t>
  </si>
  <si>
    <t>Jenneskens, Sjoerd</t>
  </si>
  <si>
    <t>OCI Global</t>
  </si>
  <si>
    <t>[7], p. 62</t>
  </si>
  <si>
    <t>Green Maritime Methanol: Operation aspects and the fuel supply chain</t>
  </si>
  <si>
    <t>TNO</t>
  </si>
  <si>
    <t>24.09.2020</t>
  </si>
  <si>
    <t xml:space="preserve"> Zomer,Gerwin;  Finner, Shari;  Harmsen,Jorrit;   Vredeveldt,Lex; 
 van Lieshout, Paula</t>
  </si>
  <si>
    <t>Tjeldbergodden Utvikling AS (TBU)</t>
  </si>
  <si>
    <t>Methanol plant</t>
  </si>
  <si>
    <t>Rompetrol Rafinare S.A.</t>
  </si>
  <si>
    <t>Năvodari</t>
  </si>
  <si>
    <t>Production activity program 2022</t>
  </si>
  <si>
    <t>Etilen</t>
  </si>
  <si>
    <t>Spain, xylene</t>
  </si>
  <si>
    <t>Cepsa starts up second up metaxylene production unit at San Roque</t>
  </si>
  <si>
    <t>CEPSA</t>
  </si>
  <si>
    <t>https://www.cepsa.com/en/press/Cepsa-starts-up-second-up-metaxylene-production-unit-at-San-Roque</t>
  </si>
  <si>
    <t>29.10.2018</t>
  </si>
  <si>
    <t>If meta-xylene data available set together with o-xylene</t>
  </si>
  <si>
    <t>https://pdfcoffee.com/135-perp0607-61-benzene-toluene-nexant-pdf-free.html</t>
  </si>
  <si>
    <t>Nexant</t>
  </si>
  <si>
    <t>PERP Report: Benzene/Toluene 06/07-6</t>
  </si>
  <si>
    <t>Many countries and sites 2006, benzene and toluene</t>
  </si>
  <si>
    <t>A2</t>
  </si>
  <si>
    <t>If xylene total available, split 50%+50% at o- and p-xylene</t>
  </si>
  <si>
    <t>OPIS</t>
  </si>
  <si>
    <t>[1,2]</t>
  </si>
  <si>
    <t>[1, 2], A1</t>
  </si>
  <si>
    <t>ExxonMobil Eyes Netherlands Refinery, Aromatics Plant Turnaround in H1 2021</t>
  </si>
  <si>
    <t>30.10.2020</t>
  </si>
  <si>
    <t xml:space="preserve"> Lane, Anthony</t>
  </si>
  <si>
    <t>[1,4]</t>
  </si>
  <si>
    <t>Nehterlands, benzene, p-xylene</t>
  </si>
  <si>
    <t>Romania Navodari aromatics</t>
  </si>
  <si>
    <t>Raport anual 2005</t>
  </si>
  <si>
    <t>Rompetrol rafinare</t>
  </si>
  <si>
    <t>Romania Petrobrazi Refinary aromatics</t>
  </si>
  <si>
    <t>OMV Petrom: investment of EUR 130 million at Petrobrazi refinery to build new unit of aromatic products</t>
  </si>
  <si>
    <t>10.13.2022</t>
  </si>
  <si>
    <t>Press Release - OMV Petrom</t>
  </si>
  <si>
    <t>Global energy Infrastructure</t>
  </si>
  <si>
    <t>Copyright notice</t>
  </si>
  <si>
    <t>License type</t>
  </si>
  <si>
    <t>https://creativecommons.org/licenses/by/4.0/</t>
  </si>
  <si>
    <t>[1, 8, 9]</t>
  </si>
  <si>
    <t>[10]</t>
  </si>
  <si>
    <t>[1,8,9,10]</t>
  </si>
  <si>
    <t>[10,11]</t>
  </si>
  <si>
    <t>[11]</t>
  </si>
  <si>
    <t>[1,8]</t>
  </si>
  <si>
    <t>[1,2,3, 8,9], A2</t>
  </si>
  <si>
    <t>[1, 8]</t>
  </si>
  <si>
    <t>[8,9]</t>
  </si>
  <si>
    <t>[1,8,9]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</si>
</sst>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"/>
  </numFmts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1" fillId="0" borderId="0"/>
    <xf numFmtId="9" fontId="2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11">
    <xf numFmtId="0" fontId="0" fillId="0" borderId="0" xfId="0"/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5" fillId="0" borderId="0" xfId="0" applyFont="1"/>
    <xf numFmtId="49" fontId="13" fillId="0" borderId="0" xfId="1" applyNumberFormat="1" applyFont="1"/>
    <xf numFmtId="49" fontId="16" fillId="0" borderId="0" xfId="1" applyNumberFormat="1" applyFont="1"/>
    <xf numFmtId="49" fontId="16" fillId="0" borderId="0" xfId="1" applyNumberFormat="1" applyFont="1" applyAlignment="1">
      <alignment wrapText="1"/>
    </xf>
    <xf numFmtId="0" fontId="16" fillId="0" borderId="0" xfId="1" applyFont="1" applyAlignment="1">
      <alignment wrapText="1"/>
    </xf>
    <xf numFmtId="10" fontId="15" fillId="0" borderId="0" xfId="0" applyNumberFormat="1" applyFont="1"/>
    <xf numFmtId="49" fontId="13" fillId="0" borderId="0" xfId="1" applyNumberFormat="1" applyFont="1" applyAlignment="1">
      <alignment wrapText="1"/>
    </xf>
    <xf numFmtId="0" fontId="16" fillId="0" borderId="0" xfId="1" applyFont="1" applyAlignment="1">
      <alignment horizontal="left" vertical="center" wrapText="1"/>
    </xf>
    <xf numFmtId="0" fontId="16" fillId="0" borderId="0" xfId="1" applyFont="1"/>
    <xf numFmtId="0" fontId="16" fillId="0" borderId="0" xfId="0" applyFont="1"/>
    <xf numFmtId="0" fontId="16" fillId="0" borderId="0" xfId="0" applyFont="1" applyAlignment="1">
      <alignment wrapText="1"/>
    </xf>
    <xf numFmtId="49" fontId="17" fillId="0" borderId="0" xfId="1" applyNumberFormat="1" applyFont="1"/>
    <xf numFmtId="49" fontId="18" fillId="0" borderId="0" xfId="1" applyNumberFormat="1" applyFont="1" applyAlignment="1">
      <alignment wrapText="1"/>
    </xf>
    <xf numFmtId="0" fontId="18" fillId="0" borderId="0" xfId="1" applyFont="1" applyAlignment="1">
      <alignment wrapText="1"/>
    </xf>
    <xf numFmtId="49" fontId="17" fillId="0" borderId="0" xfId="1" applyNumberFormat="1" applyFont="1" applyAlignment="1">
      <alignment wrapText="1"/>
    </xf>
    <xf numFmtId="0" fontId="19" fillId="0" borderId="0" xfId="0" applyFont="1"/>
    <xf numFmtId="0" fontId="18" fillId="0" borderId="0" xfId="1" applyFont="1"/>
    <xf numFmtId="0" fontId="18" fillId="0" borderId="0" xfId="0" applyFont="1" applyAlignment="1">
      <alignment wrapText="1"/>
    </xf>
    <xf numFmtId="0" fontId="18" fillId="0" borderId="0" xfId="0" applyFont="1"/>
    <xf numFmtId="0" fontId="14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0" borderId="0" xfId="1" applyFont="1" applyAlignment="1">
      <alignment horizontal="justify" wrapText="1"/>
    </xf>
    <xf numFmtId="0" fontId="16" fillId="0" borderId="0" xfId="1" applyFont="1" applyAlignment="1">
      <alignment horizontal="justify"/>
    </xf>
    <xf numFmtId="49" fontId="18" fillId="0" borderId="0" xfId="1" applyNumberFormat="1" applyFont="1"/>
    <xf numFmtId="0" fontId="18" fillId="0" borderId="0" xfId="1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18" fillId="0" borderId="0" xfId="1" applyFont="1" applyAlignment="1">
      <alignment horizontal="justify"/>
    </xf>
    <xf numFmtId="0" fontId="18" fillId="0" borderId="0" xfId="1" applyFont="1" applyAlignment="1">
      <alignment horizontal="justify" wrapText="1"/>
    </xf>
    <xf numFmtId="0" fontId="14" fillId="0" borderId="0" xfId="0" applyFont="1"/>
    <xf numFmtId="10" fontId="14" fillId="0" borderId="0" xfId="0" applyNumberFormat="1" applyFont="1"/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49" fontId="16" fillId="0" borderId="0" xfId="0" applyNumberFormat="1" applyFont="1" applyAlignment="1">
      <alignment wrapText="1"/>
    </xf>
    <xf numFmtId="0" fontId="22" fillId="0" borderId="0" xfId="0" applyFont="1"/>
    <xf numFmtId="10" fontId="16" fillId="0" borderId="0" xfId="1" applyNumberFormat="1" applyFont="1" applyAlignment="1">
      <alignment wrapText="1"/>
    </xf>
    <xf numFmtId="3" fontId="0" fillId="0" borderId="0" xfId="0" applyNumberFormat="1"/>
    <xf numFmtId="1" fontId="15" fillId="0" borderId="0" xfId="0" applyNumberFormat="1" applyFont="1"/>
    <xf numFmtId="1" fontId="0" fillId="0" borderId="0" xfId="0" applyNumberForma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49" fontId="18" fillId="0" borderId="0" xfId="0" applyNumberFormat="1" applyFont="1"/>
    <xf numFmtId="49" fontId="17" fillId="0" borderId="0" xfId="0" applyNumberFormat="1" applyFont="1"/>
    <xf numFmtId="49" fontId="17" fillId="0" borderId="0" xfId="0" applyNumberFormat="1" applyFont="1" applyAlignment="1">
      <alignment wrapText="1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justify"/>
    </xf>
    <xf numFmtId="0" fontId="18" fillId="0" borderId="0" xfId="0" applyFont="1" applyAlignment="1">
      <alignment horizontal="justify" wrapText="1"/>
    </xf>
    <xf numFmtId="164" fontId="15" fillId="0" borderId="0" xfId="0" applyNumberFormat="1" applyFont="1"/>
    <xf numFmtId="0" fontId="0" fillId="0" borderId="0" xfId="0" applyAlignment="1">
      <alignment vertical="top"/>
    </xf>
    <xf numFmtId="10" fontId="12" fillId="0" borderId="0" xfId="0" applyNumberFormat="1" applyFont="1" applyAlignment="1">
      <alignment horizontal="center" vertical="top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vertical="top"/>
    </xf>
    <xf numFmtId="10" fontId="0" fillId="0" borderId="0" xfId="0" applyNumberFormat="1"/>
    <xf numFmtId="0" fontId="24" fillId="0" borderId="0" xfId="0" applyFont="1" applyAlignment="1">
      <alignment vertical="center"/>
    </xf>
    <xf numFmtId="10" fontId="23" fillId="0" borderId="0" xfId="0" applyNumberFormat="1" applyFont="1" applyAlignment="1">
      <alignment horizontal="center"/>
    </xf>
    <xf numFmtId="10" fontId="24" fillId="0" borderId="0" xfId="0" applyNumberFormat="1" applyFont="1"/>
    <xf numFmtId="0" fontId="30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10" fontId="10" fillId="0" borderId="0" xfId="0" applyNumberFormat="1" applyFont="1"/>
    <xf numFmtId="9" fontId="14" fillId="0" borderId="0" xfId="2" applyFont="1" applyBorder="1" applyAlignment="1">
      <alignment horizontal="center"/>
    </xf>
    <xf numFmtId="9" fontId="15" fillId="0" borderId="0" xfId="2" applyFont="1" applyFill="1" applyBorder="1"/>
    <xf numFmtId="9" fontId="17" fillId="0" borderId="0" xfId="2" applyFont="1" applyFill="1" applyBorder="1" applyAlignment="1">
      <alignment wrapText="1"/>
    </xf>
    <xf numFmtId="9" fontId="15" fillId="0" borderId="0" xfId="2" applyFont="1" applyBorder="1"/>
    <xf numFmtId="9" fontId="10" fillId="0" borderId="0" xfId="2" applyFont="1" applyBorder="1"/>
    <xf numFmtId="0" fontId="8" fillId="0" borderId="0" xfId="0" applyFont="1"/>
    <xf numFmtId="10" fontId="15" fillId="0" borderId="0" xfId="2" applyNumberFormat="1" applyFont="1" applyBorder="1"/>
    <xf numFmtId="0" fontId="7" fillId="0" borderId="0" xfId="0" applyFont="1"/>
    <xf numFmtId="9" fontId="0" fillId="0" borderId="0" xfId="2" applyFont="1"/>
    <xf numFmtId="0" fontId="14" fillId="0" borderId="1" xfId="0" applyFont="1" applyBorder="1" applyAlignment="1">
      <alignment horizontal="center" vertical="top"/>
    </xf>
    <xf numFmtId="9" fontId="14" fillId="0" borderId="1" xfId="2" applyFont="1" applyBorder="1" applyAlignment="1">
      <alignment horizontal="center" vertical="top"/>
    </xf>
    <xf numFmtId="2" fontId="1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5" fontId="15" fillId="0" borderId="0" xfId="0" applyNumberFormat="1" applyFont="1"/>
    <xf numFmtId="166" fontId="15" fillId="0" borderId="0" xfId="0" applyNumberFormat="1" applyFont="1"/>
    <xf numFmtId="9" fontId="16" fillId="0" borderId="0" xfId="2" applyFont="1" applyBorder="1" applyAlignment="1">
      <alignment wrapText="1"/>
    </xf>
    <xf numFmtId="0" fontId="0" fillId="2" borderId="0" xfId="0" applyFill="1"/>
    <xf numFmtId="0" fontId="32" fillId="0" borderId="0" xfId="5"/>
    <xf numFmtId="0" fontId="0" fillId="3" borderId="0" xfId="0" applyFill="1"/>
    <xf numFmtId="0" fontId="32" fillId="0" borderId="0" xfId="5" applyAlignment="1">
      <alignment vertic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33" fillId="0" borderId="0" xfId="5" applyNumberFormat="1" applyFont="1" applyFill="1" applyBorder="1" applyAlignment="1"/>
    <xf numFmtId="0" fontId="24" fillId="4" borderId="0" xfId="0" applyFont="1" applyFill="1"/>
    <xf numFmtId="0" fontId="4" fillId="0" borderId="0" xfId="0" applyFont="1"/>
    <xf numFmtId="0" fontId="15" fillId="5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32" fillId="0" borderId="0" xfId="5" applyFill="1"/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/>
  </cellXfs>
  <cellStyles count="6">
    <cellStyle name="Link" xfId="5" builtinId="8"/>
    <cellStyle name="Normal 2" xfId="1" xr:uid="{00000000-0005-0000-0000-000001000000}"/>
    <cellStyle name="Prozent" xfId="2" builtinId="5"/>
    <cellStyle name="Prozent 2" xfId="4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cis.com/explore/resources/news/2015/04/06/9873229/chemical-profile-europe-toluene/" TargetMode="External"/><Relationship Id="rId18" Type="http://schemas.openxmlformats.org/officeDocument/2006/relationships/hyperlink" Target="https://doi.org/10.3133/ofr0375" TargetMode="External"/><Relationship Id="rId26" Type="http://schemas.openxmlformats.org/officeDocument/2006/relationships/hyperlink" Target="https://www.hip-petrohemija.com/tehnologija/proizvodna-linija/etilen.22.html" TargetMode="External"/><Relationship Id="rId39" Type="http://schemas.openxmlformats.org/officeDocument/2006/relationships/hyperlink" Target="https://www.german-energy-solutions.de/GES/Redaktion/EN/News/2021/20210630-green-methanol-chemical-refinery.html" TargetMode="External"/><Relationship Id="rId21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34" Type="http://schemas.openxmlformats.org/officeDocument/2006/relationships/hyperlink" Target="https://www.icis.com/explore/resources/news/2022/06/28/10779322/basf-s-antwerp-us-ammonia-output-could-offset-potential-shutdown-in-germany-bank/" TargetMode="External"/><Relationship Id="rId42" Type="http://schemas.openxmlformats.org/officeDocument/2006/relationships/hyperlink" Target="https://www.tbu.no/en/ressurser/" TargetMode="External"/><Relationship Id="rId7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2" Type="http://schemas.openxmlformats.org/officeDocument/2006/relationships/hyperlink" Target="https://single-market-economy.ec.europa.eu/sectors/raw-materials/areas-specific-interest/critical-raw-materials_en" TargetMode="External"/><Relationship Id="rId16" Type="http://schemas.openxmlformats.org/officeDocument/2006/relationships/hyperlink" Target="https://www.eurofer.eu/assets/Uploads/Map-20191113_Eurofer_SteelIndustry_Rev3-has-stainless.pdf" TargetMode="External"/><Relationship Id="rId29" Type="http://schemas.openxmlformats.org/officeDocument/2006/relationships/hyperlink" Target="https://www.icis.com/explore/resources/news/2011/07/04/9474487/european-chemical-profile-paraxylene/" TargetMode="External"/><Relationship Id="rId1" Type="http://schemas.openxmlformats.org/officeDocument/2006/relationships/hyperlink" Target="https://www.lightmetalage.com/resources-section/primary-producers/" TargetMode="External"/><Relationship Id="rId6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1" Type="http://schemas.openxmlformats.org/officeDocument/2006/relationships/hyperlink" Target="https://www.icis.com/explore/resources/news/2008/10/27/9166031/chemical-profile-ammonia/" TargetMode="External"/><Relationship Id="rId24" Type="http://schemas.openxmlformats.org/officeDocument/2006/relationships/hyperlink" Target="https://eippcb.jrc.ec.europa.eu/sites/default/files/2019-11/lvic_aaf.pdf" TargetMode="External"/><Relationship Id="rId32" Type="http://schemas.openxmlformats.org/officeDocument/2006/relationships/hyperlink" Target="https://plattslive.com/thought-leadership/agriculture/060823-pkn-orlen-talks-grupa-azoty-fertilizer-plant" TargetMode="External"/><Relationship Id="rId37" Type="http://schemas.openxmlformats.org/officeDocument/2006/relationships/hyperlink" Target="https://www.mrchub.com/news/395313-shell-to-shut-crude-refining-at-wesseling-in-germany" TargetMode="External"/><Relationship Id="rId40" Type="http://schemas.openxmlformats.org/officeDocument/2006/relationships/hyperlink" Target="https://en.chtc.com.ua/methanol_works/" TargetMode="External"/><Relationship Id="rId45" Type="http://schemas.openxmlformats.org/officeDocument/2006/relationships/hyperlink" Target="https://globalenergyinfrastructure.com/news/2022/10-october/omv-petrom-investment-of-eur-130-million-at-petrobrazi-refinery-to-build-new-unit-of-aromatic-products/" TargetMode="External"/><Relationship Id="rId5" Type="http://schemas.openxmlformats.org/officeDocument/2006/relationships/hyperlink" Target="https://www.lightmetalage.com/resources-section/secondary-producers/" TargetMode="External"/><Relationship Id="rId15" Type="http://schemas.openxmlformats.org/officeDocument/2006/relationships/hyperlink" Target="https://www.iva.de/sites/default/files/benutzer/%25uid/publikationen/wiza_2015_2016_0.pdf" TargetMode="External"/><Relationship Id="rId23" Type="http://schemas.openxmlformats.org/officeDocument/2006/relationships/hyperlink" Target="https://healthybuilding.net/uploads/files/Chlorine%20&amp;%20Building%20Materials%20Phase%202%20Asia.pdf" TargetMode="External"/><Relationship Id="rId28" Type="http://schemas.openxmlformats.org/officeDocument/2006/relationships/hyperlink" Target="https://www.icis.com/explore/resources/news/2012/05/07/9556557/europe-chemical-profile-orthoxylene/" TargetMode="External"/><Relationship Id="rId36" Type="http://schemas.openxmlformats.org/officeDocument/2006/relationships/hyperlink" Target="https://www.bp.com/de_de/germany/home/wo-wir-sind/raffinerie-gelsenkirchen/wer-wir-sind/zahlen-und-fakten.html" TargetMode="External"/><Relationship Id="rId10" Type="http://schemas.openxmlformats.org/officeDocument/2006/relationships/hyperlink" Target="https://www.google.com/maps/d/u/2/embed?mid=z1zz1byO2tRw.kqh2OYwbS6J0" TargetMode="External"/><Relationship Id="rId19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31" Type="http://schemas.openxmlformats.org/officeDocument/2006/relationships/hyperlink" Target="http://www.sulphuric-acid.com/sulphuric-acid-on-the-web/acid%20plants/PFI%20-%20Kavala.htm" TargetMode="External"/><Relationship Id="rId44" Type="http://schemas.openxmlformats.org/officeDocument/2006/relationships/hyperlink" Target="https://rompetrol-rafinare.kmginternational.com/upload/files/raport_anual_2005_221.pdf" TargetMode="External"/><Relationship Id="rId4" Type="http://schemas.openxmlformats.org/officeDocument/2006/relationships/hyperlink" Target="https://european-aluminium.eu/about-aluminium/aluminium-industry/" TargetMode="External"/><Relationship Id="rId9" Type="http://schemas.openxmlformats.org/officeDocument/2006/relationships/hyperlink" Target="https://plants.glassglobal.com/login/" TargetMode="External"/><Relationship Id="rId14" Type="http://schemas.openxmlformats.org/officeDocument/2006/relationships/hyperlink" Target="http://www.shts.org.rs/srpska/organic.html" TargetMode="External"/><Relationship Id="rId22" Type="http://schemas.openxmlformats.org/officeDocument/2006/relationships/hyperlink" Target="https://www.eurochlor.org/resources/publications/" TargetMode="External"/><Relationship Id="rId27" Type="http://schemas.openxmlformats.org/officeDocument/2006/relationships/hyperlink" Target="http://www.shts.org.rs/srpska/organic.html" TargetMode="External"/><Relationship Id="rId30" Type="http://schemas.openxmlformats.org/officeDocument/2006/relationships/hyperlink" Target="https://www.icis.com/explore/resources/news/2012/06/25/9571858/europe-chemical-profile-methanol/" TargetMode="External"/><Relationship Id="rId35" Type="http://schemas.openxmlformats.org/officeDocument/2006/relationships/hyperlink" Target="https://cdn.ceps.eu/wp-content/uploads/2014/01/Ammonia.pdf" TargetMode="External"/><Relationship Id="rId43" Type="http://schemas.openxmlformats.org/officeDocument/2006/relationships/hyperlink" Target="https://rompetrol-rafinare.kmginternational.com/upload/files/production-plan-for-2022-2747.pdf" TargetMode="External"/><Relationship Id="rId8" Type="http://schemas.openxmlformats.org/officeDocument/2006/relationships/hyperlink" Target="https://publications.lib.chalmers.se/records/fulltext/185715/local_185715.pdf" TargetMode="External"/><Relationship Id="rId3" Type="http://schemas.openxmlformats.org/officeDocument/2006/relationships/hyperlink" Target="https://face-aluminium.com/wp-content/uploads/2019/06/2019-LUISS-Study.pdf" TargetMode="External"/><Relationship Id="rId12" Type="http://schemas.openxmlformats.org/officeDocument/2006/relationships/hyperlink" Target="https://www.icis.com/explore/resources/news/2019/01/31/10313703/chemical-profile-europe-methanol" TargetMode="External"/><Relationship Id="rId17" Type="http://schemas.openxmlformats.org/officeDocument/2006/relationships/hyperlink" Target="https://www.eurofer.eu/assets/Uploads/Map-20191113_Eurofer_SteelIndustry_Rev3-has-stainless.pdf" TargetMode="External"/><Relationship Id="rId25" Type="http://schemas.openxmlformats.org/officeDocument/2006/relationships/hyperlink" Target="http://www.shts.org.rs/srpska/organic.html" TargetMode="External"/><Relationship Id="rId33" Type="http://schemas.openxmlformats.org/officeDocument/2006/relationships/hyperlink" Target="https://www.chemanalyst.com/NewsAndDeals/NewsDetails/azomures-in-romania-plans-to-restart-ammonia-production-in-october-20810" TargetMode="External"/><Relationship Id="rId38" Type="http://schemas.openxmlformats.org/officeDocument/2006/relationships/hyperlink" Target="https://www.irena.org/-/media/Files/IRENA/Agency/Publication/2021/Jan/IRENA_Innovation_Renewable_Methanol_2021.pdf" TargetMode="External"/><Relationship Id="rId46" Type="http://schemas.openxmlformats.org/officeDocument/2006/relationships/printerSettings" Target="../printerSettings/printerSettings5.bin"/><Relationship Id="rId20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41" Type="http://schemas.openxmlformats.org/officeDocument/2006/relationships/hyperlink" Target="https://oci-global.com/news-stories/stories/oci-global-explores-sustainable-methanol-in-delfzij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workbookViewId="0"/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6" width="29.875" style="3" customWidth="1"/>
    <col min="7" max="7" width="18.875" style="3" bestFit="1" customWidth="1"/>
    <col min="8" max="8" width="11.625" style="8" bestFit="1" customWidth="1"/>
    <col min="9" max="9" width="24" style="3" bestFit="1" customWidth="1"/>
    <col min="10" max="10" width="16.875" style="3" bestFit="1" customWidth="1"/>
    <col min="11" max="11" width="20.625" style="3" bestFit="1" customWidth="1"/>
    <col min="12" max="16384" width="10.875" style="3"/>
  </cols>
  <sheetData>
    <row r="1" spans="1:12">
      <c r="A1" s="22" t="s">
        <v>0</v>
      </c>
      <c r="B1" s="22" t="s">
        <v>1</v>
      </c>
      <c r="C1" s="22" t="s">
        <v>2</v>
      </c>
      <c r="D1" s="22" t="s">
        <v>655</v>
      </c>
      <c r="E1" s="22" t="s">
        <v>940</v>
      </c>
      <c r="F1" s="22" t="s">
        <v>808</v>
      </c>
      <c r="G1" s="22" t="s">
        <v>691</v>
      </c>
      <c r="H1" s="23" t="s">
        <v>690</v>
      </c>
      <c r="I1" s="2"/>
      <c r="J1" s="2"/>
      <c r="K1" s="2"/>
    </row>
    <row r="2" spans="1:12" ht="30">
      <c r="A2" s="106" t="s">
        <v>3</v>
      </c>
      <c r="B2" s="5" t="s">
        <v>36</v>
      </c>
      <c r="C2" s="6"/>
      <c r="D2" s="7" t="s">
        <v>621</v>
      </c>
      <c r="E2" s="7"/>
      <c r="F2" s="7"/>
      <c r="L2" s="4"/>
    </row>
    <row r="3" spans="1:12">
      <c r="A3" s="106"/>
      <c r="B3" s="5" t="s">
        <v>46</v>
      </c>
      <c r="C3" s="6"/>
      <c r="D3" s="7" t="s">
        <v>316</v>
      </c>
      <c r="E3" s="7"/>
      <c r="F3" s="7"/>
      <c r="I3" s="4"/>
      <c r="J3" s="9"/>
      <c r="L3" s="4"/>
    </row>
    <row r="4" spans="1:12">
      <c r="A4" s="106"/>
      <c r="B4" s="5" t="s">
        <v>40</v>
      </c>
      <c r="C4" s="6" t="s">
        <v>799</v>
      </c>
      <c r="D4" s="7" t="s">
        <v>317</v>
      </c>
      <c r="E4" s="7"/>
      <c r="F4" s="7">
        <v>1200</v>
      </c>
      <c r="G4" s="3">
        <f>SUM($E4:$F4)</f>
        <v>1200</v>
      </c>
      <c r="H4" s="8">
        <f>G4/SUM($G$4:$G$9)</f>
        <v>0.14285714285714285</v>
      </c>
      <c r="L4" s="4"/>
    </row>
    <row r="5" spans="1:12">
      <c r="A5" s="106"/>
      <c r="B5" s="5" t="s">
        <v>44</v>
      </c>
      <c r="C5" s="6" t="s">
        <v>810</v>
      </c>
      <c r="D5" s="7" t="s">
        <v>318</v>
      </c>
      <c r="E5" s="7">
        <v>5000</v>
      </c>
      <c r="F5" s="7"/>
      <c r="G5" s="3">
        <f t="shared" ref="G5:G64" si="0">SUM($E5:$F5)</f>
        <v>5000</v>
      </c>
      <c r="H5" s="8">
        <f t="shared" ref="H5:H9" si="1">G5/SUM($G$4:$G$9)</f>
        <v>0.59523809523809523</v>
      </c>
      <c r="L5" s="4"/>
    </row>
    <row r="6" spans="1:12">
      <c r="A6" s="106"/>
      <c r="B6" s="5" t="s">
        <v>45</v>
      </c>
      <c r="C6" s="6"/>
      <c r="D6" s="7" t="s">
        <v>319</v>
      </c>
      <c r="E6" s="7"/>
      <c r="F6" s="7"/>
      <c r="L6" s="4"/>
    </row>
    <row r="7" spans="1:12">
      <c r="A7" s="106"/>
      <c r="B7" s="5" t="s">
        <v>37</v>
      </c>
      <c r="C7" s="6"/>
      <c r="D7" s="7" t="s">
        <v>320</v>
      </c>
      <c r="E7" s="7"/>
      <c r="F7" s="7"/>
      <c r="L7" s="4"/>
    </row>
    <row r="8" spans="1:12">
      <c r="A8" s="106"/>
      <c r="B8" s="5" t="s">
        <v>43</v>
      </c>
      <c r="C8" s="6"/>
      <c r="D8" s="7" t="s">
        <v>321</v>
      </c>
      <c r="E8" s="7"/>
      <c r="F8" s="7"/>
      <c r="L8" s="4"/>
    </row>
    <row r="9" spans="1:12" ht="30">
      <c r="A9" s="106"/>
      <c r="B9" s="5" t="s">
        <v>42</v>
      </c>
      <c r="C9" s="6" t="s">
        <v>798</v>
      </c>
      <c r="D9" s="7" t="s">
        <v>322</v>
      </c>
      <c r="E9" s="7"/>
      <c r="F9" s="7">
        <f>850+350+1000</f>
        <v>2200</v>
      </c>
      <c r="G9" s="3">
        <f t="shared" si="0"/>
        <v>2200</v>
      </c>
      <c r="H9" s="8">
        <f t="shared" si="1"/>
        <v>0.26190476190476192</v>
      </c>
      <c r="L9" s="4"/>
    </row>
    <row r="10" spans="1:12">
      <c r="A10" s="106"/>
      <c r="B10" s="5" t="s">
        <v>41</v>
      </c>
      <c r="C10" s="6"/>
      <c r="D10" s="7" t="s">
        <v>323</v>
      </c>
      <c r="E10" s="7"/>
      <c r="F10" s="7"/>
      <c r="L10" s="4"/>
    </row>
    <row r="11" spans="1:12">
      <c r="A11" s="106"/>
      <c r="B11" s="5" t="s">
        <v>39</v>
      </c>
      <c r="C11" s="6"/>
      <c r="D11" s="7" t="s">
        <v>324</v>
      </c>
      <c r="E11" s="7"/>
      <c r="F11" s="7"/>
      <c r="L11" s="4"/>
    </row>
    <row r="12" spans="1:12">
      <c r="A12" s="106"/>
      <c r="B12" s="5" t="s">
        <v>38</v>
      </c>
      <c r="C12" s="6"/>
      <c r="D12" s="7" t="s">
        <v>325</v>
      </c>
      <c r="E12" s="7"/>
      <c r="F12" s="7"/>
      <c r="L12" s="4"/>
    </row>
    <row r="13" spans="1:12">
      <c r="A13" s="106" t="s">
        <v>4</v>
      </c>
      <c r="B13" s="5" t="s">
        <v>47</v>
      </c>
      <c r="C13" s="6"/>
      <c r="D13" s="7" t="s">
        <v>326</v>
      </c>
      <c r="E13" s="7"/>
      <c r="F13" s="7"/>
      <c r="L13" s="4"/>
    </row>
    <row r="14" spans="1:12">
      <c r="A14" s="106"/>
      <c r="B14" s="5" t="s">
        <v>49</v>
      </c>
      <c r="C14" s="6"/>
      <c r="D14" s="7" t="s">
        <v>327</v>
      </c>
      <c r="E14" s="7"/>
      <c r="F14" s="7"/>
      <c r="L14" s="4"/>
    </row>
    <row r="15" spans="1:12">
      <c r="A15" s="106"/>
      <c r="B15" s="5" t="s">
        <v>50</v>
      </c>
      <c r="C15" s="6"/>
      <c r="D15" s="7" t="s">
        <v>328</v>
      </c>
      <c r="E15" s="7"/>
      <c r="F15" s="7"/>
      <c r="L15" s="4"/>
    </row>
    <row r="16" spans="1:12">
      <c r="A16" s="106"/>
      <c r="B16" s="5" t="s">
        <v>51</v>
      </c>
      <c r="C16" s="6"/>
      <c r="D16" s="7" t="s">
        <v>329</v>
      </c>
      <c r="E16" s="7"/>
      <c r="F16" s="7"/>
      <c r="L16" s="4"/>
    </row>
    <row r="17" spans="1:12">
      <c r="A17" s="106"/>
      <c r="B17" s="5" t="s">
        <v>52</v>
      </c>
      <c r="C17" s="6" t="s">
        <v>825</v>
      </c>
      <c r="D17" s="7" t="s">
        <v>330</v>
      </c>
      <c r="E17" s="7"/>
      <c r="F17" s="7">
        <v>1000</v>
      </c>
      <c r="G17" s="3">
        <f t="shared" si="0"/>
        <v>1000</v>
      </c>
      <c r="H17" s="8">
        <v>1</v>
      </c>
      <c r="L17" s="4"/>
    </row>
    <row r="18" spans="1:12">
      <c r="A18" s="106"/>
      <c r="B18" s="5" t="s">
        <v>48</v>
      </c>
      <c r="C18" s="6"/>
      <c r="D18" s="7" t="s">
        <v>331</v>
      </c>
      <c r="E18" s="7"/>
      <c r="F18" s="7"/>
      <c r="L18" s="4"/>
    </row>
    <row r="19" spans="1:12">
      <c r="A19" s="106" t="s">
        <v>5</v>
      </c>
      <c r="B19" s="5" t="s">
        <v>54</v>
      </c>
      <c r="C19" s="6"/>
      <c r="D19" s="7" t="s">
        <v>332</v>
      </c>
      <c r="E19" s="7"/>
      <c r="F19" s="7"/>
      <c r="L19" s="4"/>
    </row>
    <row r="20" spans="1:12">
      <c r="A20" s="106"/>
      <c r="B20" s="5" t="s">
        <v>53</v>
      </c>
      <c r="C20" s="6"/>
      <c r="D20" s="7" t="s">
        <v>333</v>
      </c>
      <c r="E20" s="7"/>
      <c r="F20" s="7"/>
      <c r="L20" s="4"/>
    </row>
    <row r="21" spans="1:12">
      <c r="A21" s="106"/>
      <c r="B21" s="5" t="s">
        <v>60</v>
      </c>
      <c r="C21" s="6" t="s">
        <v>829</v>
      </c>
      <c r="D21" s="7" t="s">
        <v>334</v>
      </c>
      <c r="E21" s="7"/>
      <c r="F21" s="7">
        <v>150</v>
      </c>
      <c r="G21" s="3">
        <f t="shared" si="0"/>
        <v>150</v>
      </c>
      <c r="H21" s="8">
        <f>G21/SUM($G$21:$G$26)</f>
        <v>5.6179775280898875E-2</v>
      </c>
      <c r="L21" s="4"/>
    </row>
    <row r="22" spans="1:12">
      <c r="A22" s="106"/>
      <c r="B22" s="5" t="s">
        <v>58</v>
      </c>
      <c r="D22" s="7" t="s">
        <v>335</v>
      </c>
      <c r="E22" s="7"/>
      <c r="F22" s="7"/>
      <c r="L22" s="4"/>
    </row>
    <row r="23" spans="1:12">
      <c r="A23" s="106"/>
      <c r="B23" s="5" t="s">
        <v>57</v>
      </c>
      <c r="C23" s="6"/>
      <c r="D23" s="7" t="s">
        <v>336</v>
      </c>
      <c r="E23" s="7"/>
      <c r="F23" s="7"/>
      <c r="L23" s="4"/>
    </row>
    <row r="24" spans="1:12">
      <c r="A24" s="106"/>
      <c r="B24" s="5" t="s">
        <v>59</v>
      </c>
      <c r="C24" s="6"/>
      <c r="D24" s="7" t="s">
        <v>337</v>
      </c>
      <c r="E24" s="7"/>
      <c r="F24" s="7"/>
      <c r="L24" s="4"/>
    </row>
    <row r="25" spans="1:12">
      <c r="A25" s="106"/>
      <c r="B25" s="5" t="s">
        <v>55</v>
      </c>
      <c r="C25" s="6"/>
      <c r="D25" s="7" t="s">
        <v>338</v>
      </c>
      <c r="E25" s="7"/>
      <c r="F25" s="7"/>
      <c r="L25" s="4"/>
    </row>
    <row r="26" spans="1:12" ht="30">
      <c r="A26" s="106"/>
      <c r="B26" s="5" t="s">
        <v>56</v>
      </c>
      <c r="C26" s="6" t="s">
        <v>828</v>
      </c>
      <c r="D26" s="7" t="s">
        <v>339</v>
      </c>
      <c r="E26" s="7">
        <v>2400</v>
      </c>
      <c r="F26" s="7">
        <v>120</v>
      </c>
      <c r="G26" s="3">
        <f t="shared" si="0"/>
        <v>2520</v>
      </c>
      <c r="H26" s="8">
        <f t="shared" ref="H26" si="2">G26/SUM($G$21:$G$26)</f>
        <v>0.9438202247191011</v>
      </c>
      <c r="L26" s="4"/>
    </row>
    <row r="27" spans="1:12">
      <c r="A27" s="106" t="s">
        <v>6</v>
      </c>
      <c r="B27" s="5" t="s">
        <v>64</v>
      </c>
      <c r="C27" s="6"/>
      <c r="D27" s="7" t="s">
        <v>340</v>
      </c>
      <c r="E27" s="7"/>
      <c r="F27" s="7"/>
      <c r="H27" s="8">
        <f>1/ROWS(B27:B31)</f>
        <v>0.2</v>
      </c>
      <c r="I27" s="82" t="s">
        <v>925</v>
      </c>
      <c r="L27" s="4"/>
    </row>
    <row r="28" spans="1:12">
      <c r="A28" s="106"/>
      <c r="B28" s="5" t="s">
        <v>61</v>
      </c>
      <c r="C28" s="6"/>
      <c r="D28" s="7" t="s">
        <v>341</v>
      </c>
      <c r="E28" s="7"/>
      <c r="F28" s="7"/>
      <c r="H28" s="8">
        <f t="shared" ref="H28:H31" si="3">1/ROWS(B28:B32)</f>
        <v>0.2</v>
      </c>
      <c r="I28" s="82" t="s">
        <v>925</v>
      </c>
      <c r="L28" s="4"/>
    </row>
    <row r="29" spans="1:12">
      <c r="A29" s="106"/>
      <c r="B29" s="5" t="s">
        <v>63</v>
      </c>
      <c r="C29" s="6"/>
      <c r="D29" s="7" t="s">
        <v>342</v>
      </c>
      <c r="E29" s="7"/>
      <c r="F29" s="7"/>
      <c r="H29" s="8">
        <f t="shared" si="3"/>
        <v>0.2</v>
      </c>
      <c r="I29" s="82" t="s">
        <v>925</v>
      </c>
      <c r="L29" s="4"/>
    </row>
    <row r="30" spans="1:12">
      <c r="A30" s="106"/>
      <c r="B30" s="5" t="s">
        <v>65</v>
      </c>
      <c r="C30" s="6"/>
      <c r="D30" s="7" t="s">
        <v>343</v>
      </c>
      <c r="E30" s="7"/>
      <c r="F30" s="7"/>
      <c r="H30" s="8">
        <f t="shared" si="3"/>
        <v>0.2</v>
      </c>
      <c r="I30" s="82" t="s">
        <v>925</v>
      </c>
      <c r="L30" s="4"/>
    </row>
    <row r="31" spans="1:12">
      <c r="A31" s="106"/>
      <c r="B31" s="5" t="s">
        <v>62</v>
      </c>
      <c r="C31" s="6"/>
      <c r="D31" s="7" t="s">
        <v>344</v>
      </c>
      <c r="E31" s="7"/>
      <c r="F31" s="7"/>
      <c r="H31" s="8">
        <f t="shared" si="3"/>
        <v>0.2</v>
      </c>
      <c r="I31" s="82" t="s">
        <v>925</v>
      </c>
      <c r="L31" s="4"/>
    </row>
    <row r="32" spans="1:12">
      <c r="A32" s="106" t="s">
        <v>7</v>
      </c>
      <c r="B32" s="5" t="s">
        <v>101</v>
      </c>
      <c r="C32" s="6"/>
      <c r="D32" s="7" t="s">
        <v>345</v>
      </c>
      <c r="E32" s="7"/>
      <c r="F32" s="7"/>
      <c r="L32" s="4"/>
    </row>
    <row r="33" spans="1:12">
      <c r="A33" s="106"/>
      <c r="B33" s="5" t="s">
        <v>102</v>
      </c>
      <c r="C33" s="6"/>
      <c r="D33" s="7" t="s">
        <v>346</v>
      </c>
      <c r="E33" s="7"/>
      <c r="F33" s="7"/>
      <c r="L33" s="4"/>
    </row>
    <row r="34" spans="1:12">
      <c r="A34" s="106"/>
      <c r="B34" s="5" t="s">
        <v>103</v>
      </c>
      <c r="C34" s="6" t="s">
        <v>840</v>
      </c>
      <c r="D34" s="7" t="s">
        <v>347</v>
      </c>
      <c r="E34" s="7"/>
      <c r="F34" s="7">
        <v>2500</v>
      </c>
      <c r="G34" s="3">
        <f t="shared" si="0"/>
        <v>2500</v>
      </c>
      <c r="H34" s="8">
        <f>G34/SUM($G$34:$G$69)</f>
        <v>5.7168991538989251E-2</v>
      </c>
      <c r="L34" s="4"/>
    </row>
    <row r="35" spans="1:12">
      <c r="A35" s="106"/>
      <c r="B35" s="5" t="s">
        <v>100</v>
      </c>
      <c r="C35" s="6"/>
      <c r="D35" s="7" t="s">
        <v>348</v>
      </c>
      <c r="E35" s="7"/>
      <c r="F35" s="7"/>
      <c r="L35" s="4"/>
    </row>
    <row r="36" spans="1:12">
      <c r="A36" s="106"/>
      <c r="B36" s="5" t="s">
        <v>97</v>
      </c>
      <c r="C36" s="25"/>
      <c r="D36" s="7" t="s">
        <v>349</v>
      </c>
      <c r="E36" s="7"/>
      <c r="F36" s="25"/>
      <c r="L36" s="4"/>
    </row>
    <row r="37" spans="1:12">
      <c r="A37" s="106"/>
      <c r="B37" s="5" t="s">
        <v>98</v>
      </c>
      <c r="C37" s="6"/>
      <c r="D37" s="7" t="s">
        <v>350</v>
      </c>
      <c r="E37" s="7"/>
      <c r="F37" s="7"/>
      <c r="L37" s="4"/>
    </row>
    <row r="38" spans="1:12">
      <c r="A38" s="106"/>
      <c r="B38" s="5" t="s">
        <v>95</v>
      </c>
      <c r="C38" s="6"/>
      <c r="D38" s="7" t="s">
        <v>351</v>
      </c>
      <c r="E38" s="7"/>
      <c r="F38" s="7"/>
      <c r="L38" s="4"/>
    </row>
    <row r="39" spans="1:12">
      <c r="A39" s="106"/>
      <c r="B39" s="5" t="s">
        <v>96</v>
      </c>
      <c r="C39" s="6"/>
      <c r="D39" s="7" t="s">
        <v>352</v>
      </c>
      <c r="E39" s="7"/>
      <c r="F39" s="7"/>
      <c r="L39" s="4"/>
    </row>
    <row r="40" spans="1:12">
      <c r="A40" s="106"/>
      <c r="B40" s="5" t="s">
        <v>99</v>
      </c>
      <c r="C40" s="6"/>
      <c r="D40" s="7" t="s">
        <v>353</v>
      </c>
      <c r="E40" s="7"/>
      <c r="F40" s="7"/>
      <c r="L40" s="4"/>
    </row>
    <row r="41" spans="1:12">
      <c r="A41" s="106"/>
      <c r="B41" s="5" t="s">
        <v>93</v>
      </c>
      <c r="C41" s="6"/>
      <c r="D41" s="7" t="s">
        <v>354</v>
      </c>
      <c r="E41" s="7"/>
      <c r="F41" s="7"/>
      <c r="L41" s="4"/>
    </row>
    <row r="42" spans="1:12">
      <c r="A42" s="106"/>
      <c r="B42" s="5" t="s">
        <v>94</v>
      </c>
      <c r="C42" s="6" t="s">
        <v>839</v>
      </c>
      <c r="D42" s="7" t="s">
        <v>355</v>
      </c>
      <c r="E42" s="7"/>
      <c r="F42" s="7">
        <v>1180</v>
      </c>
      <c r="G42" s="3">
        <f t="shared" si="0"/>
        <v>1180</v>
      </c>
      <c r="H42" s="8">
        <f t="shared" ref="H42:H69" si="4">G42/SUM($G$34:$G$69)</f>
        <v>2.6983764006402927E-2</v>
      </c>
      <c r="L42" s="4"/>
    </row>
    <row r="43" spans="1:12">
      <c r="A43" s="106"/>
      <c r="B43" s="5" t="s">
        <v>92</v>
      </c>
      <c r="C43" s="6"/>
      <c r="D43" s="7" t="s">
        <v>356</v>
      </c>
      <c r="E43" s="7"/>
      <c r="F43" s="7"/>
      <c r="L43" s="4"/>
    </row>
    <row r="44" spans="1:12" ht="45">
      <c r="A44" s="106"/>
      <c r="B44" s="5" t="s">
        <v>91</v>
      </c>
      <c r="C44" s="6" t="s">
        <v>838</v>
      </c>
      <c r="D44" s="7" t="s">
        <v>357</v>
      </c>
      <c r="E44" s="7">
        <v>2400</v>
      </c>
      <c r="F44" s="7">
        <f>1800+1000</f>
        <v>2800</v>
      </c>
      <c r="G44" s="3">
        <f t="shared" si="0"/>
        <v>5200</v>
      </c>
      <c r="H44" s="8">
        <f t="shared" si="4"/>
        <v>0.11891150240109764</v>
      </c>
      <c r="L44" s="4"/>
    </row>
    <row r="45" spans="1:12">
      <c r="A45" s="106"/>
      <c r="B45" s="5" t="s">
        <v>90</v>
      </c>
      <c r="C45" s="6" t="s">
        <v>358</v>
      </c>
      <c r="D45" s="7" t="s">
        <v>358</v>
      </c>
      <c r="E45" s="7">
        <v>3800</v>
      </c>
      <c r="F45" s="7"/>
      <c r="G45" s="3">
        <f t="shared" si="0"/>
        <v>3800</v>
      </c>
      <c r="H45" s="8">
        <f t="shared" si="4"/>
        <v>8.6896867139263659E-2</v>
      </c>
      <c r="L45" s="4"/>
    </row>
    <row r="46" spans="1:12">
      <c r="A46" s="106"/>
      <c r="B46" s="5" t="s">
        <v>89</v>
      </c>
      <c r="C46" s="6" t="s">
        <v>359</v>
      </c>
      <c r="D46" s="7" t="s">
        <v>359</v>
      </c>
      <c r="E46" s="7"/>
      <c r="F46" s="7">
        <v>1100</v>
      </c>
      <c r="G46" s="3">
        <f t="shared" si="0"/>
        <v>1100</v>
      </c>
      <c r="H46" s="8">
        <f t="shared" si="4"/>
        <v>2.515435627715527E-2</v>
      </c>
      <c r="L46" s="4"/>
    </row>
    <row r="47" spans="1:12">
      <c r="A47" s="106"/>
      <c r="B47" s="5" t="s">
        <v>88</v>
      </c>
      <c r="C47" s="6"/>
      <c r="D47" s="7" t="s">
        <v>360</v>
      </c>
      <c r="E47" s="7"/>
      <c r="F47" s="7"/>
      <c r="L47" s="4"/>
    </row>
    <row r="48" spans="1:12">
      <c r="A48" s="106"/>
      <c r="B48" s="5" t="s">
        <v>87</v>
      </c>
      <c r="C48" s="6" t="s">
        <v>801</v>
      </c>
      <c r="D48" s="7" t="s">
        <v>361</v>
      </c>
      <c r="E48" s="7"/>
      <c r="F48" s="7">
        <v>400</v>
      </c>
      <c r="G48" s="3">
        <f t="shared" si="0"/>
        <v>400</v>
      </c>
      <c r="H48" s="8">
        <f t="shared" si="4"/>
        <v>9.1470386462382796E-3</v>
      </c>
      <c r="L48" s="4"/>
    </row>
    <row r="49" spans="1:12">
      <c r="A49" s="106"/>
      <c r="B49" s="5" t="s">
        <v>86</v>
      </c>
      <c r="C49" s="6"/>
      <c r="D49" s="7" t="s">
        <v>362</v>
      </c>
      <c r="E49" s="7"/>
      <c r="F49" s="7"/>
      <c r="L49" s="4"/>
    </row>
    <row r="50" spans="1:12">
      <c r="A50" s="106"/>
      <c r="B50" s="5" t="s">
        <v>85</v>
      </c>
      <c r="C50" s="6"/>
      <c r="D50" s="7" t="s">
        <v>363</v>
      </c>
      <c r="E50" s="7"/>
      <c r="F50" s="7"/>
      <c r="L50" s="4"/>
    </row>
    <row r="51" spans="1:12" ht="30">
      <c r="A51" s="106"/>
      <c r="B51" s="5" t="s">
        <v>84</v>
      </c>
      <c r="C51" s="6" t="s">
        <v>842</v>
      </c>
      <c r="D51" s="7" t="s">
        <v>364</v>
      </c>
      <c r="E51" s="7">
        <v>5200</v>
      </c>
      <c r="F51" s="7">
        <v>1000</v>
      </c>
      <c r="G51" s="3">
        <f t="shared" si="0"/>
        <v>6200</v>
      </c>
      <c r="H51" s="8">
        <f t="shared" si="4"/>
        <v>0.14177909901669333</v>
      </c>
      <c r="L51" s="4"/>
    </row>
    <row r="52" spans="1:12">
      <c r="A52" s="106"/>
      <c r="B52" s="5" t="s">
        <v>83</v>
      </c>
      <c r="C52" s="6"/>
      <c r="D52" s="7" t="s">
        <v>365</v>
      </c>
      <c r="E52" s="7"/>
      <c r="F52" s="7"/>
      <c r="L52" s="4"/>
    </row>
    <row r="53" spans="1:12">
      <c r="A53" s="106"/>
      <c r="B53" s="5" t="s">
        <v>82</v>
      </c>
      <c r="C53" s="6"/>
      <c r="D53" s="7" t="s">
        <v>366</v>
      </c>
      <c r="E53" s="7"/>
      <c r="F53" s="7"/>
      <c r="L53" s="4"/>
    </row>
    <row r="54" spans="1:12" ht="30">
      <c r="A54" s="106"/>
      <c r="B54" s="5" t="s">
        <v>81</v>
      </c>
      <c r="C54" s="6" t="s">
        <v>841</v>
      </c>
      <c r="D54" s="7" t="s">
        <v>367</v>
      </c>
      <c r="E54" s="7"/>
      <c r="F54" s="7">
        <f>1100+620</f>
        <v>1720</v>
      </c>
      <c r="G54" s="3">
        <f t="shared" si="0"/>
        <v>1720</v>
      </c>
      <c r="H54" s="8">
        <f t="shared" si="4"/>
        <v>3.9332266178824606E-2</v>
      </c>
      <c r="L54" s="4"/>
    </row>
    <row r="55" spans="1:12">
      <c r="A55" s="106"/>
      <c r="B55" s="5" t="s">
        <v>78</v>
      </c>
      <c r="C55" s="3" t="s">
        <v>812</v>
      </c>
      <c r="D55" s="7" t="s">
        <v>368</v>
      </c>
      <c r="E55" s="7">
        <v>11560</v>
      </c>
      <c r="G55" s="3">
        <f t="shared" si="0"/>
        <v>11560</v>
      </c>
      <c r="H55" s="8">
        <f t="shared" si="4"/>
        <v>0.26434941687628633</v>
      </c>
      <c r="L55" s="4"/>
    </row>
    <row r="56" spans="1:12">
      <c r="A56" s="106"/>
      <c r="B56" s="5" t="s">
        <v>77</v>
      </c>
      <c r="C56" s="25"/>
      <c r="D56" s="7" t="s">
        <v>369</v>
      </c>
      <c r="E56" s="7"/>
      <c r="F56" s="25"/>
      <c r="L56" s="4"/>
    </row>
    <row r="57" spans="1:12">
      <c r="A57" s="106"/>
      <c r="B57" s="5" t="s">
        <v>76</v>
      </c>
      <c r="C57" s="6"/>
      <c r="D57" s="7" t="s">
        <v>370</v>
      </c>
      <c r="E57" s="7"/>
      <c r="F57" s="7"/>
      <c r="L57" s="4"/>
    </row>
    <row r="58" spans="1:12">
      <c r="A58" s="106"/>
      <c r="B58" s="5" t="s">
        <v>79</v>
      </c>
      <c r="C58" s="6"/>
      <c r="D58" s="7" t="s">
        <v>371</v>
      </c>
      <c r="E58" s="7"/>
      <c r="F58" s="7"/>
      <c r="L58" s="4"/>
    </row>
    <row r="59" spans="1:12" ht="30">
      <c r="A59" s="106"/>
      <c r="B59" s="5" t="s">
        <v>80</v>
      </c>
      <c r="C59" s="6" t="s">
        <v>802</v>
      </c>
      <c r="D59" s="7" t="s">
        <v>372</v>
      </c>
      <c r="E59" s="7"/>
      <c r="F59" s="7">
        <f>600+150+480</f>
        <v>1230</v>
      </c>
      <c r="G59" s="3">
        <f t="shared" si="0"/>
        <v>1230</v>
      </c>
      <c r="H59" s="8">
        <f t="shared" si="4"/>
        <v>2.8127143837182712E-2</v>
      </c>
      <c r="L59" s="4"/>
    </row>
    <row r="60" spans="1:12">
      <c r="A60" s="106"/>
      <c r="B60" s="5" t="s">
        <v>75</v>
      </c>
      <c r="C60" s="6"/>
      <c r="D60" s="7" t="s">
        <v>373</v>
      </c>
      <c r="E60" s="7"/>
      <c r="F60" s="7"/>
      <c r="L60" s="4"/>
    </row>
    <row r="61" spans="1:12">
      <c r="A61" s="106"/>
      <c r="B61" s="5" t="s">
        <v>73</v>
      </c>
      <c r="C61" s="6"/>
      <c r="D61" s="7" t="s">
        <v>374</v>
      </c>
      <c r="E61" s="7"/>
      <c r="F61" s="7"/>
      <c r="L61" s="4"/>
    </row>
    <row r="62" spans="1:12">
      <c r="A62" s="106"/>
      <c r="B62" s="5" t="s">
        <v>74</v>
      </c>
      <c r="D62" s="7" t="s">
        <v>375</v>
      </c>
      <c r="E62" s="7"/>
      <c r="L62" s="4"/>
    </row>
    <row r="63" spans="1:12" ht="45">
      <c r="A63" s="106"/>
      <c r="B63" s="5" t="s">
        <v>72</v>
      </c>
      <c r="C63" s="6" t="s">
        <v>837</v>
      </c>
      <c r="D63" s="7" t="s">
        <v>376</v>
      </c>
      <c r="E63" s="7">
        <f>2760+3240</f>
        <v>6000</v>
      </c>
      <c r="F63" s="7">
        <f>350+300</f>
        <v>650</v>
      </c>
      <c r="G63" s="3">
        <f t="shared" si="0"/>
        <v>6650</v>
      </c>
      <c r="H63" s="8">
        <f t="shared" si="4"/>
        <v>0.15206951749371142</v>
      </c>
      <c r="L63" s="4"/>
    </row>
    <row r="64" spans="1:12" ht="45">
      <c r="A64" s="106"/>
      <c r="B64" s="5" t="s">
        <v>69</v>
      </c>
      <c r="C64" s="6" t="s">
        <v>843</v>
      </c>
      <c r="D64" s="7" t="s">
        <v>377</v>
      </c>
      <c r="E64" s="7"/>
      <c r="F64" s="3">
        <f>90+100+900</f>
        <v>1090</v>
      </c>
      <c r="G64" s="3">
        <f t="shared" si="0"/>
        <v>1090</v>
      </c>
      <c r="H64" s="8">
        <f t="shared" si="4"/>
        <v>2.4925680310999315E-2</v>
      </c>
      <c r="L64" s="4"/>
    </row>
    <row r="65" spans="1:12">
      <c r="A65" s="106"/>
      <c r="B65" s="5" t="s">
        <v>70</v>
      </c>
      <c r="C65" s="6"/>
      <c r="D65" s="7" t="s">
        <v>378</v>
      </c>
      <c r="E65" s="7"/>
      <c r="F65" s="7"/>
      <c r="L65" s="4"/>
    </row>
    <row r="66" spans="1:12">
      <c r="A66" s="106"/>
      <c r="B66" s="5" t="s">
        <v>68</v>
      </c>
      <c r="D66" s="7" t="s">
        <v>379</v>
      </c>
      <c r="E66" s="7"/>
      <c r="L66" s="4"/>
    </row>
    <row r="67" spans="1:12">
      <c r="A67" s="106"/>
      <c r="B67" s="5" t="s">
        <v>71</v>
      </c>
      <c r="C67" s="6"/>
      <c r="D67" s="7" t="s">
        <v>380</v>
      </c>
      <c r="E67" s="7"/>
      <c r="F67" s="7"/>
      <c r="L67" s="4"/>
    </row>
    <row r="68" spans="1:12">
      <c r="A68" s="106"/>
      <c r="B68" s="5" t="s">
        <v>67</v>
      </c>
      <c r="D68" s="7" t="s">
        <v>381</v>
      </c>
      <c r="E68" s="7"/>
      <c r="L68" s="4"/>
    </row>
    <row r="69" spans="1:12">
      <c r="A69" s="106"/>
      <c r="B69" s="5" t="s">
        <v>66</v>
      </c>
      <c r="C69" s="6" t="s">
        <v>844</v>
      </c>
      <c r="D69" s="7" t="s">
        <v>382</v>
      </c>
      <c r="E69" s="7"/>
      <c r="F69" s="7">
        <v>1100</v>
      </c>
      <c r="G69" s="3">
        <f t="shared" ref="G69:G126" si="5">SUM($E69:$F69)</f>
        <v>1100</v>
      </c>
      <c r="H69" s="8">
        <f t="shared" si="4"/>
        <v>2.515435627715527E-2</v>
      </c>
      <c r="L69" s="4"/>
    </row>
    <row r="70" spans="1:12">
      <c r="A70" s="24" t="s">
        <v>622</v>
      </c>
      <c r="B70" s="5" t="s">
        <v>383</v>
      </c>
      <c r="C70" s="6"/>
      <c r="D70" s="7" t="s">
        <v>384</v>
      </c>
      <c r="E70" s="7"/>
      <c r="F70" s="7"/>
      <c r="H70" s="8">
        <v>1</v>
      </c>
      <c r="I70" s="82" t="s">
        <v>925</v>
      </c>
      <c r="L70" s="4"/>
    </row>
    <row r="71" spans="1:12">
      <c r="A71" s="106" t="s">
        <v>8</v>
      </c>
      <c r="B71" s="5" t="s">
        <v>106</v>
      </c>
      <c r="C71" s="6"/>
      <c r="D71" s="7" t="s">
        <v>385</v>
      </c>
      <c r="E71" s="7"/>
      <c r="F71" s="7"/>
      <c r="H71" s="8">
        <f>1/ROWS(B71:B73)</f>
        <v>0.33333333333333331</v>
      </c>
      <c r="I71" s="82" t="s">
        <v>925</v>
      </c>
      <c r="L71" s="4"/>
    </row>
    <row r="72" spans="1:12">
      <c r="A72" s="106"/>
      <c r="B72" s="5" t="s">
        <v>105</v>
      </c>
      <c r="C72" s="6"/>
      <c r="D72" s="7" t="s">
        <v>386</v>
      </c>
      <c r="E72" s="7"/>
      <c r="F72" s="7"/>
      <c r="H72" s="8">
        <f t="shared" ref="H72:H73" si="6">1/ROWS(B72:B74)</f>
        <v>0.33333333333333331</v>
      </c>
      <c r="I72" s="82" t="s">
        <v>925</v>
      </c>
      <c r="L72" s="4"/>
    </row>
    <row r="73" spans="1:12">
      <c r="A73" s="106"/>
      <c r="B73" s="5" t="s">
        <v>104</v>
      </c>
      <c r="C73" s="6"/>
      <c r="D73" s="7" t="s">
        <v>387</v>
      </c>
      <c r="E73" s="7"/>
      <c r="F73" s="7"/>
      <c r="H73" s="8">
        <f t="shared" si="6"/>
        <v>0.33333333333333331</v>
      </c>
      <c r="I73" s="82" t="s">
        <v>925</v>
      </c>
      <c r="L73" s="4"/>
    </row>
    <row r="74" spans="1:12" ht="30">
      <c r="A74" s="106" t="s">
        <v>9</v>
      </c>
      <c r="B74" s="5" t="s">
        <v>114</v>
      </c>
      <c r="C74" s="6" t="s">
        <v>847</v>
      </c>
      <c r="D74" s="7" t="s">
        <v>388</v>
      </c>
      <c r="E74" s="7"/>
      <c r="F74" s="7">
        <f>400+800</f>
        <v>1200</v>
      </c>
      <c r="G74" s="3">
        <f t="shared" si="5"/>
        <v>1200</v>
      </c>
      <c r="H74" s="8">
        <f>G74/SUM($G$74:$G$82)</f>
        <v>0.34782608695652173</v>
      </c>
      <c r="L74" s="4"/>
    </row>
    <row r="75" spans="1:12">
      <c r="A75" s="106"/>
      <c r="B75" s="5" t="s">
        <v>389</v>
      </c>
      <c r="C75" s="6"/>
      <c r="D75" s="7" t="s">
        <v>390</v>
      </c>
      <c r="E75" s="7"/>
      <c r="F75" s="7"/>
      <c r="L75" s="4"/>
    </row>
    <row r="76" spans="1:12">
      <c r="A76" s="106"/>
      <c r="B76" s="5" t="s">
        <v>391</v>
      </c>
      <c r="C76" s="6"/>
      <c r="D76" s="7" t="s">
        <v>392</v>
      </c>
      <c r="E76" s="7"/>
      <c r="F76" s="7"/>
    </row>
    <row r="77" spans="1:12">
      <c r="A77" s="106"/>
      <c r="B77" s="5" t="s">
        <v>393</v>
      </c>
      <c r="C77" s="6"/>
      <c r="D77" s="7" t="s">
        <v>394</v>
      </c>
      <c r="E77" s="7"/>
      <c r="F77" s="7"/>
    </row>
    <row r="78" spans="1:12">
      <c r="A78" s="106"/>
      <c r="B78" s="5" t="s">
        <v>115</v>
      </c>
      <c r="C78" s="6"/>
      <c r="D78" s="7" t="s">
        <v>395</v>
      </c>
      <c r="E78" s="7"/>
      <c r="F78" s="7"/>
    </row>
    <row r="79" spans="1:12">
      <c r="A79" s="106"/>
      <c r="B79" s="5" t="s">
        <v>110</v>
      </c>
      <c r="C79" s="6" t="s">
        <v>771</v>
      </c>
      <c r="D79" s="7" t="s">
        <v>396</v>
      </c>
      <c r="E79" s="7"/>
      <c r="F79" s="7">
        <v>600</v>
      </c>
      <c r="G79" s="3">
        <f t="shared" si="5"/>
        <v>600</v>
      </c>
      <c r="H79" s="8">
        <f t="shared" ref="H79:H82" si="7">G79/SUM($G$74:$G$82)</f>
        <v>0.17391304347826086</v>
      </c>
    </row>
    <row r="80" spans="1:12">
      <c r="A80" s="106"/>
      <c r="B80" s="5" t="s">
        <v>112</v>
      </c>
      <c r="C80" s="6"/>
      <c r="D80" s="7" t="s">
        <v>397</v>
      </c>
      <c r="E80" s="7"/>
      <c r="F80" s="7"/>
    </row>
    <row r="81" spans="1:8">
      <c r="A81" s="106"/>
      <c r="B81" s="5" t="s">
        <v>111</v>
      </c>
      <c r="C81" s="6"/>
      <c r="D81" s="7" t="s">
        <v>398</v>
      </c>
      <c r="E81" s="7"/>
      <c r="F81" s="7"/>
    </row>
    <row r="82" spans="1:8" ht="30">
      <c r="A82" s="106"/>
      <c r="B82" s="5" t="s">
        <v>107</v>
      </c>
      <c r="C82" s="6" t="s">
        <v>848</v>
      </c>
      <c r="D82" s="7" t="s">
        <v>399</v>
      </c>
      <c r="E82" s="7"/>
      <c r="F82" s="7">
        <f>1200+450</f>
        <v>1650</v>
      </c>
      <c r="G82" s="3">
        <f t="shared" si="5"/>
        <v>1650</v>
      </c>
      <c r="H82" s="8">
        <f t="shared" si="7"/>
        <v>0.47826086956521741</v>
      </c>
    </row>
    <row r="83" spans="1:8">
      <c r="A83" s="106"/>
      <c r="B83" s="5" t="s">
        <v>400</v>
      </c>
      <c r="C83" s="6"/>
      <c r="D83" s="7" t="s">
        <v>401</v>
      </c>
      <c r="E83" s="7"/>
      <c r="F83" s="7"/>
    </row>
    <row r="84" spans="1:8">
      <c r="A84" s="106"/>
      <c r="B84" s="5" t="s">
        <v>113</v>
      </c>
      <c r="C84" s="6"/>
      <c r="D84" s="7" t="s">
        <v>402</v>
      </c>
      <c r="E84" s="7"/>
      <c r="F84" s="7"/>
    </row>
    <row r="85" spans="1:8">
      <c r="A85" s="106"/>
      <c r="B85" s="5" t="s">
        <v>108</v>
      </c>
      <c r="C85" s="6"/>
      <c r="D85" s="7" t="s">
        <v>403</v>
      </c>
      <c r="E85" s="7"/>
      <c r="F85" s="7"/>
    </row>
    <row r="86" spans="1:8">
      <c r="A86" s="106"/>
      <c r="B86" s="5" t="s">
        <v>109</v>
      </c>
      <c r="C86" s="6"/>
      <c r="D86" s="7" t="s">
        <v>404</v>
      </c>
      <c r="E86" s="7"/>
      <c r="F86" s="7"/>
    </row>
    <row r="87" spans="1:8">
      <c r="A87" s="106" t="s">
        <v>10</v>
      </c>
      <c r="B87" s="5" t="s">
        <v>120</v>
      </c>
      <c r="C87" s="6" t="s">
        <v>867</v>
      </c>
      <c r="D87" s="7" t="s">
        <v>405</v>
      </c>
      <c r="E87" s="7"/>
      <c r="F87" s="7">
        <v>700</v>
      </c>
      <c r="G87" s="3">
        <f t="shared" si="5"/>
        <v>700</v>
      </c>
      <c r="H87" s="8">
        <f>G87/SUM($G$87:$G$105)</f>
        <v>3.108348134991119E-2</v>
      </c>
    </row>
    <row r="88" spans="1:8" ht="30">
      <c r="A88" s="106"/>
      <c r="B88" s="5" t="s">
        <v>117</v>
      </c>
      <c r="C88" s="6" t="s">
        <v>819</v>
      </c>
      <c r="D88" s="7" t="s">
        <v>406</v>
      </c>
      <c r="E88" s="7">
        <f>4200+1200</f>
        <v>5400</v>
      </c>
      <c r="F88" s="7"/>
      <c r="G88" s="3">
        <f t="shared" si="5"/>
        <v>5400</v>
      </c>
      <c r="H88" s="8">
        <f t="shared" ref="H88:H101" si="8">G88/SUM($G$87:$G$105)</f>
        <v>0.23978685612788633</v>
      </c>
    </row>
    <row r="89" spans="1:8" ht="30">
      <c r="A89" s="106"/>
      <c r="B89" s="5" t="s">
        <v>128</v>
      </c>
      <c r="C89" s="6" t="s">
        <v>868</v>
      </c>
      <c r="D89" s="7" t="s">
        <v>407</v>
      </c>
      <c r="E89" s="7"/>
      <c r="F89" s="7">
        <f>240+750</f>
        <v>990</v>
      </c>
      <c r="G89" s="3">
        <f t="shared" si="5"/>
        <v>990</v>
      </c>
      <c r="H89" s="8">
        <f t="shared" si="8"/>
        <v>4.3960923623445829E-2</v>
      </c>
    </row>
    <row r="90" spans="1:8" ht="120">
      <c r="A90" s="106"/>
      <c r="B90" s="5" t="s">
        <v>118</v>
      </c>
      <c r="C90" s="6" t="s">
        <v>869</v>
      </c>
      <c r="D90" s="7" t="s">
        <v>408</v>
      </c>
      <c r="E90" s="7"/>
      <c r="F90" s="7">
        <f>150+360+800+740+1100+400+130+2450+2000</f>
        <v>8130</v>
      </c>
      <c r="G90" s="3">
        <f t="shared" si="5"/>
        <v>8130</v>
      </c>
      <c r="H90" s="8">
        <f t="shared" si="8"/>
        <v>0.36101243339253997</v>
      </c>
    </row>
    <row r="91" spans="1:8">
      <c r="A91" s="106"/>
      <c r="B91" s="5" t="s">
        <v>123</v>
      </c>
      <c r="C91" s="6"/>
      <c r="D91" s="7" t="s">
        <v>409</v>
      </c>
      <c r="E91" s="7"/>
      <c r="F91" s="7"/>
    </row>
    <row r="92" spans="1:8">
      <c r="A92" s="106"/>
      <c r="B92" s="5" t="s">
        <v>119</v>
      </c>
      <c r="C92" s="6"/>
      <c r="D92" s="7" t="s">
        <v>410</v>
      </c>
      <c r="E92" s="7"/>
      <c r="F92" s="7"/>
    </row>
    <row r="93" spans="1:8">
      <c r="A93" s="106"/>
      <c r="B93" s="5" t="s">
        <v>129</v>
      </c>
      <c r="C93" s="6" t="s">
        <v>871</v>
      </c>
      <c r="D93" s="7" t="s">
        <v>411</v>
      </c>
      <c r="E93" s="7"/>
      <c r="F93" s="7">
        <v>500</v>
      </c>
      <c r="G93" s="3">
        <f t="shared" si="5"/>
        <v>500</v>
      </c>
      <c r="H93" s="8">
        <f t="shared" si="8"/>
        <v>2.2202486678507993E-2</v>
      </c>
    </row>
    <row r="94" spans="1:8">
      <c r="A94" s="106"/>
      <c r="B94" s="5" t="s">
        <v>124</v>
      </c>
      <c r="C94" s="6" t="s">
        <v>866</v>
      </c>
      <c r="D94" s="7" t="s">
        <v>412</v>
      </c>
      <c r="E94" s="7"/>
      <c r="F94" s="7">
        <v>600</v>
      </c>
      <c r="G94" s="3">
        <f t="shared" si="5"/>
        <v>600</v>
      </c>
      <c r="H94" s="8">
        <f t="shared" si="8"/>
        <v>2.664298401420959E-2</v>
      </c>
    </row>
    <row r="95" spans="1:8">
      <c r="A95" s="106"/>
      <c r="B95" s="5" t="s">
        <v>126</v>
      </c>
      <c r="C95" s="6"/>
      <c r="D95" s="7" t="s">
        <v>413</v>
      </c>
      <c r="E95" s="7"/>
      <c r="F95" s="7"/>
    </row>
    <row r="96" spans="1:8">
      <c r="A96" s="106"/>
      <c r="B96" s="5" t="s">
        <v>127</v>
      </c>
      <c r="C96" s="6"/>
      <c r="D96" s="7" t="s">
        <v>414</v>
      </c>
      <c r="E96" s="7"/>
      <c r="F96" s="7"/>
    </row>
    <row r="97" spans="1:8">
      <c r="A97" s="106"/>
      <c r="B97" s="5" t="s">
        <v>121</v>
      </c>
      <c r="C97" s="6"/>
      <c r="D97" s="7" t="s">
        <v>415</v>
      </c>
      <c r="E97" s="7"/>
      <c r="F97" s="7"/>
    </row>
    <row r="98" spans="1:8">
      <c r="A98" s="106"/>
      <c r="B98" s="5" t="s">
        <v>125</v>
      </c>
      <c r="C98" s="6" t="s">
        <v>865</v>
      </c>
      <c r="D98" s="7" t="s">
        <v>416</v>
      </c>
      <c r="E98" s="7"/>
      <c r="F98" s="7">
        <v>2400</v>
      </c>
      <c r="G98" s="3">
        <f t="shared" si="5"/>
        <v>2400</v>
      </c>
      <c r="H98" s="8">
        <f t="shared" si="8"/>
        <v>0.10657193605683836</v>
      </c>
    </row>
    <row r="99" spans="1:8">
      <c r="A99" s="106"/>
      <c r="B99" s="5" t="s">
        <v>122</v>
      </c>
      <c r="C99" s="6"/>
      <c r="D99" s="7" t="s">
        <v>417</v>
      </c>
      <c r="E99" s="7"/>
      <c r="F99" s="7"/>
    </row>
    <row r="100" spans="1:8">
      <c r="A100" s="106"/>
      <c r="B100" s="5" t="s">
        <v>418</v>
      </c>
      <c r="C100" s="6"/>
      <c r="D100" s="7" t="s">
        <v>419</v>
      </c>
      <c r="E100" s="7"/>
      <c r="F100" s="7"/>
    </row>
    <row r="101" spans="1:8" ht="45">
      <c r="A101" s="106"/>
      <c r="B101" s="5" t="s">
        <v>130</v>
      </c>
      <c r="C101" s="6" t="s">
        <v>870</v>
      </c>
      <c r="D101" s="7" t="s">
        <v>420</v>
      </c>
      <c r="E101" s="7"/>
      <c r="F101" s="7">
        <f>1300+1200+1300</f>
        <v>3800</v>
      </c>
      <c r="G101" s="3">
        <f t="shared" si="5"/>
        <v>3800</v>
      </c>
      <c r="H101" s="8">
        <f t="shared" si="8"/>
        <v>0.16873889875666073</v>
      </c>
    </row>
    <row r="102" spans="1:8">
      <c r="A102" s="106"/>
      <c r="B102" s="5" t="s">
        <v>116</v>
      </c>
      <c r="C102" s="6"/>
      <c r="D102" s="7" t="s">
        <v>421</v>
      </c>
      <c r="E102" s="7"/>
      <c r="F102" s="7"/>
    </row>
    <row r="103" spans="1:8">
      <c r="A103" s="106"/>
      <c r="B103" s="5" t="s">
        <v>422</v>
      </c>
      <c r="C103" s="6"/>
      <c r="D103" s="7" t="s">
        <v>423</v>
      </c>
      <c r="E103" s="7"/>
      <c r="F103" s="7"/>
    </row>
    <row r="104" spans="1:8">
      <c r="A104" s="106"/>
      <c r="B104" s="5" t="s">
        <v>424</v>
      </c>
      <c r="C104" s="6"/>
      <c r="D104" s="7" t="s">
        <v>425</v>
      </c>
      <c r="E104" s="7"/>
      <c r="F104" s="7"/>
    </row>
    <row r="105" spans="1:8">
      <c r="A105" s="106"/>
      <c r="B105" s="5" t="s">
        <v>426</v>
      </c>
      <c r="C105" s="6"/>
      <c r="D105" s="7" t="s">
        <v>427</v>
      </c>
      <c r="E105" s="7"/>
      <c r="F105" s="7"/>
    </row>
    <row r="106" spans="1:8" ht="45">
      <c r="A106" s="106" t="s">
        <v>11</v>
      </c>
      <c r="B106" s="5" t="s">
        <v>132</v>
      </c>
      <c r="C106" s="6" t="s">
        <v>833</v>
      </c>
      <c r="D106" s="7" t="s">
        <v>428</v>
      </c>
      <c r="E106" s="7"/>
      <c r="F106" s="7">
        <f>550+700+720</f>
        <v>1970</v>
      </c>
      <c r="G106" s="3">
        <f t="shared" si="5"/>
        <v>1970</v>
      </c>
      <c r="H106" s="8">
        <f>G106/SUM($G$106:$G$132)</f>
        <v>0.10434322033898305</v>
      </c>
    </row>
    <row r="107" spans="1:8">
      <c r="A107" s="106"/>
      <c r="B107" s="5" t="s">
        <v>143</v>
      </c>
      <c r="C107" s="6"/>
      <c r="D107" s="7" t="s">
        <v>429</v>
      </c>
      <c r="E107" s="7"/>
      <c r="F107" s="7"/>
    </row>
    <row r="108" spans="1:8" ht="30">
      <c r="A108" s="106"/>
      <c r="B108" s="5" t="s">
        <v>141</v>
      </c>
      <c r="C108" s="6" t="s">
        <v>800</v>
      </c>
      <c r="D108" s="7" t="s">
        <v>430</v>
      </c>
      <c r="E108" s="7"/>
      <c r="F108" s="7">
        <f>90+150</f>
        <v>240</v>
      </c>
      <c r="G108" s="3">
        <f t="shared" si="5"/>
        <v>240</v>
      </c>
      <c r="H108" s="8">
        <f t="shared" ref="H108:H126" si="9">G108/SUM($G$106:$G$132)</f>
        <v>1.2711864406779662E-2</v>
      </c>
    </row>
    <row r="109" spans="1:8">
      <c r="A109" s="106"/>
      <c r="B109" s="5" t="s">
        <v>138</v>
      </c>
      <c r="D109" s="7" t="s">
        <v>431</v>
      </c>
      <c r="E109" s="7"/>
      <c r="F109" s="7"/>
    </row>
    <row r="110" spans="1:8">
      <c r="A110" s="106"/>
      <c r="B110" s="10" t="s">
        <v>145</v>
      </c>
      <c r="C110" s="7"/>
      <c r="D110" s="11" t="s">
        <v>432</v>
      </c>
      <c r="E110" s="11"/>
      <c r="F110" s="11"/>
    </row>
    <row r="111" spans="1:8">
      <c r="A111" s="106"/>
      <c r="B111" s="10" t="s">
        <v>137</v>
      </c>
      <c r="C111" s="25"/>
      <c r="D111" s="11" t="s">
        <v>433</v>
      </c>
      <c r="E111" s="11"/>
      <c r="F111" s="11"/>
    </row>
    <row r="112" spans="1:8" ht="45">
      <c r="A112" s="106"/>
      <c r="B112" s="5" t="s">
        <v>134</v>
      </c>
      <c r="C112" s="25" t="s">
        <v>835</v>
      </c>
      <c r="D112" s="7" t="s">
        <v>434</v>
      </c>
      <c r="E112" s="7">
        <v>6750</v>
      </c>
      <c r="F112" s="7">
        <f>730+800</f>
        <v>1530</v>
      </c>
      <c r="G112" s="3">
        <f t="shared" si="5"/>
        <v>8280</v>
      </c>
      <c r="H112" s="8">
        <f t="shared" si="9"/>
        <v>0.4385593220338983</v>
      </c>
    </row>
    <row r="113" spans="1:8">
      <c r="A113" s="106"/>
      <c r="B113" s="5" t="s">
        <v>151</v>
      </c>
      <c r="C113" s="41"/>
      <c r="D113" s="7" t="s">
        <v>435</v>
      </c>
      <c r="E113" s="7"/>
      <c r="F113" s="7"/>
    </row>
    <row r="114" spans="1:8">
      <c r="A114" s="106"/>
      <c r="B114" s="5" t="s">
        <v>133</v>
      </c>
      <c r="C114" s="6"/>
      <c r="D114" s="7" t="s">
        <v>436</v>
      </c>
      <c r="E114" s="7"/>
      <c r="F114" s="7"/>
    </row>
    <row r="115" spans="1:8">
      <c r="A115" s="106"/>
      <c r="B115" s="5" t="s">
        <v>148</v>
      </c>
      <c r="C115" s="6"/>
      <c r="D115" s="7" t="s">
        <v>437</v>
      </c>
      <c r="E115" s="7"/>
      <c r="F115" s="7"/>
    </row>
    <row r="116" spans="1:8" ht="30">
      <c r="A116" s="106"/>
      <c r="B116" s="5" t="s">
        <v>135</v>
      </c>
      <c r="C116" s="6" t="s">
        <v>834</v>
      </c>
      <c r="D116" s="7" t="s">
        <v>438</v>
      </c>
      <c r="E116" s="7"/>
      <c r="F116" s="7">
        <f>460+800</f>
        <v>1260</v>
      </c>
      <c r="G116" s="3">
        <f t="shared" si="5"/>
        <v>1260</v>
      </c>
      <c r="H116" s="8">
        <f t="shared" si="9"/>
        <v>6.6737288135593223E-2</v>
      </c>
    </row>
    <row r="117" spans="1:8">
      <c r="A117" s="106"/>
      <c r="B117" s="5" t="s">
        <v>136</v>
      </c>
      <c r="C117" s="6"/>
      <c r="D117" s="7" t="s">
        <v>439</v>
      </c>
      <c r="E117" s="7"/>
      <c r="F117" s="7"/>
    </row>
    <row r="118" spans="1:8">
      <c r="A118" s="106"/>
      <c r="B118" s="5" t="s">
        <v>140</v>
      </c>
      <c r="C118" s="6"/>
      <c r="D118" s="7" t="s">
        <v>440</v>
      </c>
      <c r="E118" s="7"/>
      <c r="F118" s="7"/>
    </row>
    <row r="119" spans="1:8">
      <c r="A119" s="106"/>
      <c r="B119" s="5" t="s">
        <v>139</v>
      </c>
      <c r="C119" s="6" t="s">
        <v>832</v>
      </c>
      <c r="D119" s="7" t="s">
        <v>441</v>
      </c>
      <c r="E119" s="7"/>
      <c r="F119" s="7">
        <v>1200</v>
      </c>
      <c r="G119" s="3">
        <f t="shared" si="5"/>
        <v>1200</v>
      </c>
      <c r="H119" s="8">
        <f t="shared" si="9"/>
        <v>6.3559322033898302E-2</v>
      </c>
    </row>
    <row r="120" spans="1:8">
      <c r="A120" s="106"/>
      <c r="B120" s="5" t="s">
        <v>142</v>
      </c>
      <c r="C120" s="6"/>
      <c r="D120" s="7" t="s">
        <v>442</v>
      </c>
      <c r="E120" s="7"/>
      <c r="F120" s="7"/>
    </row>
    <row r="121" spans="1:8">
      <c r="A121" s="106"/>
      <c r="B121" s="5" t="s">
        <v>144</v>
      </c>
      <c r="C121" s="6"/>
      <c r="D121" s="7" t="s">
        <v>443</v>
      </c>
      <c r="E121" s="7"/>
      <c r="F121" s="7"/>
    </row>
    <row r="122" spans="1:8">
      <c r="A122" s="106"/>
      <c r="B122" s="5" t="s">
        <v>146</v>
      </c>
      <c r="C122" s="6"/>
      <c r="D122" s="7" t="s">
        <v>444</v>
      </c>
      <c r="E122" s="7"/>
      <c r="F122" s="7"/>
    </row>
    <row r="123" spans="1:8">
      <c r="A123" s="106"/>
      <c r="B123" s="5" t="s">
        <v>147</v>
      </c>
      <c r="C123" s="6"/>
      <c r="D123" s="7" t="s">
        <v>445</v>
      </c>
      <c r="E123" s="7"/>
      <c r="F123" s="7"/>
    </row>
    <row r="124" spans="1:8">
      <c r="A124" s="106"/>
      <c r="B124" s="5" t="s">
        <v>150</v>
      </c>
      <c r="C124" s="6"/>
      <c r="D124" s="7" t="s">
        <v>446</v>
      </c>
      <c r="E124" s="7"/>
      <c r="F124" s="7"/>
    </row>
    <row r="125" spans="1:8" ht="30">
      <c r="A125" s="106"/>
      <c r="B125" s="5" t="s">
        <v>152</v>
      </c>
      <c r="C125" s="6" t="s">
        <v>836</v>
      </c>
      <c r="D125" s="7" t="s">
        <v>447</v>
      </c>
      <c r="E125" s="7"/>
      <c r="F125" s="7">
        <f>100+250</f>
        <v>350</v>
      </c>
      <c r="G125" s="3">
        <f t="shared" si="5"/>
        <v>350</v>
      </c>
      <c r="H125" s="8">
        <f t="shared" si="9"/>
        <v>1.8538135593220338E-2</v>
      </c>
    </row>
    <row r="126" spans="1:8">
      <c r="A126" s="106"/>
      <c r="B126" s="5" t="s">
        <v>149</v>
      </c>
      <c r="C126" s="6" t="s">
        <v>811</v>
      </c>
      <c r="D126" s="7" t="s">
        <v>448</v>
      </c>
      <c r="E126" s="7">
        <v>5100</v>
      </c>
      <c r="F126" s="7">
        <v>480</v>
      </c>
      <c r="G126" s="3">
        <f t="shared" si="5"/>
        <v>5580</v>
      </c>
      <c r="H126" s="8">
        <f t="shared" si="9"/>
        <v>0.29555084745762711</v>
      </c>
    </row>
    <row r="127" spans="1:8">
      <c r="A127" s="106"/>
      <c r="B127" s="5" t="s">
        <v>131</v>
      </c>
      <c r="C127" s="6"/>
      <c r="D127" s="7" t="s">
        <v>449</v>
      </c>
      <c r="E127" s="7"/>
      <c r="F127" s="7"/>
    </row>
    <row r="128" spans="1:8">
      <c r="A128" s="106"/>
      <c r="B128" s="5" t="s">
        <v>450</v>
      </c>
      <c r="C128" s="6"/>
      <c r="D128" s="7" t="s">
        <v>451</v>
      </c>
      <c r="E128" s="7"/>
      <c r="F128" s="7"/>
    </row>
    <row r="129" spans="1:8">
      <c r="A129" s="106"/>
      <c r="B129" s="5" t="s">
        <v>452</v>
      </c>
      <c r="C129" s="6"/>
      <c r="D129" s="7" t="s">
        <v>453</v>
      </c>
      <c r="E129" s="7"/>
      <c r="F129" s="7"/>
    </row>
    <row r="130" spans="1:8">
      <c r="A130" s="106"/>
      <c r="B130" s="5" t="s">
        <v>454</v>
      </c>
      <c r="C130" s="6"/>
      <c r="D130" s="7" t="s">
        <v>455</v>
      </c>
      <c r="E130" s="7"/>
      <c r="F130" s="7"/>
    </row>
    <row r="131" spans="1:8">
      <c r="A131" s="106"/>
      <c r="B131" s="5" t="s">
        <v>456</v>
      </c>
      <c r="C131" s="6"/>
      <c r="D131" s="7" t="s">
        <v>457</v>
      </c>
      <c r="E131" s="7"/>
      <c r="F131" s="7"/>
    </row>
    <row r="132" spans="1:8">
      <c r="A132" s="106"/>
      <c r="B132" s="5" t="s">
        <v>458</v>
      </c>
      <c r="C132" s="6"/>
      <c r="D132" s="7" t="s">
        <v>459</v>
      </c>
      <c r="E132" s="7"/>
      <c r="F132" s="7"/>
    </row>
    <row r="133" spans="1:8">
      <c r="A133" s="106" t="s">
        <v>12</v>
      </c>
      <c r="B133" s="11" t="s">
        <v>460</v>
      </c>
      <c r="C133" s="7" t="s">
        <v>826</v>
      </c>
      <c r="D133" s="11" t="s">
        <v>461</v>
      </c>
      <c r="E133" s="11"/>
      <c r="F133" s="11">
        <v>350</v>
      </c>
      <c r="G133" s="3">
        <f t="shared" ref="G133:G195" si="10">SUM($E133:$F133)</f>
        <v>350</v>
      </c>
      <c r="H133" s="8">
        <f>G133/SUM($G$133:$G$134)</f>
        <v>0.65420560747663548</v>
      </c>
    </row>
    <row r="134" spans="1:8">
      <c r="A134" s="106"/>
      <c r="B134" s="5" t="s">
        <v>154</v>
      </c>
      <c r="C134" s="6" t="s">
        <v>827</v>
      </c>
      <c r="D134" s="7" t="s">
        <v>462</v>
      </c>
      <c r="E134" s="7"/>
      <c r="F134" s="7">
        <v>185</v>
      </c>
      <c r="G134" s="3">
        <f t="shared" si="10"/>
        <v>185</v>
      </c>
      <c r="H134" s="8">
        <f>G134/SUM($G$133:$G$134)</f>
        <v>0.34579439252336447</v>
      </c>
    </row>
    <row r="135" spans="1:8">
      <c r="A135" s="106"/>
      <c r="B135" s="5" t="s">
        <v>153</v>
      </c>
      <c r="C135" s="6"/>
      <c r="D135" s="7"/>
      <c r="E135" s="7"/>
      <c r="F135" s="7">
        <f>F133+F136+F137</f>
        <v>350</v>
      </c>
      <c r="G135" s="7">
        <f t="shared" ref="G135:H135" si="11">G133+G136+G137</f>
        <v>350</v>
      </c>
      <c r="H135" s="91">
        <f t="shared" si="11"/>
        <v>0.65420560747663548</v>
      </c>
    </row>
    <row r="136" spans="1:8">
      <c r="A136" s="106"/>
      <c r="B136" s="5" t="s">
        <v>463</v>
      </c>
      <c r="C136" s="6"/>
      <c r="D136" s="7" t="s">
        <v>464</v>
      </c>
      <c r="E136" s="7"/>
      <c r="F136" s="7"/>
    </row>
    <row r="137" spans="1:8">
      <c r="A137" s="106"/>
      <c r="B137" s="5" t="s">
        <v>465</v>
      </c>
      <c r="C137" s="6"/>
      <c r="D137" s="7" t="s">
        <v>466</v>
      </c>
      <c r="E137" s="7"/>
      <c r="F137" s="7"/>
    </row>
    <row r="138" spans="1:8">
      <c r="A138" s="106" t="s">
        <v>13</v>
      </c>
      <c r="B138" s="5" t="s">
        <v>163</v>
      </c>
      <c r="C138" s="6" t="s">
        <v>851</v>
      </c>
      <c r="D138" s="7" t="s">
        <v>467</v>
      </c>
      <c r="E138" s="7"/>
      <c r="F138" s="7">
        <v>600</v>
      </c>
      <c r="G138" s="3">
        <f t="shared" si="10"/>
        <v>600</v>
      </c>
      <c r="H138" s="8">
        <f>G138/SUM($G$138:$G$156)</f>
        <v>1.7636684303350969E-2</v>
      </c>
    </row>
    <row r="139" spans="1:8">
      <c r="A139" s="106"/>
      <c r="B139" s="5" t="s">
        <v>156</v>
      </c>
      <c r="C139" s="6" t="s">
        <v>803</v>
      </c>
      <c r="D139" s="7" t="s">
        <v>468</v>
      </c>
      <c r="E139" s="7"/>
      <c r="F139" s="7">
        <v>260</v>
      </c>
      <c r="G139" s="3">
        <f t="shared" si="10"/>
        <v>260</v>
      </c>
      <c r="H139" s="8">
        <f t="shared" ref="H139:H156" si="12">G139/SUM($G$138:$G$156)</f>
        <v>7.6425631981187538E-3</v>
      </c>
    </row>
    <row r="140" spans="1:8">
      <c r="A140" s="106"/>
      <c r="B140" s="5" t="s">
        <v>167</v>
      </c>
      <c r="C140" s="6"/>
      <c r="D140" s="7" t="s">
        <v>469</v>
      </c>
      <c r="E140" s="7"/>
      <c r="F140" s="7"/>
    </row>
    <row r="141" spans="1:8" ht="180">
      <c r="A141" s="106"/>
      <c r="B141" s="5" t="s">
        <v>166</v>
      </c>
      <c r="C141" s="6" t="s">
        <v>852</v>
      </c>
      <c r="D141" s="7" t="s">
        <v>470</v>
      </c>
      <c r="E141" s="7"/>
      <c r="F141" s="7">
        <f>100+1200+650+780+250+3850+700+1100+600+150+900+150+800+540</f>
        <v>11770</v>
      </c>
      <c r="G141" s="3">
        <f t="shared" si="10"/>
        <v>11770</v>
      </c>
      <c r="H141" s="8">
        <f t="shared" si="12"/>
        <v>0.34597295708406822</v>
      </c>
    </row>
    <row r="142" spans="1:8">
      <c r="A142" s="106"/>
      <c r="B142" s="5" t="s">
        <v>175</v>
      </c>
      <c r="C142" s="6"/>
      <c r="D142" s="7" t="s">
        <v>471</v>
      </c>
      <c r="E142" s="7"/>
      <c r="F142" s="7"/>
    </row>
    <row r="143" spans="1:8">
      <c r="A143" s="106"/>
      <c r="B143" s="5" t="s">
        <v>164</v>
      </c>
      <c r="C143" s="6"/>
      <c r="D143" s="7" t="s">
        <v>472</v>
      </c>
      <c r="E143" s="7"/>
      <c r="F143" s="7"/>
    </row>
    <row r="144" spans="1:8">
      <c r="A144" s="106"/>
      <c r="B144" s="5" t="s">
        <v>171</v>
      </c>
      <c r="C144" s="6"/>
      <c r="D144" s="7" t="s">
        <v>473</v>
      </c>
      <c r="E144" s="7"/>
      <c r="F144" s="7"/>
    </row>
    <row r="145" spans="1:9">
      <c r="A145" s="106"/>
      <c r="B145" s="5" t="s">
        <v>174</v>
      </c>
      <c r="C145" s="3" t="s">
        <v>814</v>
      </c>
      <c r="D145" s="7" t="s">
        <v>474</v>
      </c>
      <c r="E145" s="7">
        <v>11500</v>
      </c>
      <c r="F145" s="7"/>
      <c r="G145" s="3">
        <f t="shared" si="10"/>
        <v>11500</v>
      </c>
      <c r="H145" s="8">
        <f t="shared" si="12"/>
        <v>0.33803644914756026</v>
      </c>
    </row>
    <row r="146" spans="1:9">
      <c r="A146" s="106"/>
      <c r="B146" s="5" t="s">
        <v>173</v>
      </c>
      <c r="C146" s="6"/>
      <c r="D146" s="7" t="s">
        <v>475</v>
      </c>
      <c r="E146" s="7"/>
      <c r="F146" s="7"/>
    </row>
    <row r="147" spans="1:9">
      <c r="A147" s="106"/>
      <c r="B147" s="5" t="s">
        <v>172</v>
      </c>
      <c r="C147" s="6"/>
      <c r="D147" s="7" t="s">
        <v>476</v>
      </c>
      <c r="E147" s="7"/>
      <c r="F147" s="7"/>
    </row>
    <row r="148" spans="1:9">
      <c r="A148" s="106"/>
      <c r="B148" s="5" t="s">
        <v>161</v>
      </c>
      <c r="C148" s="3" t="s">
        <v>850</v>
      </c>
      <c r="D148" s="7" t="s">
        <v>477</v>
      </c>
      <c r="E148" s="7"/>
      <c r="F148" s="7">
        <v>500</v>
      </c>
      <c r="G148" s="3">
        <f t="shared" si="10"/>
        <v>500</v>
      </c>
      <c r="H148" s="8">
        <f t="shared" si="12"/>
        <v>1.4697236919459141E-2</v>
      </c>
    </row>
    <row r="149" spans="1:9">
      <c r="A149" s="106"/>
      <c r="B149" s="5" t="s">
        <v>162</v>
      </c>
      <c r="C149" s="6"/>
      <c r="D149" s="7" t="s">
        <v>478</v>
      </c>
      <c r="E149" s="7"/>
      <c r="F149" s="7"/>
      <c r="H149" s="8">
        <f t="shared" si="12"/>
        <v>0</v>
      </c>
    </row>
    <row r="150" spans="1:9" ht="30">
      <c r="A150" s="106"/>
      <c r="B150" s="5" t="s">
        <v>158</v>
      </c>
      <c r="C150" s="6" t="s">
        <v>804</v>
      </c>
      <c r="D150" s="7" t="s">
        <v>479</v>
      </c>
      <c r="E150" s="7"/>
      <c r="F150" s="7">
        <v>200</v>
      </c>
      <c r="G150" s="3">
        <f t="shared" si="10"/>
        <v>200</v>
      </c>
      <c r="H150" s="8">
        <f t="shared" si="12"/>
        <v>5.8788947677836569E-3</v>
      </c>
    </row>
    <row r="151" spans="1:9">
      <c r="A151" s="106"/>
      <c r="B151" s="5" t="s">
        <v>159</v>
      </c>
      <c r="C151" s="6" t="s">
        <v>849</v>
      </c>
      <c r="D151" s="7" t="s">
        <v>480</v>
      </c>
      <c r="E151" s="7"/>
      <c r="F151" s="7">
        <v>600</v>
      </c>
      <c r="G151" s="3">
        <f t="shared" si="10"/>
        <v>600</v>
      </c>
      <c r="H151" s="8">
        <f t="shared" si="12"/>
        <v>1.7636684303350969E-2</v>
      </c>
    </row>
    <row r="152" spans="1:9" ht="75">
      <c r="A152" s="106"/>
      <c r="B152" s="5" t="s">
        <v>155</v>
      </c>
      <c r="C152" s="25" t="s">
        <v>853</v>
      </c>
      <c r="D152" s="7" t="s">
        <v>481</v>
      </c>
      <c r="E152" s="7"/>
      <c r="F152" s="7">
        <f>600+2200+450+1250+170+1200</f>
        <v>5870</v>
      </c>
      <c r="G152" s="3">
        <f t="shared" si="10"/>
        <v>5870</v>
      </c>
      <c r="H152" s="8">
        <f t="shared" si="12"/>
        <v>0.17254556143445032</v>
      </c>
    </row>
    <row r="153" spans="1:9">
      <c r="A153" s="106"/>
      <c r="B153" s="5" t="s">
        <v>169</v>
      </c>
      <c r="C153" s="6" t="s">
        <v>806</v>
      </c>
      <c r="D153" s="7" t="s">
        <v>482</v>
      </c>
      <c r="E153" s="7"/>
      <c r="F153" s="7">
        <f>500+770</f>
        <v>1270</v>
      </c>
      <c r="G153" s="3">
        <f t="shared" si="10"/>
        <v>1270</v>
      </c>
      <c r="H153" s="8">
        <f t="shared" si="12"/>
        <v>3.7330981775426222E-2</v>
      </c>
    </row>
    <row r="154" spans="1:9">
      <c r="A154" s="106"/>
      <c r="B154" s="5" t="s">
        <v>170</v>
      </c>
      <c r="C154" s="6"/>
      <c r="D154" s="7" t="s">
        <v>483</v>
      </c>
      <c r="E154" s="7"/>
      <c r="F154" s="7"/>
    </row>
    <row r="155" spans="1:9">
      <c r="A155" s="106"/>
      <c r="B155" s="5" t="s">
        <v>160</v>
      </c>
      <c r="C155" s="6"/>
      <c r="D155" s="7" t="s">
        <v>484</v>
      </c>
      <c r="E155" s="7"/>
      <c r="F155" s="7"/>
    </row>
    <row r="156" spans="1:9">
      <c r="A156" s="106"/>
      <c r="B156" s="5" t="s">
        <v>157</v>
      </c>
      <c r="C156" s="6" t="s">
        <v>805</v>
      </c>
      <c r="D156" s="7" t="s">
        <v>485</v>
      </c>
      <c r="E156" s="7"/>
      <c r="F156" s="7">
        <v>1450</v>
      </c>
      <c r="G156" s="3">
        <f t="shared" si="10"/>
        <v>1450</v>
      </c>
      <c r="H156" s="8">
        <f t="shared" si="12"/>
        <v>4.2621987066431513E-2</v>
      </c>
    </row>
    <row r="157" spans="1:9">
      <c r="A157" s="106"/>
      <c r="B157" s="5" t="s">
        <v>165</v>
      </c>
      <c r="C157" s="6"/>
      <c r="D157" s="7" t="s">
        <v>486</v>
      </c>
      <c r="E157" s="7"/>
      <c r="F157" s="7"/>
    </row>
    <row r="158" spans="1:9">
      <c r="A158" s="106"/>
      <c r="B158" s="5" t="s">
        <v>168</v>
      </c>
      <c r="C158" s="6"/>
      <c r="D158" s="7" t="s">
        <v>487</v>
      </c>
      <c r="E158" s="7"/>
      <c r="F158" s="7"/>
    </row>
    <row r="159" spans="1:9">
      <c r="A159" s="26" t="s">
        <v>623</v>
      </c>
      <c r="B159" s="5" t="s">
        <v>488</v>
      </c>
      <c r="C159" s="6"/>
      <c r="D159" s="7" t="s">
        <v>489</v>
      </c>
      <c r="E159" s="7"/>
      <c r="F159" s="7"/>
      <c r="H159" s="8">
        <v>1</v>
      </c>
      <c r="I159" s="82" t="s">
        <v>925</v>
      </c>
    </row>
    <row r="160" spans="1:9">
      <c r="A160" s="26" t="s">
        <v>14</v>
      </c>
      <c r="B160" s="5" t="s">
        <v>176</v>
      </c>
      <c r="C160" s="6"/>
      <c r="D160" s="7" t="s">
        <v>490</v>
      </c>
      <c r="E160" s="7"/>
      <c r="F160" s="7"/>
      <c r="H160" s="8">
        <v>1</v>
      </c>
      <c r="I160" s="82" t="s">
        <v>925</v>
      </c>
    </row>
    <row r="161" spans="1:9">
      <c r="A161" s="106" t="s">
        <v>1164</v>
      </c>
      <c r="B161" s="5" t="s">
        <v>491</v>
      </c>
      <c r="C161" s="6"/>
      <c r="D161" s="7" t="s">
        <v>492</v>
      </c>
      <c r="E161" s="7"/>
      <c r="F161" s="7"/>
      <c r="H161" s="8">
        <v>0.5</v>
      </c>
      <c r="I161" s="82" t="s">
        <v>925</v>
      </c>
    </row>
    <row r="162" spans="1:9">
      <c r="A162" s="106"/>
      <c r="B162" s="5" t="s">
        <v>493</v>
      </c>
      <c r="C162" s="6"/>
      <c r="D162" s="7" t="s">
        <v>494</v>
      </c>
      <c r="E162" s="7"/>
      <c r="F162" s="7"/>
      <c r="H162" s="8">
        <v>0.5</v>
      </c>
      <c r="I162" s="82" t="s">
        <v>925</v>
      </c>
    </row>
    <row r="163" spans="1:9">
      <c r="A163" s="26" t="s">
        <v>15</v>
      </c>
      <c r="B163" s="5" t="s">
        <v>177</v>
      </c>
      <c r="C163" s="6" t="s">
        <v>845</v>
      </c>
      <c r="D163" s="7" t="s">
        <v>15</v>
      </c>
      <c r="E163" s="7"/>
      <c r="F163" s="7">
        <v>2250</v>
      </c>
      <c r="G163" s="3">
        <f t="shared" si="10"/>
        <v>2250</v>
      </c>
      <c r="H163" s="8">
        <v>1</v>
      </c>
    </row>
    <row r="164" spans="1:9">
      <c r="A164" s="106" t="s">
        <v>16</v>
      </c>
      <c r="B164" s="5" t="s">
        <v>182</v>
      </c>
      <c r="C164" s="6"/>
      <c r="D164" s="7" t="s">
        <v>495</v>
      </c>
      <c r="E164" s="7"/>
      <c r="F164" s="7"/>
    </row>
    <row r="165" spans="1:9">
      <c r="A165" s="106"/>
      <c r="B165" s="5" t="s">
        <v>181</v>
      </c>
      <c r="C165" s="6"/>
      <c r="D165" s="7" t="s">
        <v>496</v>
      </c>
      <c r="E165" s="7"/>
      <c r="F165" s="7"/>
    </row>
    <row r="166" spans="1:9">
      <c r="A166" s="106"/>
      <c r="B166" s="5" t="s">
        <v>180</v>
      </c>
      <c r="C166" s="6" t="s">
        <v>813</v>
      </c>
      <c r="D166" s="7" t="s">
        <v>497</v>
      </c>
      <c r="E166" s="7">
        <v>1650</v>
      </c>
      <c r="F166" s="7"/>
      <c r="G166" s="3">
        <f t="shared" si="10"/>
        <v>1650</v>
      </c>
      <c r="H166" s="8">
        <f>G166/SUM($G$166:$G$169)</f>
        <v>0.80487804878048785</v>
      </c>
    </row>
    <row r="167" spans="1:9">
      <c r="A167" s="106"/>
      <c r="B167" s="5" t="s">
        <v>179</v>
      </c>
      <c r="C167" s="6"/>
      <c r="D167" s="7" t="s">
        <v>498</v>
      </c>
      <c r="E167" s="7"/>
      <c r="F167" s="7"/>
    </row>
    <row r="168" spans="1:9">
      <c r="A168" s="106"/>
      <c r="B168" s="5" t="s">
        <v>184</v>
      </c>
      <c r="C168" s="6"/>
      <c r="D168" s="7" t="s">
        <v>499</v>
      </c>
      <c r="E168" s="7"/>
      <c r="F168" s="7"/>
    </row>
    <row r="169" spans="1:9">
      <c r="A169" s="106"/>
      <c r="B169" s="5" t="s">
        <v>183</v>
      </c>
      <c r="C169" s="3" t="s">
        <v>846</v>
      </c>
      <c r="D169" s="7" t="s">
        <v>500</v>
      </c>
      <c r="E169" s="7"/>
      <c r="F169" s="7">
        <v>400</v>
      </c>
      <c r="G169" s="3">
        <f t="shared" si="10"/>
        <v>400</v>
      </c>
      <c r="H169" s="8">
        <f t="shared" ref="H169" si="13">G169/SUM($G$166:$G$169)</f>
        <v>0.1951219512195122</v>
      </c>
    </row>
    <row r="170" spans="1:9">
      <c r="A170" s="106"/>
      <c r="B170" s="5" t="s">
        <v>178</v>
      </c>
      <c r="C170" s="6"/>
      <c r="D170" s="7" t="s">
        <v>501</v>
      </c>
      <c r="E170" s="7"/>
      <c r="F170" s="7"/>
    </row>
    <row r="171" spans="1:9">
      <c r="A171" s="106"/>
      <c r="B171" s="5" t="s">
        <v>185</v>
      </c>
      <c r="C171" s="6"/>
      <c r="D171" s="7" t="s">
        <v>502</v>
      </c>
      <c r="E171" s="7"/>
      <c r="F171" s="7"/>
    </row>
    <row r="172" spans="1:9">
      <c r="A172" s="26" t="s">
        <v>504</v>
      </c>
      <c r="B172" s="5" t="s">
        <v>503</v>
      </c>
      <c r="C172" s="6"/>
      <c r="D172" s="7" t="s">
        <v>504</v>
      </c>
      <c r="E172" s="7"/>
      <c r="F172" s="7"/>
      <c r="H172" s="8">
        <v>1</v>
      </c>
      <c r="I172" s="82" t="s">
        <v>925</v>
      </c>
    </row>
    <row r="173" spans="1:9">
      <c r="A173" s="106" t="s">
        <v>17</v>
      </c>
      <c r="B173" s="5" t="s">
        <v>193</v>
      </c>
      <c r="C173" s="6"/>
      <c r="D173" s="7" t="s">
        <v>505</v>
      </c>
      <c r="E173" s="7"/>
      <c r="F173" s="7"/>
    </row>
    <row r="174" spans="1:9">
      <c r="A174" s="106"/>
      <c r="B174" s="5" t="s">
        <v>195</v>
      </c>
      <c r="C174" s="6"/>
      <c r="D174" s="7" t="s">
        <v>506</v>
      </c>
      <c r="E174" s="7"/>
      <c r="F174" s="7"/>
    </row>
    <row r="175" spans="1:9">
      <c r="A175" s="106"/>
      <c r="B175" s="5" t="s">
        <v>197</v>
      </c>
      <c r="C175" s="6"/>
      <c r="D175" s="7" t="s">
        <v>507</v>
      </c>
      <c r="E175" s="7"/>
      <c r="F175" s="7"/>
    </row>
    <row r="176" spans="1:9">
      <c r="A176" s="106"/>
      <c r="B176" s="5" t="s">
        <v>188</v>
      </c>
      <c r="C176" s="6"/>
      <c r="D176" s="7" t="s">
        <v>508</v>
      </c>
      <c r="E176" s="7"/>
      <c r="F176" s="7"/>
    </row>
    <row r="177" spans="1:8">
      <c r="A177" s="106"/>
      <c r="B177" s="5" t="s">
        <v>194</v>
      </c>
      <c r="C177" s="6"/>
      <c r="D177" s="7" t="s">
        <v>509</v>
      </c>
      <c r="E177" s="7"/>
      <c r="F177" s="7"/>
    </row>
    <row r="178" spans="1:8">
      <c r="A178" s="106"/>
      <c r="B178" s="5" t="s">
        <v>196</v>
      </c>
      <c r="C178" s="6"/>
      <c r="D178" s="7" t="s">
        <v>510</v>
      </c>
      <c r="E178" s="7"/>
      <c r="F178" s="7"/>
    </row>
    <row r="179" spans="1:8">
      <c r="A179" s="106"/>
      <c r="B179" s="5" t="s">
        <v>190</v>
      </c>
      <c r="C179" s="6"/>
      <c r="D179" s="7" t="s">
        <v>511</v>
      </c>
      <c r="E179" s="7"/>
      <c r="F179" s="7"/>
    </row>
    <row r="180" spans="1:8">
      <c r="A180" s="106"/>
      <c r="B180" s="5" t="s">
        <v>189</v>
      </c>
      <c r="C180" s="6" t="s">
        <v>815</v>
      </c>
      <c r="D180" s="7" t="s">
        <v>512</v>
      </c>
      <c r="E180" s="7">
        <v>7500</v>
      </c>
      <c r="F180" s="7"/>
      <c r="G180" s="3">
        <f t="shared" si="10"/>
        <v>7500</v>
      </c>
      <c r="H180" s="8">
        <v>1</v>
      </c>
    </row>
    <row r="181" spans="1:8">
      <c r="A181" s="106"/>
      <c r="B181" s="5" t="s">
        <v>186</v>
      </c>
      <c r="C181" s="6"/>
      <c r="D181" s="7" t="s">
        <v>513</v>
      </c>
      <c r="E181" s="7"/>
      <c r="F181" s="7"/>
    </row>
    <row r="182" spans="1:8">
      <c r="A182" s="106"/>
      <c r="B182" s="5" t="s">
        <v>187</v>
      </c>
      <c r="D182" s="7" t="s">
        <v>514</v>
      </c>
      <c r="E182" s="7"/>
      <c r="F182" s="7"/>
    </row>
    <row r="183" spans="1:8">
      <c r="A183" s="106"/>
      <c r="B183" s="5" t="s">
        <v>191</v>
      </c>
      <c r="D183" s="7" t="s">
        <v>515</v>
      </c>
      <c r="E183" s="7"/>
      <c r="F183" s="7"/>
    </row>
    <row r="184" spans="1:8">
      <c r="A184" s="106"/>
      <c r="B184" s="5" t="s">
        <v>192</v>
      </c>
      <c r="D184" s="7" t="s">
        <v>516</v>
      </c>
      <c r="E184" s="7"/>
      <c r="F184" s="7"/>
    </row>
    <row r="185" spans="1:8">
      <c r="A185" s="106" t="s">
        <v>18</v>
      </c>
      <c r="B185" s="5" t="s">
        <v>206</v>
      </c>
      <c r="C185" s="6"/>
      <c r="D185" s="7" t="s">
        <v>517</v>
      </c>
      <c r="E185" s="7"/>
      <c r="F185" s="7"/>
    </row>
    <row r="186" spans="1:8">
      <c r="A186" s="106"/>
      <c r="B186" s="5" t="s">
        <v>204</v>
      </c>
      <c r="C186" s="6"/>
      <c r="D186" s="7" t="s">
        <v>518</v>
      </c>
      <c r="E186" s="7"/>
      <c r="F186" s="7"/>
    </row>
    <row r="187" spans="1:8">
      <c r="A187" s="106"/>
      <c r="B187" s="5" t="s">
        <v>203</v>
      </c>
      <c r="C187" s="6"/>
      <c r="D187" s="7" t="s">
        <v>519</v>
      </c>
      <c r="E187" s="7"/>
      <c r="F187" s="7"/>
    </row>
    <row r="188" spans="1:8">
      <c r="A188" s="106"/>
      <c r="B188" s="5" t="s">
        <v>205</v>
      </c>
      <c r="C188" s="6"/>
      <c r="D188" s="7" t="s">
        <v>520</v>
      </c>
      <c r="E188" s="7"/>
      <c r="F188" s="7"/>
    </row>
    <row r="189" spans="1:8" ht="60">
      <c r="A189" s="106"/>
      <c r="B189" s="5" t="s">
        <v>200</v>
      </c>
      <c r="C189" s="6" t="s">
        <v>824</v>
      </c>
      <c r="D189" s="7" t="s">
        <v>521</v>
      </c>
      <c r="E189" s="7">
        <v>1570</v>
      </c>
      <c r="F189" s="7">
        <f>365+180+300</f>
        <v>845</v>
      </c>
      <c r="G189" s="3">
        <f t="shared" si="10"/>
        <v>2415</v>
      </c>
      <c r="H189" s="42">
        <f>G189/SUM($G$189:$G$190)</f>
        <v>0.28698752228163993</v>
      </c>
    </row>
    <row r="190" spans="1:8">
      <c r="A190" s="106"/>
      <c r="B190" s="5" t="s">
        <v>202</v>
      </c>
      <c r="C190" s="6" t="s">
        <v>809</v>
      </c>
      <c r="D190" s="7" t="s">
        <v>522</v>
      </c>
      <c r="E190" s="7">
        <v>6000</v>
      </c>
      <c r="F190" s="7"/>
      <c r="G190" s="3">
        <f t="shared" si="10"/>
        <v>6000</v>
      </c>
      <c r="H190" s="42">
        <f>G190/SUM($G$189:$G$190)</f>
        <v>0.71301247771836007</v>
      </c>
    </row>
    <row r="191" spans="1:8">
      <c r="A191" s="106"/>
      <c r="B191" s="5" t="s">
        <v>201</v>
      </c>
      <c r="C191" s="6"/>
      <c r="D191" s="7" t="s">
        <v>523</v>
      </c>
      <c r="E191" s="7"/>
      <c r="F191" s="7"/>
    </row>
    <row r="192" spans="1:8">
      <c r="A192" s="106"/>
      <c r="B192" s="5" t="s">
        <v>199</v>
      </c>
      <c r="C192" s="6"/>
      <c r="D192" s="7" t="s">
        <v>524</v>
      </c>
      <c r="E192" s="7"/>
      <c r="F192" s="7"/>
    </row>
    <row r="193" spans="1:8">
      <c r="A193" s="106"/>
      <c r="B193" s="5" t="s">
        <v>198</v>
      </c>
      <c r="C193" s="6"/>
      <c r="D193" s="7" t="s">
        <v>525</v>
      </c>
      <c r="E193" s="7"/>
      <c r="F193" s="7"/>
    </row>
    <row r="194" spans="1:8">
      <c r="A194" s="106" t="s">
        <v>19</v>
      </c>
      <c r="B194" s="5" t="s">
        <v>219</v>
      </c>
      <c r="C194" s="6" t="s">
        <v>816</v>
      </c>
      <c r="D194" s="7" t="s">
        <v>526</v>
      </c>
      <c r="E194" s="7">
        <v>2600</v>
      </c>
      <c r="F194" s="7"/>
      <c r="G194" s="3">
        <f t="shared" si="10"/>
        <v>2600</v>
      </c>
      <c r="H194" s="8">
        <f>G194/SUM($G$194:$G$210)</f>
        <v>0.21505376344086022</v>
      </c>
    </row>
    <row r="195" spans="1:8" ht="90">
      <c r="A195" s="106"/>
      <c r="B195" s="5" t="s">
        <v>210</v>
      </c>
      <c r="C195" s="6" t="s">
        <v>857</v>
      </c>
      <c r="D195" s="7" t="s">
        <v>527</v>
      </c>
      <c r="E195" s="7">
        <v>5000</v>
      </c>
      <c r="F195" s="7">
        <f>145+800+250+65+1340</f>
        <v>2600</v>
      </c>
      <c r="G195" s="3">
        <f t="shared" si="10"/>
        <v>7600</v>
      </c>
      <c r="H195" s="8">
        <f t="shared" ref="H195:H209" si="14">G195/SUM($G$194:$G$210)</f>
        <v>0.62861869313482222</v>
      </c>
    </row>
    <row r="196" spans="1:8">
      <c r="A196" s="106"/>
      <c r="B196" s="5" t="s">
        <v>221</v>
      </c>
      <c r="C196" s="6"/>
      <c r="D196" s="7" t="s">
        <v>528</v>
      </c>
      <c r="E196" s="7"/>
      <c r="F196" s="7"/>
    </row>
    <row r="197" spans="1:8">
      <c r="A197" s="106"/>
      <c r="B197" s="5" t="s">
        <v>207</v>
      </c>
      <c r="C197" s="6"/>
      <c r="D197" s="7" t="s">
        <v>529</v>
      </c>
      <c r="E197" s="7"/>
      <c r="F197" s="7"/>
    </row>
    <row r="198" spans="1:8">
      <c r="A198" s="106"/>
      <c r="B198" s="5" t="s">
        <v>216</v>
      </c>
      <c r="C198" s="6"/>
      <c r="D198" s="7" t="s">
        <v>530</v>
      </c>
      <c r="E198" s="7"/>
      <c r="F198" s="7"/>
    </row>
    <row r="199" spans="1:8">
      <c r="A199" s="106"/>
      <c r="B199" s="5" t="s">
        <v>218</v>
      </c>
      <c r="C199" s="6"/>
      <c r="D199" s="7" t="s">
        <v>531</v>
      </c>
      <c r="E199" s="7"/>
      <c r="F199" s="7"/>
    </row>
    <row r="200" spans="1:8">
      <c r="A200" s="106"/>
      <c r="B200" s="5" t="s">
        <v>213</v>
      </c>
      <c r="C200" s="6"/>
      <c r="D200" s="7" t="s">
        <v>532</v>
      </c>
      <c r="E200" s="7"/>
      <c r="F200" s="7"/>
    </row>
    <row r="201" spans="1:8">
      <c r="A201" s="106"/>
      <c r="B201" s="5" t="s">
        <v>220</v>
      </c>
      <c r="C201" s="6"/>
      <c r="D201" s="7" t="s">
        <v>533</v>
      </c>
      <c r="E201" s="7"/>
      <c r="F201" s="7"/>
    </row>
    <row r="202" spans="1:8">
      <c r="A202" s="106"/>
      <c r="B202" s="5" t="s">
        <v>208</v>
      </c>
      <c r="C202" s="6"/>
      <c r="D202" s="7" t="s">
        <v>534</v>
      </c>
      <c r="E202" s="7"/>
      <c r="F202" s="7"/>
    </row>
    <row r="203" spans="1:8">
      <c r="A203" s="106"/>
      <c r="B203" s="5" t="s">
        <v>211</v>
      </c>
      <c r="C203" s="6"/>
      <c r="D203" s="7" t="s">
        <v>535</v>
      </c>
      <c r="E203" s="7"/>
      <c r="F203" s="7"/>
    </row>
    <row r="204" spans="1:8">
      <c r="A204" s="106"/>
      <c r="B204" s="5" t="s">
        <v>223</v>
      </c>
      <c r="C204" s="6"/>
      <c r="D204" s="7" t="s">
        <v>536</v>
      </c>
      <c r="E204" s="7"/>
      <c r="F204" s="7"/>
    </row>
    <row r="205" spans="1:8">
      <c r="A205" s="106"/>
      <c r="B205" s="5" t="s">
        <v>222</v>
      </c>
      <c r="C205" s="6" t="s">
        <v>854</v>
      </c>
      <c r="D205" s="7" t="s">
        <v>537</v>
      </c>
      <c r="E205" s="7"/>
      <c r="F205" s="7">
        <v>900</v>
      </c>
      <c r="G205" s="3">
        <f t="shared" ref="G205:G254" si="15">SUM($E205:$F205)</f>
        <v>900</v>
      </c>
      <c r="H205" s="8">
        <f t="shared" si="14"/>
        <v>7.4441687344913146E-2</v>
      </c>
    </row>
    <row r="206" spans="1:8">
      <c r="A206" s="106"/>
      <c r="B206" s="5" t="s">
        <v>217</v>
      </c>
      <c r="C206" s="6"/>
      <c r="D206" s="7" t="s">
        <v>538</v>
      </c>
      <c r="E206" s="7"/>
      <c r="F206" s="7"/>
    </row>
    <row r="207" spans="1:8">
      <c r="A207" s="106"/>
      <c r="B207" s="5" t="s">
        <v>209</v>
      </c>
      <c r="C207" s="6" t="s">
        <v>855</v>
      </c>
      <c r="D207" s="7" t="s">
        <v>539</v>
      </c>
      <c r="E207" s="7"/>
      <c r="F207" s="7">
        <v>240</v>
      </c>
      <c r="G207" s="3">
        <f t="shared" si="15"/>
        <v>240</v>
      </c>
      <c r="H207" s="8">
        <f t="shared" si="14"/>
        <v>1.9851116625310174E-2</v>
      </c>
    </row>
    <row r="208" spans="1:8">
      <c r="A208" s="106"/>
      <c r="B208" s="5" t="s">
        <v>212</v>
      </c>
      <c r="C208" s="6"/>
      <c r="D208" s="7" t="s">
        <v>540</v>
      </c>
      <c r="E208" s="7"/>
      <c r="F208" s="7"/>
    </row>
    <row r="209" spans="1:8">
      <c r="A209" s="106"/>
      <c r="B209" s="5" t="s">
        <v>214</v>
      </c>
      <c r="C209" s="6" t="s">
        <v>856</v>
      </c>
      <c r="D209" s="7" t="s">
        <v>541</v>
      </c>
      <c r="E209" s="7"/>
      <c r="F209" s="7">
        <v>750</v>
      </c>
      <c r="G209" s="3">
        <f t="shared" si="15"/>
        <v>750</v>
      </c>
      <c r="H209" s="8">
        <f t="shared" si="14"/>
        <v>6.2034739454094295E-2</v>
      </c>
    </row>
    <row r="210" spans="1:8">
      <c r="A210" s="106"/>
      <c r="B210" s="5" t="s">
        <v>215</v>
      </c>
      <c r="D210" s="7" t="s">
        <v>542</v>
      </c>
      <c r="E210" s="7"/>
      <c r="F210" s="7"/>
    </row>
    <row r="211" spans="1:8">
      <c r="A211" s="106" t="s">
        <v>20</v>
      </c>
      <c r="B211" s="5" t="s">
        <v>226</v>
      </c>
      <c r="C211" s="6" t="s">
        <v>858</v>
      </c>
      <c r="D211" s="7" t="s">
        <v>543</v>
      </c>
      <c r="E211" s="7"/>
      <c r="F211" s="7">
        <v>600</v>
      </c>
      <c r="G211" s="3">
        <f t="shared" si="15"/>
        <v>600</v>
      </c>
      <c r="H211" s="8">
        <f>G211/SUM($G$211:$G$214)</f>
        <v>0.35294117647058826</v>
      </c>
    </row>
    <row r="212" spans="1:8">
      <c r="A212" s="106"/>
      <c r="B212" s="5" t="s">
        <v>225</v>
      </c>
      <c r="C212" s="6"/>
      <c r="D212" s="7" t="s">
        <v>544</v>
      </c>
      <c r="E212" s="7"/>
      <c r="F212" s="7"/>
    </row>
    <row r="213" spans="1:8">
      <c r="A213" s="106"/>
      <c r="B213" s="5" t="s">
        <v>228</v>
      </c>
      <c r="C213" s="6"/>
      <c r="D213" s="7" t="s">
        <v>545</v>
      </c>
      <c r="E213" s="7"/>
      <c r="F213" s="7"/>
    </row>
    <row r="214" spans="1:8">
      <c r="A214" s="106"/>
      <c r="B214" s="5" t="s">
        <v>224</v>
      </c>
      <c r="C214" s="6" t="s">
        <v>859</v>
      </c>
      <c r="D214" s="7" t="s">
        <v>546</v>
      </c>
      <c r="E214" s="7"/>
      <c r="F214" s="7">
        <v>1100</v>
      </c>
      <c r="G214" s="3">
        <f t="shared" si="15"/>
        <v>1100</v>
      </c>
      <c r="H214" s="8">
        <f t="shared" ref="H214" si="16">G214/SUM($G$211:$G$214)</f>
        <v>0.6470588235294118</v>
      </c>
    </row>
    <row r="215" spans="1:8">
      <c r="A215" s="106"/>
      <c r="B215" s="5" t="s">
        <v>227</v>
      </c>
      <c r="D215" s="7" t="s">
        <v>547</v>
      </c>
      <c r="E215" s="7"/>
      <c r="F215" s="7"/>
    </row>
    <row r="216" spans="1:8">
      <c r="A216" s="106"/>
      <c r="B216" s="5" t="s">
        <v>548</v>
      </c>
      <c r="C216" s="6"/>
      <c r="D216" s="7" t="s">
        <v>549</v>
      </c>
      <c r="E216" s="7"/>
      <c r="F216" s="7"/>
    </row>
    <row r="217" spans="1:8">
      <c r="A217" s="106"/>
      <c r="B217" s="5" t="s">
        <v>550</v>
      </c>
      <c r="C217" s="6"/>
      <c r="D217" s="7" t="s">
        <v>551</v>
      </c>
      <c r="E217" s="7"/>
      <c r="F217" s="7"/>
    </row>
    <row r="218" spans="1:8">
      <c r="A218" s="106" t="s">
        <v>21</v>
      </c>
      <c r="B218" s="5" t="s">
        <v>231</v>
      </c>
      <c r="C218" s="6"/>
      <c r="D218" s="7" t="s">
        <v>552</v>
      </c>
      <c r="E218" s="7"/>
      <c r="F218" s="7"/>
    </row>
    <row r="219" spans="1:8">
      <c r="A219" s="106"/>
      <c r="B219" s="5" t="s">
        <v>236</v>
      </c>
      <c r="C219" s="6"/>
      <c r="D219" s="7" t="s">
        <v>553</v>
      </c>
      <c r="E219" s="7"/>
      <c r="F219" s="7"/>
    </row>
    <row r="220" spans="1:8">
      <c r="A220" s="106"/>
      <c r="B220" s="5" t="s">
        <v>232</v>
      </c>
      <c r="C220" s="6"/>
      <c r="D220" s="7" t="s">
        <v>554</v>
      </c>
      <c r="E220" s="7"/>
      <c r="F220" s="7"/>
    </row>
    <row r="221" spans="1:8">
      <c r="A221" s="106"/>
      <c r="B221" s="5" t="s">
        <v>230</v>
      </c>
      <c r="C221" s="6" t="s">
        <v>817</v>
      </c>
      <c r="D221" s="7" t="s">
        <v>555</v>
      </c>
      <c r="E221" s="7">
        <v>3200</v>
      </c>
      <c r="F221" s="7"/>
      <c r="G221" s="3">
        <f t="shared" si="15"/>
        <v>3200</v>
      </c>
      <c r="H221" s="8">
        <f>G221/SUM($G$221:$G$225)</f>
        <v>0.58181818181818179</v>
      </c>
    </row>
    <row r="222" spans="1:8">
      <c r="A222" s="106"/>
      <c r="B222" s="5" t="s">
        <v>234</v>
      </c>
      <c r="C222" s="6" t="s">
        <v>860</v>
      </c>
      <c r="D222" s="7" t="s">
        <v>556</v>
      </c>
      <c r="E222" s="7"/>
      <c r="F222" s="7">
        <v>470</v>
      </c>
      <c r="G222" s="3">
        <f t="shared" si="15"/>
        <v>470</v>
      </c>
      <c r="H222" s="8">
        <f t="shared" ref="H222:H225" si="17">G222/SUM($G$221:$G$225)</f>
        <v>8.545454545454545E-2</v>
      </c>
    </row>
    <row r="223" spans="1:8">
      <c r="A223" s="106"/>
      <c r="B223" s="5" t="s">
        <v>233</v>
      </c>
      <c r="C223" s="6"/>
      <c r="D223" s="7" t="s">
        <v>557</v>
      </c>
      <c r="E223" s="7"/>
      <c r="F223" s="7"/>
    </row>
    <row r="224" spans="1:8">
      <c r="A224" s="106"/>
      <c r="B224" s="5" t="s">
        <v>229</v>
      </c>
      <c r="C224" s="6"/>
      <c r="D224" s="7" t="s">
        <v>558</v>
      </c>
      <c r="E224" s="7"/>
      <c r="F224" s="7"/>
    </row>
    <row r="225" spans="1:8" ht="45">
      <c r="A225" s="106"/>
      <c r="B225" s="5" t="s">
        <v>235</v>
      </c>
      <c r="C225" s="6" t="s">
        <v>861</v>
      </c>
      <c r="D225" s="7" t="s">
        <v>559</v>
      </c>
      <c r="E225" s="7"/>
      <c r="F225" s="7">
        <f>550+830+450</f>
        <v>1830</v>
      </c>
      <c r="G225" s="3">
        <f t="shared" si="15"/>
        <v>1830</v>
      </c>
      <c r="H225" s="8">
        <f t="shared" si="17"/>
        <v>0.3327272727272727</v>
      </c>
    </row>
    <row r="226" spans="1:8" ht="30">
      <c r="A226" s="106" t="s">
        <v>22</v>
      </c>
      <c r="B226" s="5" t="s">
        <v>237</v>
      </c>
      <c r="C226" s="6" t="s">
        <v>864</v>
      </c>
      <c r="D226" s="7" t="s">
        <v>560</v>
      </c>
      <c r="E226" s="7"/>
      <c r="F226" s="7">
        <f>150+140</f>
        <v>290</v>
      </c>
      <c r="G226" s="3">
        <f t="shared" si="15"/>
        <v>290</v>
      </c>
      <c r="H226" s="8">
        <f>G226/SUM(G$226:G$227)</f>
        <v>0.36708860759493672</v>
      </c>
    </row>
    <row r="227" spans="1:8">
      <c r="A227" s="106"/>
      <c r="B227" s="5" t="s">
        <v>238</v>
      </c>
      <c r="C227" s="6" t="s">
        <v>863</v>
      </c>
      <c r="D227" s="7" t="s">
        <v>561</v>
      </c>
      <c r="E227" s="7"/>
      <c r="F227" s="7">
        <v>500</v>
      </c>
      <c r="G227" s="3">
        <f t="shared" si="15"/>
        <v>500</v>
      </c>
      <c r="H227" s="8">
        <f>G227/SUM(G$226:G$227)</f>
        <v>0.63291139240506333</v>
      </c>
    </row>
    <row r="228" spans="1:8">
      <c r="A228" s="106" t="s">
        <v>23</v>
      </c>
      <c r="B228" s="5" t="s">
        <v>241</v>
      </c>
      <c r="C228" s="6"/>
      <c r="D228" s="7" t="s">
        <v>562</v>
      </c>
      <c r="E228" s="7"/>
      <c r="F228" s="7"/>
    </row>
    <row r="229" spans="1:8">
      <c r="A229" s="106"/>
      <c r="B229" s="5" t="s">
        <v>239</v>
      </c>
      <c r="C229" s="6"/>
      <c r="D229" s="7" t="s">
        <v>563</v>
      </c>
      <c r="E229" s="7"/>
      <c r="F229" s="7"/>
    </row>
    <row r="230" spans="1:8">
      <c r="A230" s="106"/>
      <c r="B230" s="5" t="s">
        <v>242</v>
      </c>
      <c r="C230" s="6" t="s">
        <v>862</v>
      </c>
      <c r="D230" s="7" t="s">
        <v>564</v>
      </c>
      <c r="E230" s="7"/>
      <c r="F230" s="7">
        <v>350</v>
      </c>
      <c r="G230" s="3">
        <f t="shared" si="15"/>
        <v>350</v>
      </c>
      <c r="H230" s="8">
        <f>G230/SUM(G$230:G$231)</f>
        <v>7.2164948453608241E-2</v>
      </c>
    </row>
    <row r="231" spans="1:8">
      <c r="A231" s="106"/>
      <c r="B231" s="5" t="s">
        <v>240</v>
      </c>
      <c r="C231" s="6" t="s">
        <v>818</v>
      </c>
      <c r="D231" s="7" t="s">
        <v>565</v>
      </c>
      <c r="E231" s="7">
        <v>4500</v>
      </c>
      <c r="F231" s="7"/>
      <c r="G231" s="3">
        <f t="shared" si="15"/>
        <v>4500</v>
      </c>
      <c r="H231" s="8">
        <f>G231/SUM(G$230:G$231)</f>
        <v>0.92783505154639179</v>
      </c>
    </row>
    <row r="232" spans="1:8">
      <c r="A232" s="106" t="s">
        <v>24</v>
      </c>
      <c r="B232" s="5" t="s">
        <v>243</v>
      </c>
      <c r="C232" s="6"/>
      <c r="D232" s="7" t="s">
        <v>566</v>
      </c>
      <c r="E232" s="7"/>
      <c r="F232" s="7"/>
    </row>
    <row r="233" spans="1:8">
      <c r="A233" s="106"/>
      <c r="B233" s="5" t="s">
        <v>245</v>
      </c>
      <c r="C233" s="6"/>
      <c r="D233" s="7" t="s">
        <v>567</v>
      </c>
      <c r="E233" s="7"/>
      <c r="F233" s="7"/>
    </row>
    <row r="234" spans="1:8">
      <c r="A234" s="106"/>
      <c r="B234" s="5" t="s">
        <v>244</v>
      </c>
      <c r="C234" s="6" t="s">
        <v>830</v>
      </c>
      <c r="D234" s="7" t="s">
        <v>568</v>
      </c>
      <c r="E234" s="7"/>
      <c r="F234" s="7">
        <v>360</v>
      </c>
      <c r="G234" s="3">
        <f t="shared" si="15"/>
        <v>360</v>
      </c>
      <c r="H234" s="8">
        <f>G234/SUM(G$234:G$235)</f>
        <v>8.4507042253521125E-2</v>
      </c>
    </row>
    <row r="235" spans="1:8" ht="30">
      <c r="A235" s="106"/>
      <c r="B235" s="5" t="s">
        <v>246</v>
      </c>
      <c r="C235" s="6" t="s">
        <v>831</v>
      </c>
      <c r="D235" s="7" t="s">
        <v>569</v>
      </c>
      <c r="E235" s="7">
        <v>2600</v>
      </c>
      <c r="F235" s="7">
        <v>1300</v>
      </c>
      <c r="G235" s="3">
        <f t="shared" si="15"/>
        <v>3900</v>
      </c>
      <c r="H235" s="8">
        <f>G235/SUM(G$234:G$235)</f>
        <v>0.91549295774647887</v>
      </c>
    </row>
    <row r="236" spans="1:8">
      <c r="A236" s="106"/>
      <c r="B236" s="5" t="s">
        <v>570</v>
      </c>
      <c r="C236" s="6"/>
      <c r="D236" s="7" t="s">
        <v>571</v>
      </c>
      <c r="E236" s="7"/>
      <c r="F236" s="7"/>
    </row>
    <row r="237" spans="1:8">
      <c r="A237" s="106" t="s">
        <v>25</v>
      </c>
      <c r="B237" s="5" t="s">
        <v>247</v>
      </c>
      <c r="C237" s="6"/>
      <c r="D237" s="7" t="s">
        <v>572</v>
      </c>
      <c r="E237" s="7"/>
      <c r="F237" s="7"/>
    </row>
    <row r="238" spans="1:8">
      <c r="A238" s="106"/>
      <c r="B238" s="5" t="s">
        <v>248</v>
      </c>
      <c r="C238" s="6" t="s">
        <v>821</v>
      </c>
      <c r="D238" s="7" t="s">
        <v>573</v>
      </c>
      <c r="E238" s="7">
        <v>1700</v>
      </c>
      <c r="F238" s="7"/>
      <c r="G238" s="3">
        <f t="shared" si="15"/>
        <v>1700</v>
      </c>
      <c r="H238" s="8">
        <f>G238/SUM(G$238:G$244)</f>
        <v>0.29335634167385677</v>
      </c>
    </row>
    <row r="239" spans="1:8">
      <c r="A239" s="106"/>
      <c r="B239" s="5" t="s">
        <v>252</v>
      </c>
      <c r="C239" s="6"/>
      <c r="D239" s="7" t="s">
        <v>574</v>
      </c>
      <c r="E239" s="7"/>
      <c r="F239" s="7"/>
    </row>
    <row r="240" spans="1:8">
      <c r="A240" s="106"/>
      <c r="B240" s="5" t="s">
        <v>254</v>
      </c>
      <c r="C240" s="6"/>
      <c r="D240" s="7" t="s">
        <v>575</v>
      </c>
      <c r="E240" s="7"/>
      <c r="F240" s="7"/>
    </row>
    <row r="241" spans="1:8">
      <c r="A241" s="106"/>
      <c r="B241" s="5" t="s">
        <v>251</v>
      </c>
      <c r="D241" s="7" t="s">
        <v>576</v>
      </c>
      <c r="E241" s="7"/>
      <c r="F241" s="7"/>
    </row>
    <row r="242" spans="1:8" ht="90">
      <c r="A242" s="106"/>
      <c r="B242" s="5" t="s">
        <v>253</v>
      </c>
      <c r="C242" s="6" t="s">
        <v>872</v>
      </c>
      <c r="D242" s="7" t="s">
        <v>577</v>
      </c>
      <c r="E242" s="7"/>
      <c r="F242" s="7">
        <f>500+95+120+500+200+480</f>
        <v>1895</v>
      </c>
      <c r="G242" s="3">
        <f t="shared" si="15"/>
        <v>1895</v>
      </c>
      <c r="H242" s="8">
        <f t="shared" ref="H242:H244" si="18">G242/SUM(G$238:G$244)</f>
        <v>0.32700603968938741</v>
      </c>
    </row>
    <row r="243" spans="1:8">
      <c r="A243" s="106"/>
      <c r="B243" s="5" t="s">
        <v>250</v>
      </c>
      <c r="C243" s="6"/>
      <c r="D243" s="7" t="s">
        <v>578</v>
      </c>
      <c r="E243" s="7"/>
      <c r="F243" s="7"/>
    </row>
    <row r="244" spans="1:8">
      <c r="A244" s="106"/>
      <c r="B244" s="5" t="s">
        <v>249</v>
      </c>
      <c r="C244" s="6" t="s">
        <v>820</v>
      </c>
      <c r="D244" s="7" t="s">
        <v>579</v>
      </c>
      <c r="E244" s="7">
        <v>2200</v>
      </c>
      <c r="F244" s="7"/>
      <c r="G244" s="3">
        <f t="shared" si="15"/>
        <v>2200</v>
      </c>
      <c r="H244" s="8">
        <f t="shared" si="18"/>
        <v>0.37963761863675582</v>
      </c>
    </row>
    <row r="245" spans="1:8">
      <c r="A245" s="106" t="s">
        <v>26</v>
      </c>
      <c r="B245" s="5" t="s">
        <v>294</v>
      </c>
      <c r="D245" s="7" t="s">
        <v>580</v>
      </c>
      <c r="E245" s="7"/>
      <c r="F245" s="7"/>
    </row>
    <row r="246" spans="1:8">
      <c r="A246" s="106"/>
      <c r="B246" s="5" t="s">
        <v>268</v>
      </c>
      <c r="C246" s="6"/>
      <c r="D246" s="7" t="s">
        <v>581</v>
      </c>
      <c r="E246" s="7"/>
      <c r="F246" s="7"/>
    </row>
    <row r="247" spans="1:8">
      <c r="A247" s="106"/>
      <c r="B247" s="5" t="s">
        <v>280</v>
      </c>
      <c r="C247" s="6"/>
      <c r="D247" s="7" t="s">
        <v>582</v>
      </c>
      <c r="E247" s="7"/>
      <c r="F247" s="7"/>
    </row>
    <row r="248" spans="1:8">
      <c r="A248" s="106"/>
      <c r="B248" s="5" t="s">
        <v>270</v>
      </c>
      <c r="C248" s="6"/>
      <c r="D248" s="7" t="s">
        <v>583</v>
      </c>
      <c r="E248" s="7"/>
      <c r="F248" s="7"/>
    </row>
    <row r="249" spans="1:8">
      <c r="A249" s="106"/>
      <c r="B249" s="5" t="s">
        <v>285</v>
      </c>
      <c r="C249" s="6"/>
      <c r="D249" s="7" t="s">
        <v>584</v>
      </c>
      <c r="E249" s="7"/>
      <c r="F249" s="7"/>
    </row>
    <row r="250" spans="1:8">
      <c r="A250" s="106"/>
      <c r="B250" s="5" t="s">
        <v>264</v>
      </c>
      <c r="C250" s="6"/>
      <c r="D250" s="7" t="s">
        <v>585</v>
      </c>
      <c r="E250" s="7"/>
      <c r="F250" s="7"/>
    </row>
    <row r="251" spans="1:8">
      <c r="A251" s="106"/>
      <c r="B251" s="5" t="s">
        <v>269</v>
      </c>
      <c r="C251" s="6"/>
      <c r="D251" s="7" t="s">
        <v>586</v>
      </c>
      <c r="E251" s="7"/>
      <c r="F251" s="7"/>
    </row>
    <row r="252" spans="1:8" ht="30">
      <c r="A252" s="106"/>
      <c r="B252" s="5" t="s">
        <v>277</v>
      </c>
      <c r="C252" s="6" t="s">
        <v>823</v>
      </c>
      <c r="D252" s="7" t="s">
        <v>587</v>
      </c>
      <c r="E252" s="7">
        <v>3200</v>
      </c>
      <c r="F252" s="7"/>
      <c r="G252" s="3">
        <f t="shared" si="15"/>
        <v>3200</v>
      </c>
      <c r="H252" s="8">
        <f>G252/SUM(G$252:G$279)</f>
        <v>0.28699551569506726</v>
      </c>
    </row>
    <row r="253" spans="1:8">
      <c r="A253" s="106"/>
      <c r="B253" s="5" t="s">
        <v>295</v>
      </c>
      <c r="C253" s="6"/>
      <c r="D253" s="7" t="s">
        <v>588</v>
      </c>
      <c r="E253" s="7"/>
      <c r="F253" s="7"/>
    </row>
    <row r="254" spans="1:8" ht="45">
      <c r="A254" s="106"/>
      <c r="B254" s="5" t="s">
        <v>266</v>
      </c>
      <c r="C254" s="6" t="s">
        <v>807</v>
      </c>
      <c r="D254" s="7" t="s">
        <v>589</v>
      </c>
      <c r="E254" s="7"/>
      <c r="F254" s="7">
        <f>1200+150+500</f>
        <v>1850</v>
      </c>
      <c r="G254" s="3">
        <f t="shared" si="15"/>
        <v>1850</v>
      </c>
      <c r="H254" s="8">
        <f t="shared" ref="H254:H279" si="19">G254/SUM(G$252:G$279)</f>
        <v>0.16591928251121077</v>
      </c>
    </row>
    <row r="255" spans="1:8">
      <c r="A255" s="106"/>
      <c r="B255" s="5" t="s">
        <v>263</v>
      </c>
      <c r="C255" s="6"/>
      <c r="D255" s="7" t="s">
        <v>590</v>
      </c>
      <c r="E255" s="7"/>
      <c r="F255" s="7"/>
    </row>
    <row r="256" spans="1:8">
      <c r="A256" s="106"/>
      <c r="B256" s="5" t="s">
        <v>279</v>
      </c>
      <c r="C256" s="6"/>
      <c r="D256" s="7" t="s">
        <v>591</v>
      </c>
      <c r="E256" s="7"/>
      <c r="F256" s="7"/>
    </row>
    <row r="257" spans="1:6" ht="30">
      <c r="A257" s="106"/>
      <c r="B257" s="5" t="s">
        <v>272</v>
      </c>
      <c r="C257" s="6"/>
      <c r="D257" s="7" t="s">
        <v>592</v>
      </c>
      <c r="E257" s="7"/>
      <c r="F257" s="7"/>
    </row>
    <row r="258" spans="1:6">
      <c r="A258" s="106"/>
      <c r="B258" s="5" t="s">
        <v>271</v>
      </c>
      <c r="C258" s="6"/>
      <c r="D258" s="7" t="s">
        <v>593</v>
      </c>
      <c r="E258" s="7"/>
      <c r="F258" s="7"/>
    </row>
    <row r="259" spans="1:6" ht="30">
      <c r="A259" s="106"/>
      <c r="B259" s="5" t="s">
        <v>275</v>
      </c>
      <c r="C259" s="6"/>
      <c r="D259" s="7" t="s">
        <v>594</v>
      </c>
      <c r="E259" s="7"/>
      <c r="F259" s="7"/>
    </row>
    <row r="260" spans="1:6">
      <c r="A260" s="106"/>
      <c r="B260" s="5" t="s">
        <v>267</v>
      </c>
      <c r="C260" s="6"/>
      <c r="D260" s="7" t="s">
        <v>595</v>
      </c>
      <c r="E260" s="7"/>
      <c r="F260" s="7"/>
    </row>
    <row r="261" spans="1:6">
      <c r="A261" s="106"/>
      <c r="B261" s="5" t="s">
        <v>274</v>
      </c>
      <c r="C261" s="6"/>
      <c r="D261" s="7" t="s">
        <v>596</v>
      </c>
      <c r="E261" s="7"/>
      <c r="F261" s="7"/>
    </row>
    <row r="262" spans="1:6">
      <c r="A262" s="106"/>
      <c r="B262" s="5" t="s">
        <v>282</v>
      </c>
      <c r="C262" s="6"/>
      <c r="D262" s="7" t="s">
        <v>597</v>
      </c>
      <c r="E262" s="7"/>
      <c r="F262" s="7"/>
    </row>
    <row r="263" spans="1:6">
      <c r="A263" s="106"/>
      <c r="B263" s="5" t="s">
        <v>287</v>
      </c>
      <c r="C263" s="6"/>
      <c r="D263" s="7" t="s">
        <v>598</v>
      </c>
      <c r="E263" s="7"/>
      <c r="F263" s="7"/>
    </row>
    <row r="264" spans="1:6">
      <c r="A264" s="106"/>
      <c r="B264" s="5" t="s">
        <v>265</v>
      </c>
      <c r="C264" s="6"/>
      <c r="D264" s="7" t="s">
        <v>599</v>
      </c>
      <c r="E264" s="7"/>
      <c r="F264" s="7"/>
    </row>
    <row r="265" spans="1:6">
      <c r="A265" s="106"/>
      <c r="B265" s="5" t="s">
        <v>293</v>
      </c>
      <c r="C265" s="6"/>
      <c r="D265" s="7" t="s">
        <v>600</v>
      </c>
      <c r="E265" s="7"/>
      <c r="F265" s="7"/>
    </row>
    <row r="266" spans="1:6">
      <c r="A266" s="106"/>
      <c r="B266" s="5" t="s">
        <v>292</v>
      </c>
      <c r="C266" s="6"/>
      <c r="D266" s="7" t="s">
        <v>601</v>
      </c>
      <c r="E266" s="7"/>
      <c r="F266" s="7"/>
    </row>
    <row r="267" spans="1:6">
      <c r="A267" s="106"/>
      <c r="B267" s="5" t="s">
        <v>291</v>
      </c>
      <c r="C267" s="6"/>
      <c r="D267" s="7" t="s">
        <v>602</v>
      </c>
      <c r="E267" s="7"/>
      <c r="F267" s="7"/>
    </row>
    <row r="268" spans="1:6">
      <c r="A268" s="106"/>
      <c r="B268" s="5" t="s">
        <v>290</v>
      </c>
      <c r="C268" s="6"/>
      <c r="D268" s="7" t="s">
        <v>603</v>
      </c>
      <c r="E268" s="7"/>
      <c r="F268" s="7"/>
    </row>
    <row r="269" spans="1:6" ht="30">
      <c r="A269" s="106"/>
      <c r="B269" s="5" t="s">
        <v>289</v>
      </c>
      <c r="C269" s="6"/>
      <c r="D269" s="7" t="s">
        <v>604</v>
      </c>
      <c r="E269" s="7"/>
      <c r="F269" s="7"/>
    </row>
    <row r="270" spans="1:6" ht="30">
      <c r="A270" s="106"/>
      <c r="B270" s="5" t="s">
        <v>286</v>
      </c>
      <c r="C270" s="6"/>
      <c r="D270" s="7" t="s">
        <v>605</v>
      </c>
      <c r="E270" s="7"/>
      <c r="F270" s="7"/>
    </row>
    <row r="271" spans="1:6">
      <c r="A271" s="106"/>
      <c r="B271" s="5" t="s">
        <v>283</v>
      </c>
      <c r="C271" s="6"/>
      <c r="D271" s="7" t="s">
        <v>606</v>
      </c>
      <c r="E271" s="7"/>
      <c r="F271" s="7"/>
    </row>
    <row r="272" spans="1:6">
      <c r="A272" s="106"/>
      <c r="B272" s="5" t="s">
        <v>276</v>
      </c>
      <c r="C272" s="6"/>
      <c r="D272" s="7" t="s">
        <v>607</v>
      </c>
      <c r="E272" s="7"/>
      <c r="F272" s="7"/>
    </row>
    <row r="273" spans="1:9">
      <c r="A273" s="106"/>
      <c r="B273" s="5" t="s">
        <v>273</v>
      </c>
      <c r="C273" s="6"/>
      <c r="D273" s="7" t="s">
        <v>608</v>
      </c>
      <c r="E273" s="7"/>
      <c r="F273" s="7"/>
    </row>
    <row r="274" spans="1:9" ht="30">
      <c r="A274" s="106"/>
      <c r="B274" s="5" t="s">
        <v>288</v>
      </c>
      <c r="C274" s="6"/>
      <c r="D274" s="7" t="s">
        <v>609</v>
      </c>
      <c r="E274" s="7"/>
      <c r="F274" s="7"/>
    </row>
    <row r="275" spans="1:9">
      <c r="A275" s="106"/>
      <c r="B275" s="5" t="s">
        <v>284</v>
      </c>
      <c r="C275" s="6"/>
      <c r="D275" s="7" t="s">
        <v>610</v>
      </c>
      <c r="E275" s="7"/>
      <c r="F275" s="7"/>
    </row>
    <row r="276" spans="1:9">
      <c r="A276" s="106"/>
      <c r="B276" s="5" t="s">
        <v>281</v>
      </c>
      <c r="C276" s="6"/>
      <c r="D276" s="7" t="s">
        <v>611</v>
      </c>
      <c r="E276" s="7"/>
      <c r="F276" s="7"/>
    </row>
    <row r="277" spans="1:9">
      <c r="A277" s="106"/>
      <c r="B277" s="5" t="s">
        <v>278</v>
      </c>
      <c r="C277" s="6"/>
      <c r="D277" s="7" t="s">
        <v>612</v>
      </c>
      <c r="E277" s="7"/>
      <c r="F277" s="7"/>
    </row>
    <row r="278" spans="1:9">
      <c r="A278" s="106"/>
      <c r="B278" s="5" t="s">
        <v>255</v>
      </c>
      <c r="C278" s="6" t="s">
        <v>822</v>
      </c>
      <c r="D278" s="7" t="s">
        <v>613</v>
      </c>
      <c r="E278" s="7">
        <v>4900</v>
      </c>
      <c r="F278" s="7"/>
      <c r="G278" s="3">
        <f t="shared" ref="G278:G279" si="20">SUM($E278:$F278)</f>
        <v>4900</v>
      </c>
      <c r="H278" s="8">
        <f t="shared" si="19"/>
        <v>0.43946188340807174</v>
      </c>
    </row>
    <row r="279" spans="1:9">
      <c r="A279" s="106"/>
      <c r="B279" s="5" t="s">
        <v>256</v>
      </c>
      <c r="C279" s="6" t="s">
        <v>873</v>
      </c>
      <c r="D279" s="7" t="s">
        <v>614</v>
      </c>
      <c r="E279" s="7"/>
      <c r="F279" s="7">
        <v>1200</v>
      </c>
      <c r="G279" s="3">
        <f t="shared" si="20"/>
        <v>1200</v>
      </c>
      <c r="H279" s="8">
        <f t="shared" si="19"/>
        <v>0.10762331838565023</v>
      </c>
    </row>
    <row r="280" spans="1:9">
      <c r="A280" s="106"/>
      <c r="B280" s="5" t="s">
        <v>261</v>
      </c>
      <c r="C280" s="6"/>
      <c r="D280" s="7" t="s">
        <v>615</v>
      </c>
      <c r="E280" s="7"/>
      <c r="F280" s="7"/>
    </row>
    <row r="281" spans="1:9">
      <c r="A281" s="106"/>
      <c r="B281" s="5" t="s">
        <v>259</v>
      </c>
      <c r="C281" s="6"/>
      <c r="D281" s="7" t="s">
        <v>616</v>
      </c>
      <c r="E281" s="7"/>
      <c r="F281" s="7"/>
    </row>
    <row r="282" spans="1:9">
      <c r="A282" s="106"/>
      <c r="B282" s="5" t="s">
        <v>260</v>
      </c>
      <c r="C282" s="25"/>
      <c r="D282" s="7" t="s">
        <v>617</v>
      </c>
      <c r="E282" s="7"/>
      <c r="F282" s="7"/>
    </row>
    <row r="283" spans="1:9">
      <c r="A283" s="106"/>
      <c r="B283" s="5" t="s">
        <v>258</v>
      </c>
      <c r="C283" s="6"/>
      <c r="D283" s="7" t="s">
        <v>618</v>
      </c>
      <c r="E283" s="7"/>
      <c r="F283" s="7"/>
    </row>
    <row r="284" spans="1:9">
      <c r="A284" s="106"/>
      <c r="B284" s="5" t="s">
        <v>257</v>
      </c>
      <c r="C284" s="6"/>
      <c r="D284" s="7" t="s">
        <v>619</v>
      </c>
      <c r="E284" s="7"/>
      <c r="F284" s="7"/>
    </row>
    <row r="285" spans="1:9">
      <c r="A285" s="106"/>
      <c r="B285" s="5" t="s">
        <v>262</v>
      </c>
      <c r="C285" s="6"/>
      <c r="D285" s="7" t="s">
        <v>620</v>
      </c>
      <c r="E285" s="7"/>
      <c r="F285" s="7"/>
    </row>
    <row r="286" spans="1:9">
      <c r="A286" s="106" t="s">
        <v>27</v>
      </c>
      <c r="B286" s="12" t="s">
        <v>298</v>
      </c>
      <c r="D286" s="11" t="s">
        <v>628</v>
      </c>
      <c r="E286" s="11"/>
      <c r="F286" s="11"/>
      <c r="H286" s="8">
        <f>1/7</f>
        <v>0.14285714285714285</v>
      </c>
      <c r="I286" s="73" t="s">
        <v>925</v>
      </c>
    </row>
    <row r="287" spans="1:9">
      <c r="A287" s="106"/>
      <c r="B287" s="11" t="s">
        <v>297</v>
      </c>
      <c r="D287" s="11" t="s">
        <v>629</v>
      </c>
      <c r="E287" s="11"/>
      <c r="F287" s="11"/>
      <c r="H287" s="8">
        <f t="shared" ref="H287:H303" si="21">1/7</f>
        <v>0.14285714285714285</v>
      </c>
      <c r="I287" s="73" t="s">
        <v>925</v>
      </c>
    </row>
    <row r="288" spans="1:9">
      <c r="A288" s="106"/>
      <c r="B288" s="11" t="s">
        <v>299</v>
      </c>
      <c r="D288" s="11" t="s">
        <v>630</v>
      </c>
      <c r="E288" s="11"/>
      <c r="F288" s="11"/>
      <c r="H288" s="8">
        <f t="shared" si="21"/>
        <v>0.14285714285714285</v>
      </c>
      <c r="I288" s="73" t="s">
        <v>925</v>
      </c>
    </row>
    <row r="289" spans="1:9">
      <c r="A289" s="106"/>
      <c r="B289" s="5" t="s">
        <v>624</v>
      </c>
      <c r="D289" s="11" t="s">
        <v>631</v>
      </c>
      <c r="E289" s="11"/>
      <c r="F289" s="11"/>
      <c r="H289" s="8">
        <f t="shared" si="21"/>
        <v>0.14285714285714285</v>
      </c>
      <c r="I289" s="73" t="s">
        <v>925</v>
      </c>
    </row>
    <row r="290" spans="1:9">
      <c r="A290" s="106"/>
      <c r="B290" s="12" t="s">
        <v>625</v>
      </c>
      <c r="D290" s="11" t="s">
        <v>632</v>
      </c>
      <c r="E290" s="11"/>
      <c r="F290" s="11"/>
      <c r="H290" s="8">
        <f t="shared" si="21"/>
        <v>0.14285714285714285</v>
      </c>
      <c r="I290" s="73" t="s">
        <v>925</v>
      </c>
    </row>
    <row r="291" spans="1:9">
      <c r="A291" s="106"/>
      <c r="B291" s="12" t="s">
        <v>626</v>
      </c>
      <c r="D291" s="11" t="s">
        <v>633</v>
      </c>
      <c r="E291" s="11"/>
      <c r="F291" s="11"/>
      <c r="H291" s="8">
        <f t="shared" si="21"/>
        <v>0.14285714285714285</v>
      </c>
      <c r="I291" s="73" t="s">
        <v>925</v>
      </c>
    </row>
    <row r="292" spans="1:9">
      <c r="A292" s="106"/>
      <c r="B292" s="12" t="s">
        <v>627</v>
      </c>
      <c r="D292" s="11" t="s">
        <v>634</v>
      </c>
      <c r="E292" s="11"/>
      <c r="F292" s="11"/>
      <c r="H292" s="8">
        <f t="shared" si="21"/>
        <v>0.14285714285714285</v>
      </c>
      <c r="I292" s="73" t="s">
        <v>925</v>
      </c>
    </row>
    <row r="293" spans="1:9">
      <c r="A293" s="106"/>
      <c r="B293" s="12" t="s">
        <v>302</v>
      </c>
      <c r="D293" s="11"/>
      <c r="E293" s="11"/>
      <c r="F293" s="11"/>
      <c r="H293" s="8">
        <f>H289*1.3/2.3</f>
        <v>8.0745341614906846E-2</v>
      </c>
      <c r="I293" s="73" t="s">
        <v>925</v>
      </c>
    </row>
    <row r="294" spans="1:9">
      <c r="A294" s="106"/>
      <c r="B294" s="12" t="s">
        <v>301</v>
      </c>
      <c r="D294" s="11"/>
      <c r="E294" s="11"/>
      <c r="F294" s="11"/>
      <c r="H294" s="8">
        <f>H289*1/2.3</f>
        <v>6.2111801242236024E-2</v>
      </c>
      <c r="I294" s="73" t="s">
        <v>925</v>
      </c>
    </row>
    <row r="295" spans="1:9">
      <c r="A295" s="106"/>
      <c r="B295" s="12" t="s">
        <v>300</v>
      </c>
      <c r="D295" s="11"/>
      <c r="E295" s="11"/>
      <c r="F295" s="11"/>
      <c r="H295" s="8">
        <f>H290</f>
        <v>0.14285714285714285</v>
      </c>
      <c r="I295" s="73" t="s">
        <v>925</v>
      </c>
    </row>
    <row r="296" spans="1:9">
      <c r="A296" s="106"/>
      <c r="B296" s="12" t="s">
        <v>296</v>
      </c>
      <c r="D296" s="11"/>
      <c r="E296" s="11"/>
      <c r="F296" s="11"/>
      <c r="H296" s="8">
        <f>H291</f>
        <v>0.14285714285714285</v>
      </c>
      <c r="I296" s="73" t="s">
        <v>925</v>
      </c>
    </row>
    <row r="297" spans="1:9">
      <c r="A297" s="106" t="s">
        <v>635</v>
      </c>
      <c r="B297" s="12" t="s">
        <v>305</v>
      </c>
      <c r="C297" s="13"/>
      <c r="D297" s="12" t="s">
        <v>636</v>
      </c>
      <c r="E297" s="12"/>
      <c r="F297" s="12"/>
      <c r="H297" s="8">
        <f t="shared" si="21"/>
        <v>0.14285714285714285</v>
      </c>
      <c r="I297" s="73" t="s">
        <v>925</v>
      </c>
    </row>
    <row r="298" spans="1:9">
      <c r="A298" s="106"/>
      <c r="B298" s="12" t="s">
        <v>307</v>
      </c>
      <c r="C298" s="13"/>
      <c r="D298" s="12" t="s">
        <v>637</v>
      </c>
      <c r="E298" s="12"/>
      <c r="F298" s="12"/>
      <c r="H298" s="8">
        <f t="shared" si="21"/>
        <v>0.14285714285714285</v>
      </c>
      <c r="I298" s="73" t="s">
        <v>925</v>
      </c>
    </row>
    <row r="299" spans="1:9">
      <c r="A299" s="106"/>
      <c r="B299" s="12" t="s">
        <v>309</v>
      </c>
      <c r="C299" s="13"/>
      <c r="D299" s="12" t="s">
        <v>638</v>
      </c>
      <c r="E299" s="12"/>
      <c r="F299" s="12"/>
      <c r="H299" s="8">
        <f t="shared" si="21"/>
        <v>0.14285714285714285</v>
      </c>
      <c r="I299" s="73" t="s">
        <v>925</v>
      </c>
    </row>
    <row r="300" spans="1:9">
      <c r="A300" s="106"/>
      <c r="B300" s="12" t="s">
        <v>303</v>
      </c>
      <c r="C300" s="13"/>
      <c r="D300" s="12" t="s">
        <v>639</v>
      </c>
      <c r="E300" s="12"/>
      <c r="F300" s="12"/>
      <c r="H300" s="8">
        <f t="shared" si="21"/>
        <v>0.14285714285714285</v>
      </c>
      <c r="I300" s="73" t="s">
        <v>925</v>
      </c>
    </row>
    <row r="301" spans="1:9">
      <c r="A301" s="106"/>
      <c r="B301" s="12" t="s">
        <v>308</v>
      </c>
      <c r="C301" s="13"/>
      <c r="D301" s="12" t="s">
        <v>640</v>
      </c>
      <c r="E301" s="12"/>
      <c r="F301" s="12"/>
      <c r="H301" s="8">
        <f t="shared" si="21"/>
        <v>0.14285714285714285</v>
      </c>
      <c r="I301" s="73" t="s">
        <v>925</v>
      </c>
    </row>
    <row r="302" spans="1:9">
      <c r="A302" s="106"/>
      <c r="B302" s="12" t="s">
        <v>304</v>
      </c>
      <c r="C302" s="13"/>
      <c r="D302" s="12" t="s">
        <v>641</v>
      </c>
      <c r="E302" s="12"/>
      <c r="F302" s="12"/>
      <c r="H302" s="8">
        <f t="shared" si="21"/>
        <v>0.14285714285714285</v>
      </c>
      <c r="I302" s="73" t="s">
        <v>925</v>
      </c>
    </row>
    <row r="303" spans="1:9">
      <c r="A303" s="106"/>
      <c r="B303" s="12" t="s">
        <v>306</v>
      </c>
      <c r="C303" s="13"/>
      <c r="D303" s="12" t="s">
        <v>642</v>
      </c>
      <c r="E303" s="12"/>
      <c r="F303" s="12"/>
      <c r="H303" s="8">
        <f t="shared" si="21"/>
        <v>0.14285714285714285</v>
      </c>
      <c r="I303" s="73" t="s">
        <v>925</v>
      </c>
    </row>
    <row r="304" spans="1:9">
      <c r="A304" s="26" t="s">
        <v>28</v>
      </c>
      <c r="B304" s="28" t="s">
        <v>310</v>
      </c>
      <c r="C304" s="27"/>
      <c r="D304" s="28" t="s">
        <v>643</v>
      </c>
      <c r="E304" s="28"/>
      <c r="F304" s="28"/>
      <c r="H304" s="8">
        <f>1</f>
        <v>1</v>
      </c>
      <c r="I304" s="73" t="s">
        <v>925</v>
      </c>
    </row>
    <row r="305" spans="1:9">
      <c r="A305" s="24" t="s">
        <v>29</v>
      </c>
      <c r="B305" s="11" t="s">
        <v>311</v>
      </c>
      <c r="C305" s="7"/>
      <c r="D305" s="7" t="s">
        <v>644</v>
      </c>
      <c r="E305" s="7"/>
      <c r="F305" s="7"/>
      <c r="H305" s="8">
        <f>1</f>
        <v>1</v>
      </c>
      <c r="I305" s="73" t="s">
        <v>925</v>
      </c>
    </row>
    <row r="306" spans="1:9">
      <c r="A306" s="106" t="s">
        <v>30</v>
      </c>
      <c r="B306" s="11" t="s">
        <v>33</v>
      </c>
      <c r="C306" s="7"/>
      <c r="D306" s="11" t="s">
        <v>645</v>
      </c>
      <c r="E306" s="11"/>
      <c r="F306" s="11"/>
      <c r="H306" s="8">
        <f>1/3</f>
        <v>0.33333333333333331</v>
      </c>
      <c r="I306" s="73" t="s">
        <v>925</v>
      </c>
    </row>
    <row r="307" spans="1:9">
      <c r="A307" s="106"/>
      <c r="B307" s="11" t="s">
        <v>34</v>
      </c>
      <c r="C307" s="7"/>
      <c r="D307" s="11" t="s">
        <v>646</v>
      </c>
      <c r="E307" s="11"/>
      <c r="F307" s="11"/>
      <c r="H307" s="8">
        <f t="shared" ref="H307:H308" si="22">1/3</f>
        <v>0.33333333333333331</v>
      </c>
      <c r="I307" s="73" t="s">
        <v>925</v>
      </c>
    </row>
    <row r="308" spans="1:9">
      <c r="A308" s="106"/>
      <c r="B308" s="11" t="s">
        <v>35</v>
      </c>
      <c r="C308" s="7"/>
      <c r="D308" s="11" t="s">
        <v>647</v>
      </c>
      <c r="E308" s="11"/>
      <c r="F308" s="11"/>
      <c r="H308" s="8">
        <f t="shared" si="22"/>
        <v>0.33333333333333331</v>
      </c>
      <c r="I308" s="73" t="s">
        <v>925</v>
      </c>
    </row>
    <row r="309" spans="1:9">
      <c r="A309" s="106" t="s">
        <v>31</v>
      </c>
      <c r="B309" s="11" t="s">
        <v>315</v>
      </c>
      <c r="C309" s="7"/>
      <c r="D309" s="11" t="s">
        <v>648</v>
      </c>
      <c r="E309" s="11"/>
      <c r="F309" s="11"/>
      <c r="H309" s="8">
        <f>1/4</f>
        <v>0.25</v>
      </c>
      <c r="I309" s="73" t="s">
        <v>925</v>
      </c>
    </row>
    <row r="310" spans="1:9">
      <c r="A310" s="106"/>
      <c r="B310" s="11" t="s">
        <v>314</v>
      </c>
      <c r="C310" s="7"/>
      <c r="D310" s="11" t="s">
        <v>649</v>
      </c>
      <c r="E310" s="11"/>
      <c r="F310" s="11"/>
      <c r="H310" s="8">
        <f t="shared" ref="H310:H312" si="23">1/4</f>
        <v>0.25</v>
      </c>
      <c r="I310" s="73" t="s">
        <v>925</v>
      </c>
    </row>
    <row r="311" spans="1:9">
      <c r="A311" s="106"/>
      <c r="B311" s="11" t="s">
        <v>313</v>
      </c>
      <c r="C311" s="7"/>
      <c r="D311" s="7" t="s">
        <v>650</v>
      </c>
      <c r="E311" s="7"/>
      <c r="F311" s="7"/>
      <c r="H311" s="8">
        <f t="shared" si="23"/>
        <v>0.25</v>
      </c>
      <c r="I311" s="73" t="s">
        <v>925</v>
      </c>
    </row>
    <row r="312" spans="1:9">
      <c r="A312" s="106"/>
      <c r="B312" s="11" t="s">
        <v>312</v>
      </c>
      <c r="C312" s="7"/>
      <c r="D312" s="7" t="s">
        <v>651</v>
      </c>
      <c r="E312" s="7"/>
      <c r="F312" s="7"/>
      <c r="H312" s="8">
        <f t="shared" si="23"/>
        <v>0.25</v>
      </c>
      <c r="I312" s="73" t="s">
        <v>925</v>
      </c>
    </row>
    <row r="313" spans="1:9">
      <c r="A313" s="26" t="s">
        <v>32</v>
      </c>
      <c r="B313" s="11" t="s">
        <v>1015</v>
      </c>
      <c r="H313" s="8">
        <f>1</f>
        <v>1</v>
      </c>
      <c r="I313" s="73" t="s">
        <v>925</v>
      </c>
    </row>
    <row r="314" spans="1:9">
      <c r="A314" s="26" t="s">
        <v>1026</v>
      </c>
      <c r="B314" s="11" t="s">
        <v>654</v>
      </c>
      <c r="D314" s="3" t="s">
        <v>1026</v>
      </c>
      <c r="H314" s="8">
        <f>1</f>
        <v>1</v>
      </c>
      <c r="I314" s="73" t="s">
        <v>925</v>
      </c>
    </row>
    <row r="315" spans="1:9">
      <c r="A315" s="88" t="s">
        <v>933</v>
      </c>
      <c r="B315" s="11" t="s">
        <v>653</v>
      </c>
      <c r="D315" s="3" t="s">
        <v>652</v>
      </c>
      <c r="H315" s="8">
        <f>1</f>
        <v>1</v>
      </c>
      <c r="I315" s="7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5"/>
  <sheetViews>
    <sheetView workbookViewId="0"/>
    <sheetView workbookViewId="1"/>
  </sheetViews>
  <sheetFormatPr baseColWidth="10" defaultColWidth="10.875" defaultRowHeight="15"/>
  <cols>
    <col min="1" max="1" width="19" style="3" bestFit="1" customWidth="1"/>
    <col min="2" max="2" width="8.375" style="3" bestFit="1" customWidth="1"/>
    <col min="3" max="3" width="4.125" style="3" hidden="1" customWidth="1"/>
    <col min="4" max="4" width="29.875" style="3" hidden="1" customWidth="1"/>
    <col min="5" max="5" width="13.875" style="3" bestFit="1" customWidth="1"/>
    <col min="6" max="6" width="13.875" style="3" customWidth="1"/>
    <col min="7" max="7" width="14.625" style="3" bestFit="1" customWidth="1"/>
    <col min="8" max="8" width="15.5" style="8" bestFit="1" customWidth="1"/>
    <col min="9" max="9" width="15.5" style="8" customWidth="1"/>
    <col min="10" max="10" width="16.5" style="8" bestFit="1" customWidth="1"/>
    <col min="11" max="11" width="20.625" style="3" bestFit="1" customWidth="1"/>
    <col min="12" max="12" width="10.875" style="82"/>
    <col min="13" max="16384" width="10.875" style="3"/>
  </cols>
  <sheetData>
    <row r="1" spans="1:12">
      <c r="A1" s="22" t="s">
        <v>0</v>
      </c>
      <c r="B1" s="22" t="s">
        <v>1</v>
      </c>
      <c r="C1" s="22" t="s">
        <v>2</v>
      </c>
      <c r="D1" s="22" t="s">
        <v>655</v>
      </c>
      <c r="E1" s="22" t="s">
        <v>881</v>
      </c>
      <c r="F1" s="22" t="s">
        <v>1023</v>
      </c>
      <c r="G1" s="22" t="s">
        <v>885</v>
      </c>
      <c r="H1" s="23" t="s">
        <v>886</v>
      </c>
      <c r="I1" s="61" t="s">
        <v>1022</v>
      </c>
      <c r="J1" s="61" t="s">
        <v>887</v>
      </c>
      <c r="K1" s="1" t="s">
        <v>929</v>
      </c>
    </row>
    <row r="2" spans="1:12" ht="29.25">
      <c r="A2" s="106" t="s">
        <v>3</v>
      </c>
      <c r="B2" s="29" t="s">
        <v>36</v>
      </c>
      <c r="C2" s="15"/>
      <c r="D2" s="16" t="s">
        <v>621</v>
      </c>
      <c r="H2" s="8">
        <f t="shared" ref="H2:H11" si="0">E2/SUM(E$2:E$12)</f>
        <v>0</v>
      </c>
      <c r="J2" s="8">
        <f t="shared" ref="J2:J12" si="1">G2/SUM(G$2:G$12)</f>
        <v>0</v>
      </c>
      <c r="K2" s="8">
        <f>J2</f>
        <v>0</v>
      </c>
      <c r="L2" s="29"/>
    </row>
    <row r="3" spans="1:12" ht="15.75">
      <c r="A3" s="106"/>
      <c r="B3" s="29" t="s">
        <v>46</v>
      </c>
      <c r="C3" s="15"/>
      <c r="D3" s="16" t="s">
        <v>316</v>
      </c>
      <c r="E3" s="60">
        <v>641.49412110000003</v>
      </c>
      <c r="F3" s="60"/>
      <c r="G3" s="60">
        <v>1410.36</v>
      </c>
      <c r="H3" s="8">
        <f t="shared" si="0"/>
        <v>0.29075925905445388</v>
      </c>
      <c r="J3" s="8">
        <f t="shared" si="1"/>
        <v>0.2120453089809087</v>
      </c>
      <c r="K3" s="8">
        <f t="shared" ref="K3:K66" si="2">J3</f>
        <v>0.2120453089809087</v>
      </c>
      <c r="L3" s="29"/>
    </row>
    <row r="4" spans="1:12" ht="15.75">
      <c r="A4" s="106"/>
      <c r="B4" s="29" t="s">
        <v>40</v>
      </c>
      <c r="C4" s="15"/>
      <c r="D4" s="16" t="s">
        <v>317</v>
      </c>
      <c r="E4" s="60">
        <v>119.438147</v>
      </c>
      <c r="F4" s="60"/>
      <c r="G4" s="60">
        <v>459.9</v>
      </c>
      <c r="H4" s="8">
        <f t="shared" si="0"/>
        <v>5.4135721563601621E-2</v>
      </c>
      <c r="J4" s="8">
        <f t="shared" si="1"/>
        <v>6.9145209450296327E-2</v>
      </c>
      <c r="K4" s="8">
        <f t="shared" si="2"/>
        <v>6.9145209450296327E-2</v>
      </c>
      <c r="L4" s="29"/>
    </row>
    <row r="5" spans="1:12">
      <c r="A5" s="106"/>
      <c r="B5" s="29" t="s">
        <v>44</v>
      </c>
      <c r="C5" s="15"/>
      <c r="D5" s="16" t="s">
        <v>318</v>
      </c>
      <c r="H5" s="8">
        <f t="shared" si="0"/>
        <v>0</v>
      </c>
      <c r="J5" s="8">
        <f t="shared" si="1"/>
        <v>0</v>
      </c>
      <c r="K5" s="8">
        <f t="shared" si="2"/>
        <v>0</v>
      </c>
      <c r="L5" s="29"/>
    </row>
    <row r="6" spans="1:12">
      <c r="A6" s="106"/>
      <c r="B6" s="29" t="s">
        <v>45</v>
      </c>
      <c r="C6" s="15"/>
      <c r="D6" s="16" t="s">
        <v>319</v>
      </c>
      <c r="H6" s="8">
        <f t="shared" si="0"/>
        <v>0</v>
      </c>
      <c r="J6" s="8">
        <f t="shared" si="1"/>
        <v>0</v>
      </c>
      <c r="K6" s="8">
        <f t="shared" si="2"/>
        <v>0</v>
      </c>
      <c r="L6" s="29"/>
    </row>
    <row r="7" spans="1:12">
      <c r="A7" s="106"/>
      <c r="B7" s="29" t="s">
        <v>37</v>
      </c>
      <c r="C7" s="15"/>
      <c r="D7" s="16" t="s">
        <v>320</v>
      </c>
      <c r="H7" s="8">
        <f t="shared" si="0"/>
        <v>0</v>
      </c>
      <c r="J7" s="8">
        <f t="shared" si="1"/>
        <v>0</v>
      </c>
      <c r="K7" s="8">
        <f t="shared" si="2"/>
        <v>0</v>
      </c>
      <c r="L7" s="29"/>
    </row>
    <row r="8" spans="1:12">
      <c r="A8" s="106"/>
      <c r="B8" s="29" t="s">
        <v>43</v>
      </c>
      <c r="C8" s="15"/>
      <c r="D8" s="16" t="s">
        <v>321</v>
      </c>
      <c r="H8" s="8">
        <f t="shared" si="0"/>
        <v>0</v>
      </c>
      <c r="J8" s="8">
        <f t="shared" si="1"/>
        <v>0</v>
      </c>
      <c r="K8" s="8">
        <f t="shared" si="2"/>
        <v>0</v>
      </c>
      <c r="L8" s="29"/>
    </row>
    <row r="9" spans="1:12">
      <c r="A9" s="106"/>
      <c r="B9" s="29" t="s">
        <v>42</v>
      </c>
      <c r="C9" s="15"/>
      <c r="D9" s="16" t="s">
        <v>322</v>
      </c>
      <c r="E9" s="3">
        <v>437.27791685</v>
      </c>
      <c r="G9" s="3">
        <v>2564.6800000000003</v>
      </c>
      <c r="H9" s="8">
        <f t="shared" si="0"/>
        <v>0.19819761229637414</v>
      </c>
      <c r="J9" s="8">
        <f t="shared" si="1"/>
        <v>0.38559542459879537</v>
      </c>
      <c r="K9" s="8">
        <f t="shared" si="2"/>
        <v>0.38559542459879537</v>
      </c>
      <c r="L9" s="29"/>
    </row>
    <row r="10" spans="1:12">
      <c r="A10" s="106"/>
      <c r="B10" s="29" t="s">
        <v>41</v>
      </c>
      <c r="C10" s="15"/>
      <c r="D10" s="16" t="s">
        <v>323</v>
      </c>
      <c r="H10" s="8">
        <f t="shared" si="0"/>
        <v>0</v>
      </c>
      <c r="J10" s="8">
        <f t="shared" si="1"/>
        <v>0</v>
      </c>
      <c r="K10" s="8">
        <f t="shared" si="2"/>
        <v>0</v>
      </c>
      <c r="L10" s="29"/>
    </row>
    <row r="11" spans="1:12">
      <c r="A11" s="106"/>
      <c r="B11" s="29" t="s">
        <v>39</v>
      </c>
      <c r="C11" s="15"/>
      <c r="D11" s="16" t="s">
        <v>324</v>
      </c>
      <c r="H11" s="8">
        <f t="shared" si="0"/>
        <v>0</v>
      </c>
      <c r="J11" s="8">
        <f t="shared" si="1"/>
        <v>0</v>
      </c>
      <c r="K11" s="8">
        <f t="shared" si="2"/>
        <v>0</v>
      </c>
      <c r="L11" s="29"/>
    </row>
    <row r="12" spans="1:12" ht="15.75">
      <c r="A12" s="106"/>
      <c r="B12" s="29" t="s">
        <v>38</v>
      </c>
      <c r="C12" s="15"/>
      <c r="D12" s="16" t="s">
        <v>325</v>
      </c>
      <c r="E12" s="60">
        <v>1008.0621903</v>
      </c>
      <c r="F12" s="60"/>
      <c r="G12" s="60">
        <v>2216.2800000000002</v>
      </c>
      <c r="H12" s="8">
        <f>E12/SUM(E$2:E$12)</f>
        <v>0.45690740708557032</v>
      </c>
      <c r="J12" s="8">
        <f t="shared" si="1"/>
        <v>0.33321405696999945</v>
      </c>
      <c r="K12" s="8">
        <f t="shared" si="2"/>
        <v>0.33321405696999945</v>
      </c>
      <c r="L12" s="29"/>
    </row>
    <row r="13" spans="1:12" ht="15.75">
      <c r="A13" s="106" t="s">
        <v>4</v>
      </c>
      <c r="B13" s="29" t="s">
        <v>47</v>
      </c>
      <c r="C13" s="15"/>
      <c r="D13" s="16" t="s">
        <v>326</v>
      </c>
      <c r="E13" s="60">
        <v>149.62425289999999</v>
      </c>
      <c r="F13" s="60"/>
      <c r="G13" s="60">
        <v>470.12</v>
      </c>
      <c r="H13" s="8">
        <f>E13/SUM(E$13:E$18)</f>
        <v>0.10313853792195588</v>
      </c>
      <c r="J13" s="8">
        <f t="shared" ref="J13:J18" si="3">G13/SUM(G$13:G$18)</f>
        <v>0.12605206498336272</v>
      </c>
      <c r="K13" s="8">
        <f t="shared" si="2"/>
        <v>0.12605206498336272</v>
      </c>
      <c r="L13" s="29"/>
    </row>
    <row r="14" spans="1:12">
      <c r="A14" s="106"/>
      <c r="B14" s="29" t="s">
        <v>49</v>
      </c>
      <c r="C14" s="15"/>
      <c r="D14" s="16" t="s">
        <v>327</v>
      </c>
      <c r="H14" s="8">
        <f t="shared" ref="H14:H18" si="4">E14/SUM(E$13:E$18)</f>
        <v>0</v>
      </c>
      <c r="J14" s="8">
        <f t="shared" si="3"/>
        <v>0</v>
      </c>
      <c r="K14" s="8">
        <f t="shared" si="2"/>
        <v>0</v>
      </c>
      <c r="L14" s="29"/>
    </row>
    <row r="15" spans="1:12" ht="15.75">
      <c r="A15" s="106"/>
      <c r="B15" s="29" t="s">
        <v>50</v>
      </c>
      <c r="C15" s="15"/>
      <c r="D15" s="16" t="s">
        <v>328</v>
      </c>
      <c r="E15" s="60">
        <v>878.23599912500003</v>
      </c>
      <c r="F15" s="60"/>
      <c r="G15" s="60">
        <v>1930.85</v>
      </c>
      <c r="H15" s="8">
        <f t="shared" si="4"/>
        <v>0.60538298534208179</v>
      </c>
      <c r="J15" s="8">
        <f t="shared" si="3"/>
        <v>0.51771383832452533</v>
      </c>
      <c r="K15" s="8">
        <f t="shared" si="2"/>
        <v>0.51771383832452533</v>
      </c>
      <c r="L15" s="29"/>
    </row>
    <row r="16" spans="1:12">
      <c r="A16" s="106"/>
      <c r="B16" s="29" t="s">
        <v>51</v>
      </c>
      <c r="C16" s="15"/>
      <c r="D16" s="16" t="s">
        <v>329</v>
      </c>
      <c r="H16" s="8">
        <f t="shared" si="4"/>
        <v>0</v>
      </c>
      <c r="J16" s="8">
        <f t="shared" si="3"/>
        <v>0</v>
      </c>
      <c r="K16" s="8">
        <f t="shared" si="2"/>
        <v>0</v>
      </c>
      <c r="L16" s="29"/>
    </row>
    <row r="17" spans="1:12">
      <c r="A17" s="106"/>
      <c r="B17" s="29" t="s">
        <v>52</v>
      </c>
      <c r="C17" s="15"/>
      <c r="D17" s="16" t="s">
        <v>330</v>
      </c>
      <c r="H17" s="8">
        <f t="shared" si="4"/>
        <v>0</v>
      </c>
      <c r="J17" s="8">
        <f t="shared" si="3"/>
        <v>0</v>
      </c>
      <c r="K17" s="8">
        <f t="shared" si="2"/>
        <v>0</v>
      </c>
      <c r="L17" s="29"/>
    </row>
    <row r="18" spans="1:12" ht="15.75">
      <c r="A18" s="106"/>
      <c r="B18" s="29" t="s">
        <v>48</v>
      </c>
      <c r="C18" s="15"/>
      <c r="D18" s="16" t="s">
        <v>331</v>
      </c>
      <c r="E18" s="60">
        <f>227.6890805+195.162069</f>
        <v>422.85114950000002</v>
      </c>
      <c r="F18" s="60"/>
      <c r="G18" s="60">
        <f>715.4+613.2</f>
        <v>1328.6</v>
      </c>
      <c r="H18" s="8">
        <f t="shared" si="4"/>
        <v>0.29147847673596228</v>
      </c>
      <c r="J18" s="8">
        <f t="shared" si="3"/>
        <v>0.35623409669211198</v>
      </c>
      <c r="K18" s="8">
        <f t="shared" si="2"/>
        <v>0.35623409669211198</v>
      </c>
      <c r="L18" s="29"/>
    </row>
    <row r="19" spans="1:12">
      <c r="A19" s="106" t="s">
        <v>5</v>
      </c>
      <c r="B19" s="29" t="s">
        <v>54</v>
      </c>
      <c r="C19" s="15"/>
      <c r="D19" s="16" t="s">
        <v>332</v>
      </c>
      <c r="H19" s="8">
        <f>E19/SUM(E$19:E$26)</f>
        <v>0</v>
      </c>
      <c r="J19" s="8">
        <f t="shared" ref="J19:J26" si="5">G19/SUM(G$19:G$26)</f>
        <v>0</v>
      </c>
      <c r="K19" s="8">
        <f t="shared" si="2"/>
        <v>0</v>
      </c>
      <c r="L19" s="29"/>
    </row>
    <row r="20" spans="1:12">
      <c r="A20" s="106"/>
      <c r="B20" s="29" t="s">
        <v>53</v>
      </c>
      <c r="C20" s="15"/>
      <c r="D20" s="16" t="s">
        <v>333</v>
      </c>
      <c r="H20" s="8">
        <f t="shared" ref="H20:H26" si="6">E20/SUM(E$19:E$26)</f>
        <v>0</v>
      </c>
      <c r="J20" s="8">
        <f t="shared" si="5"/>
        <v>0</v>
      </c>
      <c r="K20" s="8">
        <f t="shared" si="2"/>
        <v>0</v>
      </c>
      <c r="L20" s="29"/>
    </row>
    <row r="21" spans="1:12" ht="15.75">
      <c r="A21" s="106"/>
      <c r="B21" s="29" t="s">
        <v>60</v>
      </c>
      <c r="C21" s="15"/>
      <c r="D21" s="16" t="s">
        <v>334</v>
      </c>
      <c r="E21" s="60">
        <v>91.075632200000001</v>
      </c>
      <c r="F21" s="60"/>
      <c r="G21" s="60">
        <v>286.16000000000003</v>
      </c>
      <c r="H21" s="8">
        <f t="shared" si="6"/>
        <v>2.9882983627742631E-2</v>
      </c>
      <c r="J21" s="8">
        <f t="shared" si="5"/>
        <v>2.1689047606715814E-3</v>
      </c>
      <c r="K21" s="8">
        <f t="shared" si="2"/>
        <v>2.1689047606715814E-3</v>
      </c>
      <c r="L21" s="29"/>
    </row>
    <row r="22" spans="1:12" ht="15.75">
      <c r="A22" s="106"/>
      <c r="B22" s="29" t="s">
        <v>58</v>
      </c>
      <c r="C22" s="18"/>
      <c r="D22" s="16" t="s">
        <v>335</v>
      </c>
      <c r="E22" s="60">
        <f>1084.43053805+1474.756014</f>
        <v>2559.18655205</v>
      </c>
      <c r="F22" s="60"/>
      <c r="G22" s="60">
        <f>2384.18+3459.01908</f>
        <v>5843.1990800000003</v>
      </c>
      <c r="H22" s="8">
        <f t="shared" si="6"/>
        <v>0.83969913782546624</v>
      </c>
      <c r="J22" s="8">
        <f t="shared" si="5"/>
        <v>4.4287609386929702E-2</v>
      </c>
      <c r="K22" s="8">
        <f t="shared" si="2"/>
        <v>4.4287609386929702E-2</v>
      </c>
      <c r="L22" s="29"/>
    </row>
    <row r="23" spans="1:12">
      <c r="A23" s="106"/>
      <c r="B23" s="29" t="s">
        <v>57</v>
      </c>
      <c r="C23" s="15"/>
      <c r="D23" s="16" t="s">
        <v>336</v>
      </c>
      <c r="H23" s="8">
        <f t="shared" si="6"/>
        <v>0</v>
      </c>
      <c r="J23" s="8">
        <f t="shared" si="5"/>
        <v>0</v>
      </c>
      <c r="K23" s="8">
        <f t="shared" si="2"/>
        <v>0</v>
      </c>
      <c r="L23" s="29"/>
    </row>
    <row r="24" spans="1:12" ht="15.75">
      <c r="A24" s="106"/>
      <c r="B24" s="29" t="s">
        <v>59</v>
      </c>
      <c r="C24" s="15"/>
      <c r="D24" s="16" t="s">
        <v>337</v>
      </c>
      <c r="E24" s="60">
        <f>357.7971265+39.68295403</f>
        <v>397.48008053000001</v>
      </c>
      <c r="F24" s="60"/>
      <c r="G24" s="60">
        <f>1124.2+124684</f>
        <v>125808.2</v>
      </c>
      <c r="H24" s="8">
        <f t="shared" si="6"/>
        <v>0.13041787854679107</v>
      </c>
      <c r="J24" s="8">
        <f t="shared" si="5"/>
        <v>0.95354348585239868</v>
      </c>
      <c r="K24" s="8">
        <f t="shared" si="2"/>
        <v>0.95354348585239868</v>
      </c>
      <c r="L24" s="29"/>
    </row>
    <row r="25" spans="1:12">
      <c r="A25" s="106"/>
      <c r="B25" s="29" t="s">
        <v>55</v>
      </c>
      <c r="C25" s="15"/>
      <c r="D25" s="16" t="s">
        <v>338</v>
      </c>
      <c r="H25" s="8">
        <f t="shared" si="6"/>
        <v>0</v>
      </c>
      <c r="J25" s="8">
        <f t="shared" si="5"/>
        <v>0</v>
      </c>
      <c r="K25" s="8">
        <f t="shared" si="2"/>
        <v>0</v>
      </c>
      <c r="L25" s="29"/>
    </row>
    <row r="26" spans="1:12">
      <c r="A26" s="106"/>
      <c r="B26" s="29" t="s">
        <v>56</v>
      </c>
      <c r="C26" s="15"/>
      <c r="D26" s="16" t="s">
        <v>339</v>
      </c>
      <c r="H26" s="8">
        <f t="shared" si="6"/>
        <v>0</v>
      </c>
      <c r="J26" s="8">
        <f t="shared" si="5"/>
        <v>0</v>
      </c>
      <c r="K26" s="8">
        <f t="shared" si="2"/>
        <v>0</v>
      </c>
      <c r="L26" s="29"/>
    </row>
    <row r="27" spans="1:12">
      <c r="A27" s="106" t="s">
        <v>6</v>
      </c>
      <c r="B27" s="29" t="s">
        <v>64</v>
      </c>
      <c r="C27" s="15"/>
      <c r="D27" s="16" t="s">
        <v>340</v>
      </c>
      <c r="H27" s="8">
        <f>E27/SUM(E$27:E$31)</f>
        <v>0</v>
      </c>
      <c r="J27" s="8">
        <f>G27/SUM(G$27:G$31)</f>
        <v>0</v>
      </c>
      <c r="K27" s="8">
        <f t="shared" si="2"/>
        <v>0</v>
      </c>
      <c r="L27" s="29"/>
    </row>
    <row r="28" spans="1:12" ht="15.75">
      <c r="A28" s="106"/>
      <c r="B28" s="29" t="s">
        <v>61</v>
      </c>
      <c r="C28" s="15"/>
      <c r="D28" s="16" t="s">
        <v>341</v>
      </c>
      <c r="E28" s="60">
        <v>130.108046</v>
      </c>
      <c r="F28" s="60"/>
      <c r="G28" s="60">
        <v>408.8</v>
      </c>
      <c r="H28" s="8">
        <f t="shared" ref="H28:H31" si="7">E28/SUM(E$27:E$31)</f>
        <v>1</v>
      </c>
      <c r="J28" s="8">
        <f>G28/SUM(G$27:G$31)</f>
        <v>1</v>
      </c>
      <c r="K28" s="8">
        <f t="shared" si="2"/>
        <v>1</v>
      </c>
      <c r="L28" s="29"/>
    </row>
    <row r="29" spans="1:12">
      <c r="A29" s="106"/>
      <c r="B29" s="29" t="s">
        <v>63</v>
      </c>
      <c r="C29" s="15"/>
      <c r="D29" s="16" t="s">
        <v>342</v>
      </c>
      <c r="H29" s="8">
        <f t="shared" si="7"/>
        <v>0</v>
      </c>
      <c r="J29" s="8">
        <f>G29/SUM(G$27:G$31)</f>
        <v>0</v>
      </c>
      <c r="K29" s="8">
        <f t="shared" si="2"/>
        <v>0</v>
      </c>
      <c r="L29" s="29"/>
    </row>
    <row r="30" spans="1:12">
      <c r="A30" s="106"/>
      <c r="B30" s="29" t="s">
        <v>65</v>
      </c>
      <c r="C30" s="15"/>
      <c r="D30" s="16" t="s">
        <v>343</v>
      </c>
      <c r="H30" s="8">
        <f t="shared" si="7"/>
        <v>0</v>
      </c>
      <c r="J30" s="8">
        <f>G30/SUM(G$27:G$31)</f>
        <v>0</v>
      </c>
      <c r="K30" s="8">
        <f t="shared" si="2"/>
        <v>0</v>
      </c>
      <c r="L30" s="29"/>
    </row>
    <row r="31" spans="1:12">
      <c r="A31" s="106"/>
      <c r="B31" s="29" t="s">
        <v>62</v>
      </c>
      <c r="C31" s="15"/>
      <c r="D31" s="16" t="s">
        <v>344</v>
      </c>
      <c r="H31" s="8">
        <f t="shared" si="7"/>
        <v>0</v>
      </c>
      <c r="J31" s="8">
        <f>G31/SUM(G$27:G$31)</f>
        <v>0</v>
      </c>
      <c r="K31" s="8">
        <f t="shared" si="2"/>
        <v>0</v>
      </c>
      <c r="L31" s="29"/>
    </row>
    <row r="32" spans="1:12" ht="15.75">
      <c r="A32" s="106" t="s">
        <v>7</v>
      </c>
      <c r="B32" s="29" t="s">
        <v>101</v>
      </c>
      <c r="C32" s="15"/>
      <c r="D32" s="16" t="s">
        <v>345</v>
      </c>
      <c r="E32" s="60">
        <v>39.0324138</v>
      </c>
      <c r="F32">
        <v>4.38</v>
      </c>
      <c r="G32" s="60">
        <v>122.64</v>
      </c>
      <c r="H32" s="8">
        <f>E32/SUM(E$32:E$69)</f>
        <v>2.7911241801618241E-3</v>
      </c>
      <c r="I32" s="8">
        <f>F32/SUM(F$32:F$69)</f>
        <v>1.3292295142364125E-3</v>
      </c>
      <c r="J32" s="8">
        <f>G32/SUM(G$32:G$69)</f>
        <v>3.0707915049185135E-3</v>
      </c>
      <c r="K32" s="8">
        <f t="shared" si="2"/>
        <v>3.0707915049185135E-3</v>
      </c>
      <c r="L32" s="29"/>
    </row>
    <row r="33" spans="1:12" ht="15.75">
      <c r="A33" s="106"/>
      <c r="B33" s="29" t="s">
        <v>102</v>
      </c>
      <c r="C33" s="15"/>
      <c r="D33" s="16" t="s">
        <v>346</v>
      </c>
      <c r="E33" s="60">
        <v>305.47339099999999</v>
      </c>
      <c r="F33">
        <v>65.7</v>
      </c>
      <c r="G33" s="60">
        <v>671.6</v>
      </c>
      <c r="H33" s="8">
        <f t="shared" ref="H33:H69" si="8">E33/SUM(E$32:E$69)</f>
        <v>2.1843746901866655E-2</v>
      </c>
      <c r="I33" s="8">
        <f t="shared" ref="I33:I69" si="9">F33/SUM(F$32:F$69)</f>
        <v>1.9938442713546188E-2</v>
      </c>
      <c r="J33" s="8">
        <f t="shared" ref="J33:J69" si="10">G33/SUM(G$32:G$69)</f>
        <v>1.6816239193601382E-2</v>
      </c>
      <c r="K33" s="8">
        <f t="shared" si="2"/>
        <v>1.6816239193601382E-2</v>
      </c>
      <c r="L33" s="29"/>
    </row>
    <row r="34" spans="1:12" ht="15.75">
      <c r="A34" s="106"/>
      <c r="B34" s="29" t="s">
        <v>103</v>
      </c>
      <c r="C34" s="15"/>
      <c r="D34" s="16" t="s">
        <v>347</v>
      </c>
      <c r="E34" s="60">
        <v>117.0972414</v>
      </c>
      <c r="F34">
        <v>13.14</v>
      </c>
      <c r="G34" s="60">
        <v>367.92</v>
      </c>
      <c r="H34" s="8">
        <f t="shared" si="8"/>
        <v>8.3733725404854728E-3</v>
      </c>
      <c r="I34" s="8">
        <f t="shared" si="9"/>
        <v>3.9876885427092374E-3</v>
      </c>
      <c r="J34" s="8">
        <f t="shared" si="10"/>
        <v>9.2123745147555409E-3</v>
      </c>
      <c r="K34" s="8">
        <f t="shared" si="2"/>
        <v>9.2123745147555409E-3</v>
      </c>
      <c r="L34" s="29"/>
    </row>
    <row r="35" spans="1:12" ht="15.75">
      <c r="A35" s="106"/>
      <c r="B35" s="29" t="s">
        <v>100</v>
      </c>
      <c r="C35" s="15"/>
      <c r="D35" s="16" t="s">
        <v>348</v>
      </c>
      <c r="E35" s="60">
        <v>591.99160930000005</v>
      </c>
      <c r="F35" s="60">
        <v>154.32</v>
      </c>
      <c r="G35" s="60">
        <v>1860.04</v>
      </c>
      <c r="H35" s="8">
        <f t="shared" si="8"/>
        <v>4.233205006578767E-2</v>
      </c>
      <c r="I35" s="8">
        <f t="shared" si="9"/>
        <v>4.6832579597480176E-2</v>
      </c>
      <c r="J35" s="8">
        <f t="shared" si="10"/>
        <v>4.6573671157930784E-2</v>
      </c>
      <c r="K35" s="8">
        <f t="shared" si="2"/>
        <v>4.6573671157930784E-2</v>
      </c>
      <c r="L35" s="29"/>
    </row>
    <row r="36" spans="1:12" ht="15.75">
      <c r="A36" s="106"/>
      <c r="B36" s="29" t="s">
        <v>97</v>
      </c>
      <c r="C36" s="31"/>
      <c r="D36" s="16" t="s">
        <v>349</v>
      </c>
      <c r="E36" s="60">
        <f>130.108046+149.6242529</f>
        <v>279.73229889999999</v>
      </c>
      <c r="F36" s="60">
        <v>31.39</v>
      </c>
      <c r="G36" s="60">
        <f>408.8+470.12</f>
        <v>878.92000000000007</v>
      </c>
      <c r="H36" s="8">
        <f t="shared" si="8"/>
        <v>2.0003056624493074E-2</v>
      </c>
      <c r="I36" s="8">
        <f t="shared" si="9"/>
        <v>9.5261448520276241E-3</v>
      </c>
      <c r="J36" s="8">
        <f t="shared" si="10"/>
        <v>2.2007339118582679E-2</v>
      </c>
      <c r="K36" s="8">
        <f t="shared" si="2"/>
        <v>2.2007339118582679E-2</v>
      </c>
      <c r="L36" s="29"/>
    </row>
    <row r="37" spans="1:12">
      <c r="A37" s="106"/>
      <c r="B37" s="29" t="s">
        <v>98</v>
      </c>
      <c r="C37" s="15"/>
      <c r="D37" s="16" t="s">
        <v>350</v>
      </c>
      <c r="H37" s="8">
        <f t="shared" si="8"/>
        <v>0</v>
      </c>
      <c r="I37" s="8">
        <f t="shared" si="9"/>
        <v>0</v>
      </c>
      <c r="J37" s="8">
        <f t="shared" si="10"/>
        <v>0</v>
      </c>
      <c r="K37" s="8">
        <f t="shared" si="2"/>
        <v>0</v>
      </c>
      <c r="L37" s="29"/>
    </row>
    <row r="38" spans="1:12" ht="15.75">
      <c r="A38" s="106"/>
      <c r="B38" s="29" t="s">
        <v>95</v>
      </c>
      <c r="C38" s="15"/>
      <c r="D38" s="16" t="s">
        <v>351</v>
      </c>
      <c r="E38" s="60">
        <v>1237.16723355</v>
      </c>
      <c r="F38">
        <v>266.08499999999998</v>
      </c>
      <c r="G38" s="60">
        <v>2719.98</v>
      </c>
      <c r="H38" s="8">
        <f t="shared" si="8"/>
        <v>8.8467174952559957E-2</v>
      </c>
      <c r="I38" s="8">
        <f t="shared" si="9"/>
        <v>8.0750692989862052E-2</v>
      </c>
      <c r="J38" s="8">
        <f t="shared" si="10"/>
        <v>6.8105768734085595E-2</v>
      </c>
      <c r="K38" s="8">
        <f t="shared" si="2"/>
        <v>6.8105768734085595E-2</v>
      </c>
      <c r="L38" s="29"/>
    </row>
    <row r="39" spans="1:12" ht="15.75">
      <c r="A39" s="106"/>
      <c r="B39" s="29" t="s">
        <v>96</v>
      </c>
      <c r="C39" s="15"/>
      <c r="D39" s="16" t="s">
        <v>352</v>
      </c>
      <c r="E39" s="60">
        <f>149.6242529+109.6283121+160.2241522</f>
        <v>419.4767172</v>
      </c>
      <c r="F39" s="60">
        <v>75.92</v>
      </c>
      <c r="G39" s="60">
        <f>470.12+4638.98356+643.13</f>
        <v>5752.2335599999997</v>
      </c>
      <c r="H39" s="8">
        <f t="shared" si="8"/>
        <v>2.9995880203335601E-2</v>
      </c>
      <c r="I39" s="8">
        <f t="shared" si="9"/>
        <v>2.3039978246764483E-2</v>
      </c>
      <c r="J39" s="8">
        <f t="shared" si="10"/>
        <v>0.14403057689461168</v>
      </c>
      <c r="K39" s="8">
        <f t="shared" si="2"/>
        <v>0.14403057689461168</v>
      </c>
      <c r="L39" s="29"/>
    </row>
    <row r="40" spans="1:12">
      <c r="A40" s="106"/>
      <c r="B40" s="29" t="s">
        <v>99</v>
      </c>
      <c r="C40" s="15"/>
      <c r="D40" s="16" t="s">
        <v>353</v>
      </c>
      <c r="H40" s="8">
        <f t="shared" si="8"/>
        <v>0</v>
      </c>
      <c r="I40" s="8">
        <f t="shared" si="9"/>
        <v>0</v>
      </c>
      <c r="J40" s="8">
        <f t="shared" si="10"/>
        <v>0</v>
      </c>
      <c r="K40" s="8">
        <f t="shared" si="2"/>
        <v>0</v>
      </c>
      <c r="L40" s="29"/>
    </row>
    <row r="41" spans="1:12" ht="15.75">
      <c r="A41" s="106"/>
      <c r="B41" s="29" t="s">
        <v>93</v>
      </c>
      <c r="C41" s="15"/>
      <c r="D41" s="16" t="s">
        <v>354</v>
      </c>
      <c r="E41" s="60">
        <v>146.37155175000001</v>
      </c>
      <c r="F41">
        <v>16.425000000000001</v>
      </c>
      <c r="G41" s="60">
        <v>459.9</v>
      </c>
      <c r="H41" s="8">
        <f t="shared" si="8"/>
        <v>1.0466715675606841E-2</v>
      </c>
      <c r="I41" s="8">
        <f t="shared" si="9"/>
        <v>4.984610678386547E-3</v>
      </c>
      <c r="J41" s="8">
        <f t="shared" si="10"/>
        <v>1.1515468143444424E-2</v>
      </c>
      <c r="K41" s="8">
        <f t="shared" si="2"/>
        <v>1.1515468143444424E-2</v>
      </c>
      <c r="L41" s="29"/>
    </row>
    <row r="42" spans="1:12">
      <c r="A42" s="106"/>
      <c r="B42" s="29" t="s">
        <v>94</v>
      </c>
      <c r="C42" s="15"/>
      <c r="D42" s="16" t="s">
        <v>355</v>
      </c>
      <c r="H42" s="8">
        <f t="shared" si="8"/>
        <v>0</v>
      </c>
      <c r="I42" s="8">
        <f t="shared" si="9"/>
        <v>0</v>
      </c>
      <c r="J42" s="8">
        <f t="shared" si="10"/>
        <v>0</v>
      </c>
      <c r="K42" s="8">
        <f t="shared" si="2"/>
        <v>0</v>
      </c>
      <c r="L42" s="29"/>
    </row>
    <row r="43" spans="1:12">
      <c r="A43" s="106"/>
      <c r="B43" s="29" t="s">
        <v>92</v>
      </c>
      <c r="C43" s="15"/>
      <c r="D43" s="16" t="s">
        <v>356</v>
      </c>
      <c r="H43" s="8">
        <f t="shared" si="8"/>
        <v>0</v>
      </c>
      <c r="I43" s="8">
        <f t="shared" si="9"/>
        <v>0</v>
      </c>
      <c r="J43" s="8">
        <f t="shared" si="10"/>
        <v>0</v>
      </c>
      <c r="K43" s="8">
        <f t="shared" si="2"/>
        <v>0</v>
      </c>
      <c r="L43" s="29"/>
    </row>
    <row r="44" spans="1:12" ht="15.75">
      <c r="A44" s="106"/>
      <c r="B44" s="29" t="s">
        <v>91</v>
      </c>
      <c r="C44" s="15"/>
      <c r="D44" s="16" t="s">
        <v>357</v>
      </c>
      <c r="E44" s="60">
        <f>240.6998851+313.851705</f>
        <v>554.5515901</v>
      </c>
      <c r="F44" s="60">
        <v>104.02500000000001</v>
      </c>
      <c r="G44" s="60">
        <f>756.28+1102.4825</f>
        <v>1858.7625</v>
      </c>
      <c r="H44" s="8">
        <f t="shared" si="8"/>
        <v>3.9654794607534585E-2</v>
      </c>
      <c r="I44" s="8">
        <f t="shared" si="9"/>
        <v>3.1569200963114802E-2</v>
      </c>
      <c r="J44" s="8">
        <f t="shared" si="10"/>
        <v>4.6541683746421217E-2</v>
      </c>
      <c r="K44" s="8">
        <f t="shared" si="2"/>
        <v>4.6541683746421217E-2</v>
      </c>
      <c r="L44" s="29"/>
    </row>
    <row r="45" spans="1:12">
      <c r="A45" s="106"/>
      <c r="B45" s="29" t="s">
        <v>90</v>
      </c>
      <c r="C45" s="15"/>
      <c r="D45" s="16" t="s">
        <v>358</v>
      </c>
      <c r="H45" s="8">
        <f t="shared" si="8"/>
        <v>0</v>
      </c>
      <c r="I45" s="8">
        <f t="shared" si="9"/>
        <v>0</v>
      </c>
      <c r="J45" s="8">
        <f t="shared" si="10"/>
        <v>0</v>
      </c>
      <c r="K45" s="8">
        <f t="shared" si="2"/>
        <v>0</v>
      </c>
      <c r="L45" s="29"/>
    </row>
    <row r="46" spans="1:12">
      <c r="A46" s="106"/>
      <c r="B46" s="29" t="s">
        <v>89</v>
      </c>
      <c r="C46" s="15"/>
      <c r="D46" s="16" t="s">
        <v>359</v>
      </c>
      <c r="H46" s="8">
        <f t="shared" si="8"/>
        <v>0</v>
      </c>
      <c r="I46" s="8">
        <f t="shared" si="9"/>
        <v>0</v>
      </c>
      <c r="J46" s="8">
        <f t="shared" si="10"/>
        <v>0</v>
      </c>
      <c r="K46" s="8">
        <f t="shared" si="2"/>
        <v>0</v>
      </c>
      <c r="L46" s="29"/>
    </row>
    <row r="47" spans="1:12">
      <c r="A47" s="106"/>
      <c r="B47" s="29" t="s">
        <v>88</v>
      </c>
      <c r="C47" s="15"/>
      <c r="D47" s="16" t="s">
        <v>360</v>
      </c>
      <c r="H47" s="8">
        <f t="shared" si="8"/>
        <v>0</v>
      </c>
      <c r="I47" s="8">
        <f t="shared" si="9"/>
        <v>0</v>
      </c>
      <c r="J47" s="8">
        <f t="shared" si="10"/>
        <v>0</v>
      </c>
      <c r="K47" s="8">
        <f t="shared" si="2"/>
        <v>0</v>
      </c>
      <c r="L47" s="29"/>
    </row>
    <row r="48" spans="1:12">
      <c r="A48" s="106"/>
      <c r="B48" s="29" t="s">
        <v>87</v>
      </c>
      <c r="C48" s="15"/>
      <c r="D48" s="16" t="s">
        <v>361</v>
      </c>
      <c r="H48" s="8">
        <f t="shared" si="8"/>
        <v>0</v>
      </c>
      <c r="I48" s="8">
        <f t="shared" si="9"/>
        <v>0</v>
      </c>
      <c r="J48" s="8">
        <f t="shared" si="10"/>
        <v>0</v>
      </c>
      <c r="K48" s="8">
        <f t="shared" si="2"/>
        <v>0</v>
      </c>
      <c r="L48" s="29"/>
    </row>
    <row r="49" spans="1:12">
      <c r="A49" s="106"/>
      <c r="B49" s="29" t="s">
        <v>86</v>
      </c>
      <c r="C49" s="15"/>
      <c r="D49" s="16" t="s">
        <v>362</v>
      </c>
      <c r="H49" s="8">
        <f t="shared" si="8"/>
        <v>0</v>
      </c>
      <c r="I49" s="8">
        <f t="shared" si="9"/>
        <v>0</v>
      </c>
      <c r="J49" s="8">
        <f t="shared" si="10"/>
        <v>0</v>
      </c>
      <c r="K49" s="8">
        <f t="shared" si="2"/>
        <v>0</v>
      </c>
      <c r="L49" s="29"/>
    </row>
    <row r="50" spans="1:12">
      <c r="A50" s="106"/>
      <c r="B50" s="29" t="s">
        <v>85</v>
      </c>
      <c r="C50" s="15"/>
      <c r="D50" s="16" t="s">
        <v>363</v>
      </c>
      <c r="H50" s="8">
        <f t="shared" si="8"/>
        <v>0</v>
      </c>
      <c r="I50" s="8">
        <f t="shared" si="9"/>
        <v>0</v>
      </c>
      <c r="J50" s="8">
        <f t="shared" si="10"/>
        <v>0</v>
      </c>
      <c r="K50" s="8">
        <f t="shared" si="2"/>
        <v>0</v>
      </c>
      <c r="L50" s="29"/>
    </row>
    <row r="51" spans="1:12">
      <c r="A51" s="106"/>
      <c r="B51" s="29" t="s">
        <v>84</v>
      </c>
      <c r="C51" s="15"/>
      <c r="D51" s="16" t="s">
        <v>364</v>
      </c>
      <c r="H51" s="8">
        <f t="shared" si="8"/>
        <v>0</v>
      </c>
      <c r="I51" s="8">
        <f t="shared" si="9"/>
        <v>0</v>
      </c>
      <c r="J51" s="8">
        <f t="shared" si="10"/>
        <v>0</v>
      </c>
      <c r="K51" s="8">
        <f t="shared" si="2"/>
        <v>0</v>
      </c>
      <c r="L51" s="29"/>
    </row>
    <row r="52" spans="1:12" ht="15.75">
      <c r="A52" s="106"/>
      <c r="B52" s="29" t="s">
        <v>83</v>
      </c>
      <c r="C52" s="15"/>
      <c r="D52" s="16" t="s">
        <v>365</v>
      </c>
      <c r="E52" s="60">
        <f>169.1404598+130.108046+162.6350575+162.6350575+149.6242529</f>
        <v>774.1428737</v>
      </c>
      <c r="F52" s="60">
        <v>192.99</v>
      </c>
      <c r="G52" s="60">
        <f>531.44+408.8+511+511+470.12</f>
        <v>2432.36</v>
      </c>
      <c r="H52" s="8">
        <f t="shared" si="8"/>
        <v>5.5357296239876175E-2</v>
      </c>
      <c r="I52" s="8">
        <f t="shared" si="9"/>
        <v>5.8568037432074262E-2</v>
      </c>
      <c r="J52" s="8">
        <f t="shared" si="10"/>
        <v>6.0904031514217187E-2</v>
      </c>
      <c r="K52" s="8">
        <f t="shared" si="2"/>
        <v>6.0904031514217187E-2</v>
      </c>
      <c r="L52" s="29"/>
    </row>
    <row r="53" spans="1:12">
      <c r="A53" s="106"/>
      <c r="B53" s="29" t="s">
        <v>82</v>
      </c>
      <c r="C53" s="15"/>
      <c r="D53" s="16" t="s">
        <v>366</v>
      </c>
      <c r="H53" s="8">
        <f t="shared" si="8"/>
        <v>0</v>
      </c>
      <c r="I53" s="8">
        <f t="shared" si="9"/>
        <v>0</v>
      </c>
      <c r="J53" s="8">
        <f t="shared" si="10"/>
        <v>0</v>
      </c>
      <c r="K53" s="8">
        <f t="shared" si="2"/>
        <v>0</v>
      </c>
      <c r="L53" s="29"/>
    </row>
    <row r="54" spans="1:12">
      <c r="A54" s="106"/>
      <c r="B54" s="29" t="s">
        <v>81</v>
      </c>
      <c r="C54" s="15"/>
      <c r="D54" s="16" t="s">
        <v>367</v>
      </c>
      <c r="H54" s="8">
        <f t="shared" si="8"/>
        <v>0</v>
      </c>
      <c r="I54" s="8">
        <f t="shared" si="9"/>
        <v>0</v>
      </c>
      <c r="J54" s="8">
        <f t="shared" si="10"/>
        <v>0</v>
      </c>
      <c r="K54" s="8">
        <f t="shared" si="2"/>
        <v>0</v>
      </c>
      <c r="L54" s="29"/>
    </row>
    <row r="55" spans="1:12" ht="15.75">
      <c r="A55" s="106"/>
      <c r="B55" s="29" t="s">
        <v>78</v>
      </c>
      <c r="C55" s="32"/>
      <c r="D55" s="16" t="s">
        <v>368</v>
      </c>
      <c r="E55" s="60">
        <f>149.6242529+104.0864368</f>
        <v>253.71068969999999</v>
      </c>
      <c r="F55" s="60">
        <v>28.47</v>
      </c>
      <c r="G55" s="60">
        <f>470.12+327.04</f>
        <v>797.16000000000008</v>
      </c>
      <c r="H55" s="8">
        <f t="shared" si="8"/>
        <v>1.8142307171051857E-2</v>
      </c>
      <c r="I55" s="8">
        <f t="shared" si="9"/>
        <v>8.6399918425366807E-3</v>
      </c>
      <c r="J55" s="8">
        <f t="shared" si="10"/>
        <v>1.9960144781970338E-2</v>
      </c>
      <c r="K55" s="8">
        <f t="shared" si="2"/>
        <v>1.9960144781970338E-2</v>
      </c>
      <c r="L55" s="29"/>
    </row>
    <row r="56" spans="1:12" ht="15.75">
      <c r="A56" s="106"/>
      <c r="B56" s="29" t="s">
        <v>77</v>
      </c>
      <c r="C56" s="31"/>
      <c r="D56" s="16" t="s">
        <v>369</v>
      </c>
      <c r="E56" s="60">
        <f>381.84173875+763.6834775</f>
        <v>1145.5252162500001</v>
      </c>
      <c r="F56" s="60">
        <v>246.375</v>
      </c>
      <c r="G56" s="60">
        <f>839.5+1679</f>
        <v>2518.5</v>
      </c>
      <c r="H56" s="8">
        <f t="shared" si="8"/>
        <v>8.1914050881999975E-2</v>
      </c>
      <c r="I56" s="8">
        <f t="shared" si="9"/>
        <v>7.476916017579821E-2</v>
      </c>
      <c r="J56" s="8">
        <f t="shared" si="10"/>
        <v>6.3060896976005185E-2</v>
      </c>
      <c r="K56" s="8">
        <f t="shared" si="2"/>
        <v>6.3060896976005185E-2</v>
      </c>
      <c r="L56" s="29"/>
    </row>
    <row r="57" spans="1:12" ht="15.75">
      <c r="A57" s="106"/>
      <c r="B57" s="29" t="s">
        <v>76</v>
      </c>
      <c r="C57" s="15"/>
      <c r="D57" s="16" t="s">
        <v>370</v>
      </c>
      <c r="E57" s="60">
        <v>1145.5252162500001</v>
      </c>
      <c r="F57" s="60">
        <v>420.09</v>
      </c>
      <c r="G57" s="60">
        <v>2518.5</v>
      </c>
      <c r="H57" s="8">
        <f t="shared" si="8"/>
        <v>8.1914050881999975E-2</v>
      </c>
      <c r="I57" s="8">
        <f t="shared" si="9"/>
        <v>0.12748767731405811</v>
      </c>
      <c r="J57" s="8">
        <f t="shared" si="10"/>
        <v>6.3060896976005185E-2</v>
      </c>
      <c r="K57" s="8">
        <f t="shared" si="2"/>
        <v>6.3060896976005185E-2</v>
      </c>
      <c r="L57" s="29"/>
    </row>
    <row r="58" spans="1:12" ht="15.75">
      <c r="A58" s="106"/>
      <c r="B58" s="29" t="s">
        <v>79</v>
      </c>
      <c r="C58" s="15"/>
      <c r="D58" s="16" t="s">
        <v>371</v>
      </c>
      <c r="E58" s="60">
        <v>78.064827600000001</v>
      </c>
      <c r="F58">
        <v>8.76</v>
      </c>
      <c r="G58" s="60">
        <v>245.28</v>
      </c>
      <c r="H58" s="8">
        <f t="shared" si="8"/>
        <v>5.5822483603236482E-3</v>
      </c>
      <c r="I58" s="8">
        <f t="shared" si="9"/>
        <v>2.658459028472825E-3</v>
      </c>
      <c r="J58" s="8">
        <f t="shared" si="10"/>
        <v>6.141583009837027E-3</v>
      </c>
      <c r="K58" s="8">
        <f t="shared" si="2"/>
        <v>6.141583009837027E-3</v>
      </c>
      <c r="L58" s="29"/>
    </row>
    <row r="59" spans="1:12" ht="15.75">
      <c r="A59" s="106"/>
      <c r="B59" s="29" t="s">
        <v>80</v>
      </c>
      <c r="C59" s="15"/>
      <c r="D59" s="16" t="s">
        <v>372</v>
      </c>
      <c r="E59" s="60">
        <v>182.1512644</v>
      </c>
      <c r="F59" s="60">
        <v>67.22</v>
      </c>
      <c r="G59" s="60">
        <v>572.32000000000005</v>
      </c>
      <c r="H59" s="8">
        <f t="shared" si="8"/>
        <v>1.3025246174088513E-2</v>
      </c>
      <c r="I59" s="8">
        <f t="shared" si="9"/>
        <v>2.0399727841774348E-2</v>
      </c>
      <c r="J59" s="8">
        <f t="shared" si="10"/>
        <v>1.4330360356286397E-2</v>
      </c>
      <c r="K59" s="8">
        <f t="shared" si="2"/>
        <v>1.4330360356286397E-2</v>
      </c>
      <c r="L59" s="29"/>
    </row>
    <row r="60" spans="1:12" ht="15.75">
      <c r="A60" s="106"/>
      <c r="B60" s="29" t="s">
        <v>75</v>
      </c>
      <c r="C60" s="15"/>
      <c r="D60" s="16" t="s">
        <v>373</v>
      </c>
      <c r="E60" s="60">
        <v>149.62425289999999</v>
      </c>
      <c r="F60">
        <v>16.79</v>
      </c>
      <c r="G60" s="60">
        <v>470.12</v>
      </c>
      <c r="H60" s="8">
        <f t="shared" si="8"/>
        <v>1.0699309357286992E-2</v>
      </c>
      <c r="I60" s="8">
        <f t="shared" si="9"/>
        <v>5.0953798045729141E-3</v>
      </c>
      <c r="J60" s="8">
        <f t="shared" si="10"/>
        <v>1.1771367435520968E-2</v>
      </c>
      <c r="K60" s="8">
        <f t="shared" si="2"/>
        <v>1.1771367435520968E-2</v>
      </c>
      <c r="L60" s="29"/>
    </row>
    <row r="61" spans="1:12">
      <c r="A61" s="106"/>
      <c r="B61" s="29" t="s">
        <v>73</v>
      </c>
      <c r="C61" s="15"/>
      <c r="D61" s="16" t="s">
        <v>374</v>
      </c>
      <c r="H61" s="8">
        <f t="shared" si="8"/>
        <v>0</v>
      </c>
      <c r="I61" s="8">
        <f t="shared" si="9"/>
        <v>0</v>
      </c>
      <c r="J61" s="8">
        <f t="shared" si="10"/>
        <v>0</v>
      </c>
      <c r="K61" s="8">
        <f t="shared" si="2"/>
        <v>0</v>
      </c>
      <c r="L61" s="29"/>
    </row>
    <row r="62" spans="1:12" ht="15.75">
      <c r="A62" s="106"/>
      <c r="B62" s="29" t="s">
        <v>74</v>
      </c>
      <c r="C62" s="32"/>
      <c r="D62" s="16" t="s">
        <v>375</v>
      </c>
      <c r="E62" s="60">
        <v>149.62425289999999</v>
      </c>
      <c r="F62" s="60">
        <v>134.26</v>
      </c>
      <c r="G62" s="60">
        <v>470.12</v>
      </c>
      <c r="H62" s="8">
        <f t="shared" si="8"/>
        <v>1.0699309357286992E-2</v>
      </c>
      <c r="I62" s="8">
        <f t="shared" si="9"/>
        <v>4.0744829813100625E-2</v>
      </c>
      <c r="J62" s="8">
        <f t="shared" si="10"/>
        <v>1.1771367435520968E-2</v>
      </c>
      <c r="K62" s="8">
        <f t="shared" si="2"/>
        <v>1.1771367435520968E-2</v>
      </c>
      <c r="L62" s="29"/>
    </row>
    <row r="63" spans="1:12">
      <c r="A63" s="106"/>
      <c r="B63" s="29" t="s">
        <v>72</v>
      </c>
      <c r="C63" s="15"/>
      <c r="D63" s="16" t="s">
        <v>376</v>
      </c>
      <c r="H63" s="8">
        <f t="shared" si="8"/>
        <v>0</v>
      </c>
      <c r="I63" s="8">
        <f t="shared" si="9"/>
        <v>0</v>
      </c>
      <c r="J63" s="8">
        <f t="shared" si="10"/>
        <v>0</v>
      </c>
      <c r="K63" s="8">
        <f t="shared" si="2"/>
        <v>0</v>
      </c>
      <c r="L63" s="29"/>
    </row>
    <row r="64" spans="1:12" ht="15.75">
      <c r="A64" s="106"/>
      <c r="B64" s="29" t="s">
        <v>69</v>
      </c>
      <c r="C64" s="15"/>
      <c r="D64" s="16" t="s">
        <v>377</v>
      </c>
      <c r="E64" s="60">
        <f>52.0432184+117.0972414</f>
        <v>169.1404598</v>
      </c>
      <c r="F64" s="60">
        <v>18.98</v>
      </c>
      <c r="G64" s="60">
        <f>163.52+367.92</f>
        <v>531.44000000000005</v>
      </c>
      <c r="H64" s="8">
        <f t="shared" si="8"/>
        <v>1.2094871447367905E-2</v>
      </c>
      <c r="I64" s="8">
        <f t="shared" si="9"/>
        <v>5.7599945616911207E-3</v>
      </c>
      <c r="J64" s="8">
        <f t="shared" si="10"/>
        <v>1.3306763187980226E-2</v>
      </c>
      <c r="K64" s="8">
        <f t="shared" si="2"/>
        <v>1.3306763187980226E-2</v>
      </c>
      <c r="L64" s="29"/>
    </row>
    <row r="65" spans="1:12">
      <c r="A65" s="106"/>
      <c r="B65" s="29" t="s">
        <v>70</v>
      </c>
      <c r="C65" s="15"/>
      <c r="D65" s="16" t="s">
        <v>378</v>
      </c>
      <c r="H65" s="8">
        <f t="shared" si="8"/>
        <v>0</v>
      </c>
      <c r="I65" s="8">
        <f t="shared" si="9"/>
        <v>0</v>
      </c>
      <c r="J65" s="8">
        <f t="shared" si="10"/>
        <v>0</v>
      </c>
      <c r="K65" s="8">
        <f t="shared" si="2"/>
        <v>0</v>
      </c>
      <c r="L65" s="29"/>
    </row>
    <row r="66" spans="1:12" ht="15.75">
      <c r="A66" s="106"/>
      <c r="B66" s="29" t="s">
        <v>68</v>
      </c>
      <c r="C66" s="32"/>
      <c r="D66" s="16" t="s">
        <v>379</v>
      </c>
      <c r="E66" s="60">
        <v>1069.1568685</v>
      </c>
      <c r="F66">
        <v>229.95</v>
      </c>
      <c r="G66" s="60">
        <v>2350.6</v>
      </c>
      <c r="H66" s="8">
        <f t="shared" si="8"/>
        <v>7.6453114156533303E-2</v>
      </c>
      <c r="I66" s="8">
        <f t="shared" si="9"/>
        <v>6.9784549497411655E-2</v>
      </c>
      <c r="J66" s="8">
        <f t="shared" si="10"/>
        <v>5.8856837177604836E-2</v>
      </c>
      <c r="K66" s="8">
        <f t="shared" si="2"/>
        <v>5.8856837177604836E-2</v>
      </c>
      <c r="L66" s="29"/>
    </row>
    <row r="67" spans="1:12" ht="15.75">
      <c r="A67" s="106"/>
      <c r="B67" s="29" t="s">
        <v>71</v>
      </c>
      <c r="C67" s="15"/>
      <c r="D67" s="16" t="s">
        <v>380</v>
      </c>
      <c r="E67" s="60">
        <f>1603.73530275+763.6834775+878.2359991+916.420173+364.3025288</f>
        <v>4526.3774811499998</v>
      </c>
      <c r="F67" s="60">
        <v>936.04200000000003</v>
      </c>
      <c r="G67" s="60">
        <f>3525.9+1679+1930.85+2014.8+1144.64</f>
        <v>10295.189999999999</v>
      </c>
      <c r="H67" s="8">
        <f t="shared" si="8"/>
        <v>0.32367154388432251</v>
      </c>
      <c r="I67" s="8">
        <f t="shared" si="9"/>
        <v>0.28406727236641099</v>
      </c>
      <c r="J67" s="8">
        <f t="shared" si="10"/>
        <v>0.25778197972539157</v>
      </c>
      <c r="K67" s="8">
        <f t="shared" ref="K67:K130" si="11">J67</f>
        <v>0.25778197972539157</v>
      </c>
      <c r="L67" s="29"/>
    </row>
    <row r="68" spans="1:12" ht="15.75">
      <c r="A68" s="106"/>
      <c r="B68" s="29" t="s">
        <v>67</v>
      </c>
      <c r="C68" s="32"/>
      <c r="D68" s="16" t="s">
        <v>381</v>
      </c>
      <c r="E68" s="60">
        <v>149.62425289999999</v>
      </c>
      <c r="F68" s="60">
        <v>207.62</v>
      </c>
      <c r="G68" s="60">
        <v>470.12</v>
      </c>
      <c r="H68" s="8">
        <f t="shared" si="8"/>
        <v>1.0699309357286992E-2</v>
      </c>
      <c r="I68" s="8">
        <f t="shared" si="9"/>
        <v>6.3007906791270316E-2</v>
      </c>
      <c r="J68" s="8">
        <f t="shared" si="10"/>
        <v>1.1771367435520968E-2</v>
      </c>
      <c r="K68" s="8">
        <f t="shared" si="11"/>
        <v>1.1771367435520968E-2</v>
      </c>
      <c r="L68" s="29"/>
    </row>
    <row r="69" spans="1:12">
      <c r="A69" s="106"/>
      <c r="B69" s="29" t="s">
        <v>66</v>
      </c>
      <c r="C69" s="15"/>
      <c r="D69" s="16" t="s">
        <v>382</v>
      </c>
      <c r="E69" s="3">
        <f>169.1404598+78.0648276+162.6350575+91.0756322</f>
        <v>500.91597709999996</v>
      </c>
      <c r="F69" s="3">
        <v>56.21</v>
      </c>
      <c r="G69" s="3">
        <f>531.44+245.28+511+286.16</f>
        <v>1573.88</v>
      </c>
      <c r="H69" s="8">
        <f t="shared" si="8"/>
        <v>3.5819426978743407E-2</v>
      </c>
      <c r="I69" s="8">
        <f t="shared" si="9"/>
        <v>1.7058445432700627E-2</v>
      </c>
      <c r="J69" s="8">
        <f t="shared" si="10"/>
        <v>3.9408490979787589E-2</v>
      </c>
      <c r="K69" s="8">
        <f t="shared" si="11"/>
        <v>3.9408490979787589E-2</v>
      </c>
      <c r="L69" s="29"/>
    </row>
    <row r="70" spans="1:12" ht="15.75">
      <c r="A70" s="24" t="s">
        <v>622</v>
      </c>
      <c r="B70" s="29" t="s">
        <v>383</v>
      </c>
      <c r="C70" s="15"/>
      <c r="D70" s="16" t="s">
        <v>384</v>
      </c>
      <c r="E70" s="60">
        <v>149.62425289999999</v>
      </c>
      <c r="F70" s="60"/>
      <c r="G70" s="60">
        <v>470.12</v>
      </c>
      <c r="H70" s="8">
        <v>1</v>
      </c>
      <c r="J70" s="8">
        <v>1</v>
      </c>
      <c r="K70" s="8">
        <f t="shared" si="11"/>
        <v>1</v>
      </c>
      <c r="L70" s="29"/>
    </row>
    <row r="71" spans="1:12">
      <c r="A71" s="106" t="s">
        <v>8</v>
      </c>
      <c r="B71" s="29" t="s">
        <v>106</v>
      </c>
      <c r="C71" s="15"/>
      <c r="D71" s="16" t="s">
        <v>385</v>
      </c>
      <c r="K71" s="8">
        <v>0.33329999999999999</v>
      </c>
      <c r="L71" s="29" t="s">
        <v>925</v>
      </c>
    </row>
    <row r="72" spans="1:12">
      <c r="A72" s="106"/>
      <c r="B72" s="29" t="s">
        <v>105</v>
      </c>
      <c r="C72" s="15"/>
      <c r="D72" s="16" t="s">
        <v>386</v>
      </c>
      <c r="K72" s="8">
        <v>0.33329999999999999</v>
      </c>
      <c r="L72" s="29" t="s">
        <v>925</v>
      </c>
    </row>
    <row r="73" spans="1:12">
      <c r="A73" s="106"/>
      <c r="B73" s="29" t="s">
        <v>104</v>
      </c>
      <c r="C73" s="15"/>
      <c r="D73" s="16" t="s">
        <v>387</v>
      </c>
      <c r="K73" s="8">
        <v>0.33329999999999999</v>
      </c>
      <c r="L73" s="29" t="s">
        <v>925</v>
      </c>
    </row>
    <row r="74" spans="1:12" ht="15.75">
      <c r="A74" s="106" t="s">
        <v>9</v>
      </c>
      <c r="B74" s="29" t="s">
        <v>114</v>
      </c>
      <c r="C74" s="15"/>
      <c r="D74" s="16" t="s">
        <v>388</v>
      </c>
      <c r="E74" s="65">
        <v>227.68908049999999</v>
      </c>
      <c r="F74" s="65"/>
      <c r="G74" s="65">
        <v>715.4</v>
      </c>
      <c r="H74" s="8">
        <f>E74/SUM(E$74:E$86)</f>
        <v>0.60344827586206895</v>
      </c>
      <c r="J74" s="8">
        <f t="shared" ref="J74:J86" si="12">G74/SUM(G$74:G$86)</f>
        <v>0.60344827586206895</v>
      </c>
      <c r="K74" s="8">
        <f t="shared" si="11"/>
        <v>0.60344827586206895</v>
      </c>
      <c r="L74" s="29"/>
    </row>
    <row r="75" spans="1:12">
      <c r="A75" s="106"/>
      <c r="B75" s="29" t="s">
        <v>389</v>
      </c>
      <c r="C75" s="15"/>
      <c r="D75" s="16" t="s">
        <v>390</v>
      </c>
      <c r="H75" s="8">
        <f t="shared" ref="H75:H86" si="13">E75/SUM(E$74:E$86)</f>
        <v>0</v>
      </c>
      <c r="J75" s="8">
        <f t="shared" si="12"/>
        <v>0</v>
      </c>
      <c r="K75" s="8">
        <f t="shared" si="11"/>
        <v>0</v>
      </c>
      <c r="L75" s="29"/>
    </row>
    <row r="76" spans="1:12">
      <c r="A76" s="106"/>
      <c r="B76" s="29" t="s">
        <v>391</v>
      </c>
      <c r="C76" s="15"/>
      <c r="D76" s="16" t="s">
        <v>392</v>
      </c>
      <c r="H76" s="8">
        <f t="shared" si="13"/>
        <v>0</v>
      </c>
      <c r="J76" s="8">
        <f t="shared" si="12"/>
        <v>0</v>
      </c>
      <c r="K76" s="8">
        <f t="shared" si="11"/>
        <v>0</v>
      </c>
    </row>
    <row r="77" spans="1:12">
      <c r="A77" s="106"/>
      <c r="B77" s="29" t="s">
        <v>393</v>
      </c>
      <c r="C77" s="15"/>
      <c r="D77" s="16" t="s">
        <v>394</v>
      </c>
      <c r="H77" s="8">
        <f t="shared" si="13"/>
        <v>0</v>
      </c>
      <c r="J77" s="8">
        <f t="shared" si="12"/>
        <v>0</v>
      </c>
      <c r="K77" s="8">
        <f t="shared" si="11"/>
        <v>0</v>
      </c>
    </row>
    <row r="78" spans="1:12">
      <c r="A78" s="106"/>
      <c r="B78" s="29" t="s">
        <v>115</v>
      </c>
      <c r="C78" s="15"/>
      <c r="D78" s="16" t="s">
        <v>395</v>
      </c>
      <c r="H78" s="8">
        <f t="shared" si="13"/>
        <v>0</v>
      </c>
      <c r="J78" s="8">
        <f t="shared" si="12"/>
        <v>0</v>
      </c>
      <c r="K78" s="8">
        <f t="shared" si="11"/>
        <v>0</v>
      </c>
    </row>
    <row r="79" spans="1:12">
      <c r="A79" s="106"/>
      <c r="B79" s="29" t="s">
        <v>110</v>
      </c>
      <c r="C79" s="15"/>
      <c r="D79" s="16" t="s">
        <v>396</v>
      </c>
      <c r="H79" s="8">
        <f t="shared" si="13"/>
        <v>0</v>
      </c>
      <c r="J79" s="8">
        <f t="shared" si="12"/>
        <v>0</v>
      </c>
      <c r="K79" s="8">
        <f t="shared" si="11"/>
        <v>0</v>
      </c>
    </row>
    <row r="80" spans="1:12">
      <c r="A80" s="106"/>
      <c r="B80" s="29" t="s">
        <v>112</v>
      </c>
      <c r="C80" s="15"/>
      <c r="D80" s="16" t="s">
        <v>397</v>
      </c>
      <c r="H80" s="8">
        <f t="shared" si="13"/>
        <v>0</v>
      </c>
      <c r="J80" s="8">
        <f t="shared" si="12"/>
        <v>0</v>
      </c>
      <c r="K80" s="8">
        <f t="shared" si="11"/>
        <v>0</v>
      </c>
    </row>
    <row r="81" spans="1:11">
      <c r="A81" s="106"/>
      <c r="B81" s="29" t="s">
        <v>111</v>
      </c>
      <c r="C81" s="15"/>
      <c r="D81" s="16" t="s">
        <v>398</v>
      </c>
      <c r="H81" s="8">
        <f t="shared" si="13"/>
        <v>0</v>
      </c>
      <c r="J81" s="8">
        <f t="shared" si="12"/>
        <v>0</v>
      </c>
      <c r="K81" s="8">
        <f t="shared" si="11"/>
        <v>0</v>
      </c>
    </row>
    <row r="82" spans="1:11" ht="15.75">
      <c r="A82" s="106"/>
      <c r="B82" s="29" t="s">
        <v>107</v>
      </c>
      <c r="C82" s="15"/>
      <c r="D82" s="16" t="s">
        <v>399</v>
      </c>
      <c r="E82" s="60">
        <v>149.62425289999999</v>
      </c>
      <c r="F82" s="60"/>
      <c r="G82" s="60">
        <v>470.12</v>
      </c>
      <c r="H82" s="8">
        <f t="shared" si="13"/>
        <v>0.39655172413793105</v>
      </c>
      <c r="J82" s="8">
        <f t="shared" si="12"/>
        <v>0.39655172413793105</v>
      </c>
      <c r="K82" s="8">
        <f t="shared" si="11"/>
        <v>0.39655172413793105</v>
      </c>
    </row>
    <row r="83" spans="1:11">
      <c r="A83" s="106"/>
      <c r="B83" s="29" t="s">
        <v>400</v>
      </c>
      <c r="C83" s="15"/>
      <c r="D83" s="16" t="s">
        <v>401</v>
      </c>
      <c r="H83" s="8">
        <f t="shared" si="13"/>
        <v>0</v>
      </c>
      <c r="J83" s="8">
        <f t="shared" si="12"/>
        <v>0</v>
      </c>
      <c r="K83" s="8">
        <f t="shared" si="11"/>
        <v>0</v>
      </c>
    </row>
    <row r="84" spans="1:11">
      <c r="A84" s="106"/>
      <c r="B84" s="29" t="s">
        <v>113</v>
      </c>
      <c r="C84" s="15"/>
      <c r="D84" s="16" t="s">
        <v>402</v>
      </c>
      <c r="H84" s="8">
        <f t="shared" si="13"/>
        <v>0</v>
      </c>
      <c r="J84" s="8">
        <f t="shared" si="12"/>
        <v>0</v>
      </c>
      <c r="K84" s="8">
        <f t="shared" si="11"/>
        <v>0</v>
      </c>
    </row>
    <row r="85" spans="1:11">
      <c r="A85" s="106"/>
      <c r="B85" s="29" t="s">
        <v>108</v>
      </c>
      <c r="C85" s="15"/>
      <c r="D85" s="16" t="s">
        <v>403</v>
      </c>
      <c r="H85" s="8">
        <f t="shared" si="13"/>
        <v>0</v>
      </c>
      <c r="J85" s="8">
        <f t="shared" si="12"/>
        <v>0</v>
      </c>
      <c r="K85" s="8">
        <f t="shared" si="11"/>
        <v>0</v>
      </c>
    </row>
    <row r="86" spans="1:11">
      <c r="A86" s="106"/>
      <c r="B86" s="29" t="s">
        <v>109</v>
      </c>
      <c r="C86" s="15"/>
      <c r="D86" s="16" t="s">
        <v>404</v>
      </c>
      <c r="H86" s="8">
        <f t="shared" si="13"/>
        <v>0</v>
      </c>
      <c r="J86" s="8">
        <f t="shared" si="12"/>
        <v>0</v>
      </c>
      <c r="K86" s="8">
        <f t="shared" si="11"/>
        <v>0</v>
      </c>
    </row>
    <row r="87" spans="1:11">
      <c r="A87" s="106" t="s">
        <v>10</v>
      </c>
      <c r="B87" s="29" t="s">
        <v>120</v>
      </c>
      <c r="C87" s="15"/>
      <c r="D87" s="16" t="s">
        <v>405</v>
      </c>
      <c r="H87" s="8">
        <f>E87/SUM(E$87:E$105)</f>
        <v>0</v>
      </c>
      <c r="J87" s="8">
        <f t="shared" ref="J87:J105" si="14">G87/SUM(G$87:G$105)</f>
        <v>0</v>
      </c>
      <c r="K87" s="8">
        <f t="shared" si="11"/>
        <v>0</v>
      </c>
    </row>
    <row r="88" spans="1:11" ht="15.75">
      <c r="A88" s="106"/>
      <c r="B88" s="29" t="s">
        <v>117</v>
      </c>
      <c r="C88" s="15"/>
      <c r="D88" s="16" t="s">
        <v>406</v>
      </c>
      <c r="E88" s="60">
        <v>878.23599912500003</v>
      </c>
      <c r="F88" s="60"/>
      <c r="G88" s="60">
        <v>1930.85</v>
      </c>
      <c r="H88" s="8">
        <f t="shared" ref="H88:H105" si="15">E88/SUM(E$87:E$105)</f>
        <v>0.12230792566242552</v>
      </c>
      <c r="J88" s="8">
        <f t="shared" si="14"/>
        <v>0.1064278132968926</v>
      </c>
      <c r="K88" s="8">
        <f t="shared" si="11"/>
        <v>0.1064278132968926</v>
      </c>
    </row>
    <row r="89" spans="1:11" ht="15.75">
      <c r="A89" s="106"/>
      <c r="B89" s="29" t="s">
        <v>128</v>
      </c>
      <c r="C89" s="15"/>
      <c r="D89" s="16" t="s">
        <v>407</v>
      </c>
      <c r="E89" s="60">
        <v>305.47339099999999</v>
      </c>
      <c r="F89" s="60"/>
      <c r="G89" s="60">
        <v>671.6</v>
      </c>
      <c r="H89" s="8">
        <f t="shared" si="15"/>
        <v>4.254188718693061E-2</v>
      </c>
      <c r="J89" s="8">
        <f t="shared" si="14"/>
        <v>3.7018369842397432E-2</v>
      </c>
      <c r="K89" s="8">
        <f t="shared" si="11"/>
        <v>3.7018369842397432E-2</v>
      </c>
    </row>
    <row r="90" spans="1:11" ht="15.75">
      <c r="A90" s="106"/>
      <c r="B90" s="29" t="s">
        <v>118</v>
      </c>
      <c r="C90" s="15"/>
      <c r="D90" s="16" t="s">
        <v>408</v>
      </c>
      <c r="E90" s="60">
        <f>1397.540763825+149.6242529</f>
        <v>1547.165016725</v>
      </c>
      <c r="F90" s="60"/>
      <c r="G90" s="60">
        <v>3072.57</v>
      </c>
      <c r="H90" s="8">
        <f t="shared" si="15"/>
        <v>0.21546662177551354</v>
      </c>
      <c r="J90" s="8">
        <f t="shared" si="14"/>
        <v>0.16935904202896826</v>
      </c>
      <c r="K90" s="8">
        <f t="shared" si="11"/>
        <v>0.16935904202896826</v>
      </c>
    </row>
    <row r="91" spans="1:11" ht="15.75">
      <c r="A91" s="106"/>
      <c r="B91" s="29" t="s">
        <v>123</v>
      </c>
      <c r="C91" s="15"/>
      <c r="D91" s="16" t="s">
        <v>409</v>
      </c>
      <c r="E91" s="60">
        <v>916.42017299999998</v>
      </c>
      <c r="F91" s="60"/>
      <c r="G91" s="60">
        <f>2014.8+470.12</f>
        <v>2484.92</v>
      </c>
      <c r="H91" s="8">
        <f t="shared" si="15"/>
        <v>0.12762566156079183</v>
      </c>
      <c r="J91" s="8">
        <f t="shared" si="14"/>
        <v>0.13696796841687051</v>
      </c>
      <c r="K91" s="8">
        <f t="shared" si="11"/>
        <v>0.13696796841687051</v>
      </c>
    </row>
    <row r="92" spans="1:11">
      <c r="A92" s="106"/>
      <c r="B92" s="29" t="s">
        <v>119</v>
      </c>
      <c r="C92" s="15"/>
      <c r="D92" s="16" t="s">
        <v>410</v>
      </c>
      <c r="H92" s="8">
        <f t="shared" si="15"/>
        <v>0</v>
      </c>
      <c r="J92" s="8">
        <f t="shared" si="14"/>
        <v>0</v>
      </c>
      <c r="K92" s="8">
        <f t="shared" si="11"/>
        <v>0</v>
      </c>
    </row>
    <row r="93" spans="1:11" ht="15.75">
      <c r="A93" s="106"/>
      <c r="B93" s="29" t="s">
        <v>129</v>
      </c>
      <c r="C93" s="15"/>
      <c r="D93" s="16" t="s">
        <v>411</v>
      </c>
      <c r="E93" s="60">
        <v>149.62425289999999</v>
      </c>
      <c r="F93" s="60"/>
      <c r="G93" s="60">
        <v>470.12</v>
      </c>
      <c r="H93" s="8">
        <f t="shared" si="15"/>
        <v>2.0837487895305994E-2</v>
      </c>
      <c r="J93" s="8">
        <f t="shared" si="14"/>
        <v>2.5912858889678203E-2</v>
      </c>
      <c r="K93" s="8">
        <f t="shared" si="11"/>
        <v>2.5912858889678203E-2</v>
      </c>
    </row>
    <row r="94" spans="1:11">
      <c r="A94" s="106"/>
      <c r="B94" s="29" t="s">
        <v>124</v>
      </c>
      <c r="C94" s="15"/>
      <c r="D94" s="16" t="s">
        <v>412</v>
      </c>
      <c r="H94" s="8">
        <f t="shared" si="15"/>
        <v>0</v>
      </c>
      <c r="J94" s="8">
        <f t="shared" si="14"/>
        <v>0</v>
      </c>
      <c r="K94" s="8">
        <f t="shared" si="11"/>
        <v>0</v>
      </c>
    </row>
    <row r="95" spans="1:11" ht="15.75">
      <c r="A95" s="106"/>
      <c r="B95" s="29" t="s">
        <v>126</v>
      </c>
      <c r="C95" s="15"/>
      <c r="D95" s="16" t="s">
        <v>413</v>
      </c>
      <c r="E95" s="60">
        <f>173.94938225+149.6242529+169.1404598</f>
        <v>492.71409495</v>
      </c>
      <c r="F95" s="60"/>
      <c r="G95" s="60">
        <f>474.5+470.12+531.44</f>
        <v>1476.06</v>
      </c>
      <c r="H95" s="8">
        <f t="shared" si="15"/>
        <v>6.8618046809758027E-2</v>
      </c>
      <c r="J95" s="8">
        <f t="shared" si="14"/>
        <v>8.1359938936225659E-2</v>
      </c>
      <c r="K95" s="8">
        <f t="shared" si="11"/>
        <v>8.1359938936225659E-2</v>
      </c>
    </row>
    <row r="96" spans="1:11" ht="15.75">
      <c r="A96" s="106"/>
      <c r="B96" s="29" t="s">
        <v>127</v>
      </c>
      <c r="C96" s="15"/>
      <c r="D96" s="16" t="s">
        <v>414</v>
      </c>
      <c r="E96" s="60">
        <f>195.81260923+656.7677907</f>
        <v>852.58039993</v>
      </c>
      <c r="F96" s="60"/>
      <c r="G96" s="60">
        <f>615.244+1443.94</f>
        <v>2059.1840000000002</v>
      </c>
      <c r="H96" s="8">
        <f t="shared" si="15"/>
        <v>0.11873498726967759</v>
      </c>
      <c r="J96" s="8">
        <f t="shared" si="14"/>
        <v>0.11350154092547247</v>
      </c>
      <c r="K96" s="8">
        <f t="shared" si="11"/>
        <v>0.11350154092547247</v>
      </c>
    </row>
    <row r="97" spans="1:11" ht="15.75">
      <c r="A97" s="106"/>
      <c r="B97" s="29" t="s">
        <v>121</v>
      </c>
      <c r="C97" s="15"/>
      <c r="D97" s="16" t="s">
        <v>415</v>
      </c>
      <c r="E97" s="60">
        <v>263.46879315000001</v>
      </c>
      <c r="F97" s="60"/>
      <c r="G97" s="60">
        <v>827.82</v>
      </c>
      <c r="H97" s="8">
        <f t="shared" si="15"/>
        <v>3.669209825043012E-2</v>
      </c>
      <c r="J97" s="8">
        <f t="shared" si="14"/>
        <v>4.5629164566607268E-2</v>
      </c>
      <c r="K97" s="8">
        <f t="shared" si="11"/>
        <v>4.5629164566607268E-2</v>
      </c>
    </row>
    <row r="98" spans="1:11" ht="15.75">
      <c r="A98" s="106"/>
      <c r="B98" s="29" t="s">
        <v>125</v>
      </c>
      <c r="C98" s="15"/>
      <c r="D98" s="16" t="s">
        <v>416</v>
      </c>
      <c r="E98" s="60">
        <f>149.6242529+188.6566667+149.6242529</f>
        <v>487.90517249999994</v>
      </c>
      <c r="F98" s="60"/>
      <c r="G98" s="60">
        <f>470.12+986.76+470.12</f>
        <v>1927</v>
      </c>
      <c r="H98" s="8">
        <f t="shared" si="15"/>
        <v>6.7948330093389103E-2</v>
      </c>
      <c r="J98" s="8">
        <f t="shared" si="14"/>
        <v>0.1062156025704286</v>
      </c>
      <c r="K98" s="8">
        <f t="shared" si="11"/>
        <v>0.1062156025704286</v>
      </c>
    </row>
    <row r="99" spans="1:11" ht="15.75">
      <c r="A99" s="106"/>
      <c r="B99" s="29" t="s">
        <v>122</v>
      </c>
      <c r="C99" s="15"/>
      <c r="D99" s="16" t="s">
        <v>417</v>
      </c>
      <c r="E99" s="60">
        <v>870.59916435000002</v>
      </c>
      <c r="F99" s="60"/>
      <c r="G99" s="60">
        <v>1914.06</v>
      </c>
      <c r="H99" s="8">
        <f t="shared" si="15"/>
        <v>0.12124437848275224</v>
      </c>
      <c r="J99" s="8">
        <f t="shared" si="14"/>
        <v>0.10550235405083268</v>
      </c>
      <c r="K99" s="8">
        <f t="shared" si="11"/>
        <v>0.10550235405083268</v>
      </c>
    </row>
    <row r="100" spans="1:11">
      <c r="A100" s="106"/>
      <c r="B100" s="29" t="s">
        <v>418</v>
      </c>
      <c r="C100" s="15"/>
      <c r="D100" s="16" t="s">
        <v>419</v>
      </c>
      <c r="H100" s="8">
        <f t="shared" si="15"/>
        <v>0</v>
      </c>
      <c r="J100" s="8">
        <f t="shared" si="14"/>
        <v>0</v>
      </c>
      <c r="K100" s="8">
        <f t="shared" si="11"/>
        <v>0</v>
      </c>
    </row>
    <row r="101" spans="1:11" ht="15.75">
      <c r="A101" s="106"/>
      <c r="B101" s="29" t="s">
        <v>130</v>
      </c>
      <c r="C101" s="15"/>
      <c r="D101" s="16" t="s">
        <v>420</v>
      </c>
      <c r="E101" s="60">
        <f>149.6242529+117.0972414</f>
        <v>266.72149430000002</v>
      </c>
      <c r="F101" s="60"/>
      <c r="G101" s="60">
        <f>470.12+367.92</f>
        <v>838.04</v>
      </c>
      <c r="H101" s="8">
        <f t="shared" si="15"/>
        <v>3.7145087117719383E-2</v>
      </c>
      <c r="J101" s="8">
        <f t="shared" si="14"/>
        <v>4.6192487585948093E-2</v>
      </c>
      <c r="K101" s="8">
        <f t="shared" si="11"/>
        <v>4.6192487585948093E-2</v>
      </c>
    </row>
    <row r="102" spans="1:11">
      <c r="A102" s="106"/>
      <c r="B102" s="29" t="s">
        <v>116</v>
      </c>
      <c r="C102" s="15"/>
      <c r="D102" s="16" t="s">
        <v>421</v>
      </c>
      <c r="H102" s="8">
        <f t="shared" si="15"/>
        <v>0</v>
      </c>
      <c r="J102" s="8">
        <f t="shared" si="14"/>
        <v>0</v>
      </c>
      <c r="K102" s="8">
        <f t="shared" si="11"/>
        <v>0</v>
      </c>
    </row>
    <row r="103" spans="1:11">
      <c r="A103" s="106"/>
      <c r="B103" s="29" t="s">
        <v>422</v>
      </c>
      <c r="C103" s="15"/>
      <c r="D103" s="16" t="s">
        <v>423</v>
      </c>
      <c r="H103" s="8">
        <f t="shared" si="15"/>
        <v>0</v>
      </c>
      <c r="J103" s="8">
        <f t="shared" si="14"/>
        <v>0</v>
      </c>
      <c r="K103" s="8">
        <f t="shared" si="11"/>
        <v>0</v>
      </c>
    </row>
    <row r="104" spans="1:11">
      <c r="A104" s="106"/>
      <c r="B104" s="29" t="s">
        <v>424</v>
      </c>
      <c r="C104" s="15"/>
      <c r="D104" s="16" t="s">
        <v>425</v>
      </c>
      <c r="H104" s="8">
        <f t="shared" si="15"/>
        <v>0</v>
      </c>
      <c r="J104" s="8">
        <f t="shared" si="14"/>
        <v>0</v>
      </c>
      <c r="K104" s="8">
        <f t="shared" si="11"/>
        <v>0</v>
      </c>
    </row>
    <row r="105" spans="1:11" ht="15.75">
      <c r="A105" s="106"/>
      <c r="B105" s="29" t="s">
        <v>426</v>
      </c>
      <c r="C105" s="15"/>
      <c r="D105" s="16" t="s">
        <v>427</v>
      </c>
      <c r="E105" s="60">
        <v>149.62425289999999</v>
      </c>
      <c r="F105" s="60"/>
      <c r="G105" s="60">
        <v>470.12</v>
      </c>
      <c r="H105" s="8">
        <f t="shared" si="15"/>
        <v>2.0837487895305994E-2</v>
      </c>
      <c r="J105" s="8">
        <f t="shared" si="14"/>
        <v>2.5912858889678203E-2</v>
      </c>
      <c r="K105" s="8">
        <f t="shared" si="11"/>
        <v>2.5912858889678203E-2</v>
      </c>
    </row>
    <row r="106" spans="1:11" ht="15.75">
      <c r="A106" s="106" t="s">
        <v>11</v>
      </c>
      <c r="B106" s="29" t="s">
        <v>132</v>
      </c>
      <c r="C106" s="15"/>
      <c r="D106" s="16" t="s">
        <v>428</v>
      </c>
      <c r="E106" s="60">
        <v>32.5270115</v>
      </c>
      <c r="F106" s="60"/>
      <c r="G106" s="60">
        <v>102.2</v>
      </c>
      <c r="H106" s="8">
        <f>E106/SUM(E$106:E$132)</f>
        <v>3.4914912914666366E-3</v>
      </c>
      <c r="J106" s="8">
        <f t="shared" ref="J106:J132" si="16">G106/SUM(G$106:G$132)</f>
        <v>4.2742422195968877E-3</v>
      </c>
      <c r="K106" s="8">
        <f t="shared" si="11"/>
        <v>4.2742422195968877E-3</v>
      </c>
    </row>
    <row r="107" spans="1:11">
      <c r="A107" s="106"/>
      <c r="B107" s="29" t="s">
        <v>143</v>
      </c>
      <c r="C107" s="15"/>
      <c r="D107" s="16" t="s">
        <v>429</v>
      </c>
      <c r="H107" s="8">
        <f t="shared" ref="H107:H132" si="17">E107/SUM(E$106:E$132)</f>
        <v>0</v>
      </c>
      <c r="J107" s="8">
        <f t="shared" si="16"/>
        <v>0</v>
      </c>
      <c r="K107" s="8">
        <f t="shared" si="11"/>
        <v>0</v>
      </c>
    </row>
    <row r="108" spans="1:11" ht="15.75">
      <c r="A108" s="106"/>
      <c r="B108" s="29" t="s">
        <v>141</v>
      </c>
      <c r="C108" s="15"/>
      <c r="D108" s="16" t="s">
        <v>430</v>
      </c>
      <c r="E108" s="60">
        <f>149.6242529+78.0648276</f>
        <v>227.68908049999999</v>
      </c>
      <c r="F108" s="60"/>
      <c r="G108" s="60">
        <f>470.12+245.28</f>
        <v>715.4</v>
      </c>
      <c r="H108" s="8">
        <f t="shared" si="17"/>
        <v>2.4440439040266455E-2</v>
      </c>
      <c r="J108" s="8">
        <f t="shared" si="16"/>
        <v>2.9919695537178208E-2</v>
      </c>
      <c r="K108" s="8">
        <f t="shared" si="11"/>
        <v>2.9919695537178208E-2</v>
      </c>
    </row>
    <row r="109" spans="1:11">
      <c r="A109" s="106"/>
      <c r="B109" s="29" t="s">
        <v>138</v>
      </c>
      <c r="C109" s="15"/>
      <c r="D109" s="16" t="s">
        <v>431</v>
      </c>
      <c r="H109" s="8">
        <f t="shared" si="17"/>
        <v>0</v>
      </c>
      <c r="J109" s="8">
        <f t="shared" si="16"/>
        <v>0</v>
      </c>
      <c r="K109" s="8">
        <f t="shared" si="11"/>
        <v>0</v>
      </c>
    </row>
    <row r="110" spans="1:11" ht="15.75">
      <c r="A110" s="106"/>
      <c r="B110" s="30" t="s">
        <v>145</v>
      </c>
      <c r="C110" s="16"/>
      <c r="D110" s="19" t="s">
        <v>432</v>
      </c>
      <c r="E110"/>
      <c r="F110"/>
      <c r="G110"/>
      <c r="H110" s="8">
        <f t="shared" si="17"/>
        <v>0</v>
      </c>
      <c r="J110" s="8">
        <f t="shared" si="16"/>
        <v>0</v>
      </c>
      <c r="K110" s="8">
        <f t="shared" si="11"/>
        <v>0</v>
      </c>
    </row>
    <row r="111" spans="1:11" ht="15.75">
      <c r="A111" s="106"/>
      <c r="B111" s="30" t="s">
        <v>137</v>
      </c>
      <c r="C111" s="31"/>
      <c r="D111" s="19" t="s">
        <v>433</v>
      </c>
      <c r="E111" s="60">
        <f>32.5270115+279.7322989</f>
        <v>312.2593104</v>
      </c>
      <c r="F111" s="60"/>
      <c r="G111" s="60">
        <f>102.2+878.92</f>
        <v>981.12</v>
      </c>
      <c r="H111" s="8">
        <f t="shared" si="17"/>
        <v>3.3518316398079714E-2</v>
      </c>
      <c r="J111" s="8">
        <f t="shared" si="16"/>
        <v>4.1032725308130118E-2</v>
      </c>
      <c r="K111" s="8">
        <f t="shared" si="11"/>
        <v>4.1032725308130118E-2</v>
      </c>
    </row>
    <row r="112" spans="1:11" ht="15.75">
      <c r="A112" s="106"/>
      <c r="B112" s="29" t="s">
        <v>134</v>
      </c>
      <c r="C112" s="32"/>
      <c r="D112" s="16" t="s">
        <v>434</v>
      </c>
      <c r="E112">
        <f>1264.3189375+916.420173+204.2696322</f>
        <v>2385.0087426999999</v>
      </c>
      <c r="F112"/>
      <c r="G112">
        <f>2963.8+2014.8+641.816</f>
        <v>5620.4160000000002</v>
      </c>
      <c r="H112" s="8">
        <f t="shared" si="17"/>
        <v>0.25600990903233894</v>
      </c>
      <c r="J112" s="8">
        <f t="shared" si="16"/>
        <v>0.23505889783657397</v>
      </c>
      <c r="K112" s="8">
        <f t="shared" si="11"/>
        <v>0.23505889783657397</v>
      </c>
    </row>
    <row r="113" spans="1:14" ht="15.75">
      <c r="A113" s="106"/>
      <c r="B113" s="29" t="s">
        <v>151</v>
      </c>
      <c r="C113" s="15"/>
      <c r="D113" s="16" t="s">
        <v>435</v>
      </c>
      <c r="E113" s="60">
        <f>149.6242529+913.3077304</f>
        <v>1062.9319833</v>
      </c>
      <c r="F113" s="60"/>
      <c r="G113" s="60">
        <f>470.12+2149.12</f>
        <v>2619.2399999999998</v>
      </c>
      <c r="H113" s="8">
        <f t="shared" si="17"/>
        <v>0.1140964875642913</v>
      </c>
      <c r="J113" s="8">
        <f t="shared" si="16"/>
        <v>0.10954272202795449</v>
      </c>
      <c r="K113" s="8">
        <f t="shared" si="11"/>
        <v>0.10954272202795449</v>
      </c>
    </row>
    <row r="114" spans="1:14" ht="15.75">
      <c r="A114" s="106"/>
      <c r="B114" s="29" t="s">
        <v>133</v>
      </c>
      <c r="C114" s="15"/>
      <c r="D114" s="16" t="s">
        <v>436</v>
      </c>
      <c r="E114" s="60">
        <v>885.87283390000005</v>
      </c>
      <c r="F114" s="60"/>
      <c r="G114" s="60">
        <v>1947.64</v>
      </c>
      <c r="H114" s="8">
        <f t="shared" si="17"/>
        <v>9.5090730512045987E-2</v>
      </c>
      <c r="J114" s="8">
        <f t="shared" si="16"/>
        <v>8.145484458488926E-2</v>
      </c>
      <c r="K114" s="8">
        <f t="shared" si="11"/>
        <v>8.145484458488926E-2</v>
      </c>
    </row>
    <row r="115" spans="1:14" ht="15.75">
      <c r="A115" s="106"/>
      <c r="B115" s="29" t="s">
        <v>148</v>
      </c>
      <c r="C115" s="15"/>
      <c r="D115" s="16" t="s">
        <v>437</v>
      </c>
      <c r="E115" s="60">
        <f>149.6242529+442.3673564</f>
        <v>591.99160929999994</v>
      </c>
      <c r="F115" s="60"/>
      <c r="G115" s="60">
        <f>470.12+1389.92</f>
        <v>1860.04</v>
      </c>
      <c r="H115" s="8">
        <f t="shared" si="17"/>
        <v>6.3545141504692787E-2</v>
      </c>
      <c r="J115" s="8">
        <f t="shared" si="16"/>
        <v>7.7791208396663342E-2</v>
      </c>
      <c r="K115" s="8">
        <f t="shared" si="11"/>
        <v>7.7791208396663342E-2</v>
      </c>
    </row>
    <row r="116" spans="1:14" ht="15.75">
      <c r="A116" s="106"/>
      <c r="B116" s="29" t="s">
        <v>135</v>
      </c>
      <c r="C116" s="15"/>
      <c r="D116" s="16" t="s">
        <v>438</v>
      </c>
      <c r="E116">
        <v>1371.5178169000001</v>
      </c>
      <c r="F116"/>
      <c r="G116">
        <v>3156.52</v>
      </c>
      <c r="H116" s="8">
        <f t="shared" si="17"/>
        <v>0.14722048823322376</v>
      </c>
      <c r="J116" s="8">
        <f t="shared" si="16"/>
        <v>0.13201302398240672</v>
      </c>
      <c r="K116" s="8">
        <f t="shared" si="11"/>
        <v>0.13201302398240672</v>
      </c>
    </row>
    <row r="117" spans="1:14" ht="15.75">
      <c r="A117" s="106"/>
      <c r="B117" s="29" t="s">
        <v>136</v>
      </c>
      <c r="C117" s="15"/>
      <c r="D117" s="16" t="s">
        <v>439</v>
      </c>
      <c r="E117"/>
      <c r="F117"/>
      <c r="G117"/>
      <c r="H117" s="8">
        <f t="shared" si="17"/>
        <v>0</v>
      </c>
      <c r="J117" s="8">
        <f t="shared" si="16"/>
        <v>0</v>
      </c>
      <c r="K117" s="8">
        <f t="shared" si="11"/>
        <v>0</v>
      </c>
    </row>
    <row r="118" spans="1:14" ht="15.75">
      <c r="A118" s="106"/>
      <c r="B118" s="29" t="s">
        <v>140</v>
      </c>
      <c r="C118" s="15"/>
      <c r="D118" s="16" t="s">
        <v>440</v>
      </c>
      <c r="E118"/>
      <c r="F118"/>
      <c r="G118"/>
      <c r="H118" s="8">
        <f t="shared" si="17"/>
        <v>0</v>
      </c>
      <c r="J118" s="8">
        <f t="shared" si="16"/>
        <v>0</v>
      </c>
      <c r="K118" s="8">
        <f t="shared" si="11"/>
        <v>0</v>
      </c>
    </row>
    <row r="119" spans="1:14" ht="15.75">
      <c r="A119" s="106"/>
      <c r="B119" s="29" t="s">
        <v>139</v>
      </c>
      <c r="C119" s="15"/>
      <c r="D119" s="16" t="s">
        <v>441</v>
      </c>
      <c r="E119" s="65">
        <v>0.14962425300000001</v>
      </c>
      <c r="F119" s="65"/>
      <c r="G119" s="65">
        <v>0.47011999999999998</v>
      </c>
      <c r="H119" s="8">
        <f t="shared" si="17"/>
        <v>1.606085995148066E-5</v>
      </c>
      <c r="J119" s="8">
        <f t="shared" si="16"/>
        <v>1.9661514210145679E-5</v>
      </c>
      <c r="K119" s="8">
        <f t="shared" si="11"/>
        <v>1.9661514210145679E-5</v>
      </c>
    </row>
    <row r="120" spans="1:14" ht="15.75">
      <c r="A120" s="106"/>
      <c r="B120" s="29" t="s">
        <v>142</v>
      </c>
      <c r="C120" s="15"/>
      <c r="D120" s="16" t="s">
        <v>442</v>
      </c>
      <c r="E120"/>
      <c r="F120"/>
      <c r="G120"/>
      <c r="H120" s="8">
        <f t="shared" si="17"/>
        <v>0</v>
      </c>
      <c r="J120" s="8">
        <f t="shared" si="16"/>
        <v>0</v>
      </c>
      <c r="K120" s="8">
        <f t="shared" si="11"/>
        <v>0</v>
      </c>
    </row>
    <row r="121" spans="1:14" ht="15.75">
      <c r="A121" s="106"/>
      <c r="B121" s="29" t="s">
        <v>144</v>
      </c>
      <c r="C121" s="15"/>
      <c r="D121" s="16" t="s">
        <v>443</v>
      </c>
      <c r="E121" s="60">
        <v>79.092736950000003</v>
      </c>
      <c r="F121" s="60"/>
      <c r="G121" s="60">
        <v>394.565</v>
      </c>
      <c r="H121" s="8">
        <f t="shared" si="17"/>
        <v>8.4899162125357409E-3</v>
      </c>
      <c r="J121" s="8">
        <f t="shared" si="16"/>
        <v>1.650162799780084E-2</v>
      </c>
      <c r="K121" s="8">
        <f t="shared" si="11"/>
        <v>1.650162799780084E-2</v>
      </c>
    </row>
    <row r="122" spans="1:14" ht="15.75">
      <c r="A122" s="106"/>
      <c r="B122" s="29" t="s">
        <v>146</v>
      </c>
      <c r="C122" s="15"/>
      <c r="D122" s="16" t="s">
        <v>444</v>
      </c>
      <c r="E122" s="60">
        <f>123.7973274+149.6242529</f>
        <v>273.42158029999996</v>
      </c>
      <c r="F122" s="60"/>
      <c r="G122" s="60">
        <f>617.58+470.12</f>
        <v>1087.7</v>
      </c>
      <c r="H122" s="8">
        <f t="shared" si="17"/>
        <v>2.9349424447324204E-2</v>
      </c>
      <c r="J122" s="8">
        <f t="shared" si="16"/>
        <v>4.5490149337138304E-2</v>
      </c>
      <c r="K122" s="8">
        <f t="shared" si="11"/>
        <v>4.5490149337138304E-2</v>
      </c>
      <c r="M122" s="60"/>
      <c r="N122" s="60"/>
    </row>
    <row r="123" spans="1:14" ht="15.75">
      <c r="A123" s="106"/>
      <c r="B123" s="29" t="s">
        <v>147</v>
      </c>
      <c r="C123" s="15"/>
      <c r="D123" s="16" t="s">
        <v>445</v>
      </c>
      <c r="E123" s="60">
        <v>162.63505749999999</v>
      </c>
      <c r="F123" s="60"/>
      <c r="G123" s="60">
        <v>511</v>
      </c>
      <c r="H123" s="8">
        <f t="shared" si="17"/>
        <v>1.7457456457333181E-2</v>
      </c>
      <c r="J123" s="8">
        <f t="shared" si="16"/>
        <v>2.1371211097984438E-2</v>
      </c>
      <c r="K123" s="8">
        <f t="shared" si="11"/>
        <v>2.1371211097984438E-2</v>
      </c>
      <c r="M123" s="60"/>
      <c r="N123" s="60"/>
    </row>
    <row r="124" spans="1:14" ht="15.75">
      <c r="A124" s="106"/>
      <c r="B124" s="29" t="s">
        <v>150</v>
      </c>
      <c r="C124" s="15"/>
      <c r="D124" s="16" t="s">
        <v>446</v>
      </c>
      <c r="E124" s="60">
        <v>110.5918391</v>
      </c>
      <c r="F124" s="60"/>
      <c r="G124" s="60">
        <v>347.48</v>
      </c>
      <c r="H124" s="8">
        <f t="shared" si="17"/>
        <v>1.1871070390986565E-2</v>
      </c>
      <c r="J124" s="8">
        <f t="shared" si="16"/>
        <v>1.4532423546629418E-2</v>
      </c>
      <c r="K124" s="8">
        <f t="shared" si="11"/>
        <v>1.4532423546629418E-2</v>
      </c>
      <c r="M124" s="60"/>
      <c r="N124" s="60"/>
    </row>
    <row r="125" spans="1:14">
      <c r="A125" s="106"/>
      <c r="B125" s="29" t="s">
        <v>152</v>
      </c>
      <c r="C125" s="15"/>
      <c r="D125" s="16" t="s">
        <v>447</v>
      </c>
      <c r="E125" s="3">
        <f>1215.6686788+299.2485058+305.473391</f>
        <v>1820.3905755999999</v>
      </c>
      <c r="G125" s="3">
        <f>2955.04+940.24+671.6</f>
        <v>4566.88</v>
      </c>
      <c r="H125" s="8">
        <f t="shared" si="17"/>
        <v>0.19540306805546331</v>
      </c>
      <c r="J125" s="8">
        <f t="shared" si="16"/>
        <v>0.19099756661284376</v>
      </c>
      <c r="K125" s="8">
        <f t="shared" si="11"/>
        <v>0.19099756661284376</v>
      </c>
    </row>
    <row r="126" spans="1:14">
      <c r="A126" s="106"/>
      <c r="B126" s="29" t="s">
        <v>149</v>
      </c>
      <c r="C126" s="15"/>
      <c r="D126" s="16" t="s">
        <v>448</v>
      </c>
      <c r="H126" s="8">
        <f t="shared" si="17"/>
        <v>0</v>
      </c>
      <c r="J126" s="8">
        <f t="shared" si="16"/>
        <v>0</v>
      </c>
      <c r="K126" s="8">
        <f t="shared" si="11"/>
        <v>0</v>
      </c>
    </row>
    <row r="127" spans="1:14">
      <c r="A127" s="106"/>
      <c r="B127" s="29" t="s">
        <v>131</v>
      </c>
      <c r="C127" s="15"/>
      <c r="D127" s="16" t="s">
        <v>449</v>
      </c>
      <c r="H127" s="8">
        <f t="shared" si="17"/>
        <v>0</v>
      </c>
      <c r="J127" s="8">
        <f t="shared" si="16"/>
        <v>0</v>
      </c>
      <c r="K127" s="8">
        <f t="shared" si="11"/>
        <v>0</v>
      </c>
    </row>
    <row r="128" spans="1:14">
      <c r="A128" s="106"/>
      <c r="B128" s="29" t="s">
        <v>450</v>
      </c>
      <c r="C128" s="15"/>
      <c r="D128" s="16" t="s">
        <v>451</v>
      </c>
      <c r="H128" s="8">
        <f t="shared" si="17"/>
        <v>0</v>
      </c>
      <c r="J128" s="8">
        <f t="shared" si="16"/>
        <v>0</v>
      </c>
      <c r="K128" s="8">
        <f t="shared" si="11"/>
        <v>0</v>
      </c>
    </row>
    <row r="129" spans="1:11">
      <c r="A129" s="106"/>
      <c r="B129" s="29" t="s">
        <v>452</v>
      </c>
      <c r="C129" s="15"/>
      <c r="D129" s="16" t="s">
        <v>453</v>
      </c>
      <c r="H129" s="8">
        <f t="shared" si="17"/>
        <v>0</v>
      </c>
      <c r="J129" s="8">
        <f t="shared" si="16"/>
        <v>0</v>
      </c>
      <c r="K129" s="8">
        <f t="shared" si="11"/>
        <v>0</v>
      </c>
    </row>
    <row r="130" spans="1:11">
      <c r="A130" s="106"/>
      <c r="B130" s="29" t="s">
        <v>454</v>
      </c>
      <c r="C130" s="15"/>
      <c r="D130" s="16" t="s">
        <v>455</v>
      </c>
      <c r="H130" s="8">
        <f t="shared" si="17"/>
        <v>0</v>
      </c>
      <c r="J130" s="8">
        <f t="shared" si="16"/>
        <v>0</v>
      </c>
      <c r="K130" s="8">
        <f t="shared" si="11"/>
        <v>0</v>
      </c>
    </row>
    <row r="131" spans="1:11">
      <c r="A131" s="106"/>
      <c r="B131" s="29" t="s">
        <v>456</v>
      </c>
      <c r="C131" s="15"/>
      <c r="D131" s="16" t="s">
        <v>457</v>
      </c>
      <c r="H131" s="8">
        <f t="shared" si="17"/>
        <v>0</v>
      </c>
      <c r="J131" s="8">
        <f t="shared" si="16"/>
        <v>0</v>
      </c>
      <c r="K131" s="8">
        <f t="shared" ref="K131:K195" si="18">J131</f>
        <v>0</v>
      </c>
    </row>
    <row r="132" spans="1:11">
      <c r="A132" s="106"/>
      <c r="B132" s="29" t="s">
        <v>458</v>
      </c>
      <c r="C132" s="15"/>
      <c r="D132" s="16" t="s">
        <v>459</v>
      </c>
      <c r="H132" s="8">
        <f t="shared" si="17"/>
        <v>0</v>
      </c>
      <c r="J132" s="8">
        <f t="shared" si="16"/>
        <v>0</v>
      </c>
      <c r="K132" s="8">
        <f t="shared" si="18"/>
        <v>0</v>
      </c>
    </row>
    <row r="133" spans="1:11">
      <c r="A133" s="106" t="s">
        <v>12</v>
      </c>
      <c r="B133" s="19" t="s">
        <v>460</v>
      </c>
      <c r="C133" s="16"/>
      <c r="D133" s="19" t="s">
        <v>461</v>
      </c>
      <c r="H133" s="8">
        <f>E133/SUM(E$133:E$137)</f>
        <v>0</v>
      </c>
      <c r="J133" s="8">
        <f>G133/SUM(G$133:G$137)</f>
        <v>0</v>
      </c>
      <c r="K133" s="8">
        <f t="shared" si="18"/>
        <v>0</v>
      </c>
    </row>
    <row r="134" spans="1:11">
      <c r="A134" s="106"/>
      <c r="B134" s="29" t="s">
        <v>154</v>
      </c>
      <c r="C134" s="15"/>
      <c r="D134" s="16" t="s">
        <v>462</v>
      </c>
      <c r="H134" s="8">
        <f>E134/SUM(E$133:E$137)</f>
        <v>0</v>
      </c>
      <c r="J134" s="8">
        <f>G134/SUM(G$133:G$137)</f>
        <v>0</v>
      </c>
      <c r="K134" s="8">
        <f t="shared" si="18"/>
        <v>0</v>
      </c>
    </row>
    <row r="135" spans="1:11">
      <c r="A135" s="106"/>
      <c r="B135" s="29" t="s">
        <v>153</v>
      </c>
      <c r="C135" s="15"/>
      <c r="D135" s="16"/>
      <c r="E135" s="3">
        <f>E133+E136+E137</f>
        <v>318.76471270000002</v>
      </c>
      <c r="G135" s="3">
        <f t="shared" ref="G135:J135" si="19">G133+G136+G137</f>
        <v>1001.56</v>
      </c>
      <c r="H135" s="78">
        <f t="shared" si="19"/>
        <v>1</v>
      </c>
      <c r="I135" s="78"/>
      <c r="J135" s="78">
        <f t="shared" si="19"/>
        <v>1</v>
      </c>
      <c r="K135" s="8">
        <f t="shared" si="18"/>
        <v>1</v>
      </c>
    </row>
    <row r="136" spans="1:11" ht="15.75">
      <c r="A136" s="106"/>
      <c r="B136" s="29" t="s">
        <v>463</v>
      </c>
      <c r="C136" s="15"/>
      <c r="D136" s="16" t="s">
        <v>464</v>
      </c>
      <c r="E136" s="60">
        <v>318.76471270000002</v>
      </c>
      <c r="F136" s="60"/>
      <c r="G136" s="60">
        <v>1001.56</v>
      </c>
      <c r="H136" s="8">
        <f>E136/(SUM(E$133:E$134)+SUM(E136:E137))</f>
        <v>1</v>
      </c>
      <c r="J136" s="8">
        <f>G136/(SUM(G$133:G$134)+SUM(G136:G137))</f>
        <v>1</v>
      </c>
      <c r="K136" s="8">
        <f t="shared" si="18"/>
        <v>1</v>
      </c>
    </row>
    <row r="137" spans="1:11" ht="15.75">
      <c r="A137" s="106"/>
      <c r="B137" s="29" t="s">
        <v>465</v>
      </c>
      <c r="C137" s="15"/>
      <c r="D137" s="16" t="s">
        <v>466</v>
      </c>
      <c r="E137"/>
      <c r="F137"/>
      <c r="G137"/>
      <c r="H137" s="8">
        <f>E137/SUM(E$133:E$137)</f>
        <v>0</v>
      </c>
      <c r="J137" s="8">
        <f>G137/SUM(G$133:G$137)</f>
        <v>0</v>
      </c>
      <c r="K137" s="8">
        <f t="shared" si="18"/>
        <v>0</v>
      </c>
    </row>
    <row r="138" spans="1:11" ht="15.75">
      <c r="A138" s="106" t="s">
        <v>13</v>
      </c>
      <c r="B138" s="29" t="s">
        <v>163</v>
      </c>
      <c r="C138" s="15"/>
      <c r="D138" s="16" t="s">
        <v>467</v>
      </c>
      <c r="E138" s="60">
        <f>916.420173+189.1348058</f>
        <v>1105.5549788000001</v>
      </c>
      <c r="F138" s="60"/>
      <c r="G138" s="60">
        <f>2014.8+943.525</f>
        <v>2958.3249999999998</v>
      </c>
      <c r="H138" s="67">
        <f>E138/SUM(E$138:E$158)</f>
        <v>9.6234834266230612E-2</v>
      </c>
      <c r="I138" s="67"/>
      <c r="J138" s="67">
        <f t="shared" ref="J138:J158" si="20">G138/SUM(G$138:G$158)</f>
        <v>8.3373936343336646E-2</v>
      </c>
      <c r="K138" s="8">
        <f t="shared" si="18"/>
        <v>8.3373936343336646E-2</v>
      </c>
    </row>
    <row r="139" spans="1:11" ht="15.75">
      <c r="A139" s="106"/>
      <c r="B139" s="29" t="s">
        <v>156</v>
      </c>
      <c r="C139" s="15"/>
      <c r="D139" s="16" t="s">
        <v>468</v>
      </c>
      <c r="E139"/>
      <c r="F139"/>
      <c r="G139"/>
      <c r="H139" s="67">
        <f t="shared" ref="H139:H158" si="21">E139/SUM(E$138:E$158)</f>
        <v>0</v>
      </c>
      <c r="I139" s="67"/>
      <c r="J139" s="67">
        <f t="shared" si="20"/>
        <v>0</v>
      </c>
      <c r="K139" s="8">
        <f t="shared" si="18"/>
        <v>0</v>
      </c>
    </row>
    <row r="140" spans="1:11" ht="15.75">
      <c r="A140" s="106"/>
      <c r="B140" s="29" t="s">
        <v>167</v>
      </c>
      <c r="C140" s="15"/>
      <c r="D140" s="16" t="s">
        <v>469</v>
      </c>
      <c r="E140" s="60">
        <f>149.6242529+117.0972414+149.6242529</f>
        <v>416.34574720000001</v>
      </c>
      <c r="F140" s="60"/>
      <c r="G140" s="60">
        <f>470.12+367.92+470.12</f>
        <v>1308.1599999999999</v>
      </c>
      <c r="H140" s="67">
        <f t="shared" si="21"/>
        <v>3.6241493862866722E-2</v>
      </c>
      <c r="I140" s="67"/>
      <c r="J140" s="67">
        <f t="shared" si="20"/>
        <v>3.6867635762432883E-2</v>
      </c>
      <c r="K140" s="8">
        <f t="shared" si="18"/>
        <v>3.6867635762432883E-2</v>
      </c>
    </row>
    <row r="141" spans="1:11" ht="15.75">
      <c r="A141" s="106"/>
      <c r="B141" s="29" t="s">
        <v>166</v>
      </c>
      <c r="C141" s="15"/>
      <c r="D141" s="16" t="s">
        <v>470</v>
      </c>
      <c r="E141" s="65">
        <f>149.6242529+137.552586+260.216092+367.55523</f>
        <v>914.94816089999995</v>
      </c>
      <c r="F141" s="65"/>
      <c r="G141" s="65">
        <f>470.12+686.2+817.6+5801.32259</f>
        <v>7775.2425899999998</v>
      </c>
      <c r="H141" s="67">
        <f t="shared" si="21"/>
        <v>7.9643153271288042E-2</v>
      </c>
      <c r="I141" s="67"/>
      <c r="J141" s="67">
        <f t="shared" si="20"/>
        <v>0.21912825019315321</v>
      </c>
      <c r="K141" s="8">
        <f t="shared" si="18"/>
        <v>0.21912825019315321</v>
      </c>
    </row>
    <row r="142" spans="1:11" ht="15.75">
      <c r="A142" s="106"/>
      <c r="B142" s="29" t="s">
        <v>175</v>
      </c>
      <c r="C142" s="15"/>
      <c r="D142" s="16" t="s">
        <v>471</v>
      </c>
      <c r="E142" s="60">
        <f>878.235999125+65.054023+878.2359991</f>
        <v>1821.526021225</v>
      </c>
      <c r="F142" s="60"/>
      <c r="G142" s="60">
        <f>1930.85+204.4+1930.85</f>
        <v>4066.1</v>
      </c>
      <c r="H142" s="67">
        <f t="shared" si="21"/>
        <v>0.15855770009238579</v>
      </c>
      <c r="I142" s="67"/>
      <c r="J142" s="67">
        <f t="shared" si="20"/>
        <v>0.11459415803390133</v>
      </c>
      <c r="K142" s="8">
        <f t="shared" si="18"/>
        <v>0.11459415803390133</v>
      </c>
    </row>
    <row r="143" spans="1:11" ht="15.75">
      <c r="A143" s="106"/>
      <c r="B143" s="29" t="s">
        <v>164</v>
      </c>
      <c r="C143" s="15"/>
      <c r="D143" s="16" t="s">
        <v>472</v>
      </c>
      <c r="E143"/>
      <c r="F143"/>
      <c r="G143"/>
      <c r="H143" s="67">
        <f t="shared" si="21"/>
        <v>0</v>
      </c>
      <c r="I143" s="67"/>
      <c r="J143" s="67">
        <f t="shared" si="20"/>
        <v>0</v>
      </c>
      <c r="K143" s="8">
        <f t="shared" si="18"/>
        <v>0</v>
      </c>
    </row>
    <row r="144" spans="1:11" ht="15.75">
      <c r="A144" s="106"/>
      <c r="B144" s="29" t="s">
        <v>171</v>
      </c>
      <c r="C144" s="15"/>
      <c r="D144" s="16" t="s">
        <v>473</v>
      </c>
      <c r="E144" s="60">
        <f>149.6242529+763.6834775</f>
        <v>913.30773039999997</v>
      </c>
      <c r="F144" s="60"/>
      <c r="G144" s="60">
        <f>470.12+1679</f>
        <v>2149.12</v>
      </c>
      <c r="H144" s="67">
        <f t="shared" si="21"/>
        <v>7.9500359325875999E-2</v>
      </c>
      <c r="I144" s="67"/>
      <c r="J144" s="67">
        <f t="shared" si="20"/>
        <v>6.0568258752568313E-2</v>
      </c>
      <c r="K144" s="8">
        <f t="shared" si="18"/>
        <v>6.0568258752568313E-2</v>
      </c>
    </row>
    <row r="145" spans="1:13" ht="15.75">
      <c r="A145" s="106"/>
      <c r="B145" s="29" t="s">
        <v>174</v>
      </c>
      <c r="C145" s="32"/>
      <c r="D145" s="16" t="s">
        <v>474</v>
      </c>
      <c r="E145" s="60">
        <f>878.235999125+149.6242529+149.6242529</f>
        <v>1177.4845049250002</v>
      </c>
      <c r="F145" s="60"/>
      <c r="G145" s="60">
        <f>1930.85+470.12+470.12</f>
        <v>2871.0899999999997</v>
      </c>
      <c r="H145" s="67">
        <f t="shared" si="21"/>
        <v>0.10249605705317999</v>
      </c>
      <c r="I145" s="67"/>
      <c r="J145" s="67">
        <f t="shared" si="20"/>
        <v>8.0915408177259229E-2</v>
      </c>
      <c r="K145" s="8">
        <f t="shared" si="18"/>
        <v>8.0915408177259229E-2</v>
      </c>
    </row>
    <row r="146" spans="1:13" ht="15.75">
      <c r="A146" s="106"/>
      <c r="B146" s="29" t="s">
        <v>173</v>
      </c>
      <c r="C146" s="15"/>
      <c r="D146" s="16" t="s">
        <v>475</v>
      </c>
      <c r="E146"/>
      <c r="F146"/>
      <c r="G146"/>
      <c r="H146" s="67">
        <f t="shared" si="21"/>
        <v>0</v>
      </c>
      <c r="I146" s="67"/>
      <c r="J146" s="67">
        <f t="shared" si="20"/>
        <v>0</v>
      </c>
      <c r="K146" s="8">
        <f t="shared" si="18"/>
        <v>0</v>
      </c>
    </row>
    <row r="147" spans="1:13" ht="15.75">
      <c r="A147" s="106"/>
      <c r="B147" s="29" t="s">
        <v>172</v>
      </c>
      <c r="C147" s="15"/>
      <c r="D147" s="16" t="s">
        <v>476</v>
      </c>
      <c r="E147"/>
      <c r="F147"/>
      <c r="G147"/>
      <c r="H147" s="67">
        <f t="shared" si="21"/>
        <v>0</v>
      </c>
      <c r="I147" s="67"/>
      <c r="J147" s="67">
        <f t="shared" si="20"/>
        <v>0</v>
      </c>
      <c r="K147" s="8">
        <f t="shared" si="18"/>
        <v>0</v>
      </c>
    </row>
    <row r="148" spans="1:13" ht="15.75">
      <c r="A148" s="106"/>
      <c r="B148" s="29" t="s">
        <v>161</v>
      </c>
      <c r="C148" s="32"/>
      <c r="D148" s="16" t="s">
        <v>477</v>
      </c>
      <c r="E148" s="60">
        <v>149.62425289999999</v>
      </c>
      <c r="F148" s="60"/>
      <c r="G148" s="60">
        <v>470.12</v>
      </c>
      <c r="H148" s="67">
        <f t="shared" si="21"/>
        <v>1.3024286856967727E-2</v>
      </c>
      <c r="I148" s="67"/>
      <c r="J148" s="67">
        <f t="shared" si="20"/>
        <v>1.324930660212432E-2</v>
      </c>
      <c r="K148" s="8">
        <f t="shared" si="18"/>
        <v>1.324930660212432E-2</v>
      </c>
    </row>
    <row r="149" spans="1:13" ht="15.75">
      <c r="A149" s="106"/>
      <c r="B149" s="29" t="s">
        <v>162</v>
      </c>
      <c r="C149" s="15"/>
      <c r="D149" s="16" t="s">
        <v>478</v>
      </c>
      <c r="E149"/>
      <c r="F149"/>
      <c r="G149"/>
      <c r="H149" s="67">
        <f t="shared" si="21"/>
        <v>0</v>
      </c>
      <c r="I149" s="67"/>
      <c r="J149" s="67">
        <f t="shared" si="20"/>
        <v>0</v>
      </c>
      <c r="K149" s="8">
        <f t="shared" si="18"/>
        <v>0</v>
      </c>
    </row>
    <row r="150" spans="1:13" ht="29.25">
      <c r="A150" s="106"/>
      <c r="B150" s="29" t="s">
        <v>158</v>
      </c>
      <c r="C150" s="15"/>
      <c r="D150" s="16" t="s">
        <v>479</v>
      </c>
      <c r="E150"/>
      <c r="F150"/>
      <c r="G150"/>
      <c r="H150" s="67">
        <f t="shared" si="21"/>
        <v>0</v>
      </c>
      <c r="I150" s="67"/>
      <c r="J150" s="67">
        <f t="shared" si="20"/>
        <v>0</v>
      </c>
      <c r="K150" s="8">
        <f t="shared" si="18"/>
        <v>0</v>
      </c>
      <c r="L150" s="66"/>
      <c r="M150" s="66"/>
    </row>
    <row r="151" spans="1:13" ht="15.75">
      <c r="A151" s="106"/>
      <c r="B151" s="29" t="s">
        <v>159</v>
      </c>
      <c r="C151" s="15"/>
      <c r="D151" s="16" t="s">
        <v>480</v>
      </c>
      <c r="E151" s="60">
        <f>149.6242529+149.6242529+149.6242529+149.6242529</f>
        <v>598.49701159999995</v>
      </c>
      <c r="F151" s="60"/>
      <c r="G151" s="60">
        <f>470.12+470.12+470.12+470.12</f>
        <v>1880.48</v>
      </c>
      <c r="H151" s="67">
        <f t="shared" si="21"/>
        <v>5.2097147427870909E-2</v>
      </c>
      <c r="I151" s="67"/>
      <c r="J151" s="67">
        <f t="shared" si="20"/>
        <v>5.2997226408497279E-2</v>
      </c>
      <c r="K151" s="8">
        <f t="shared" si="18"/>
        <v>5.2997226408497279E-2</v>
      </c>
      <c r="L151" s="60"/>
      <c r="M151" s="60"/>
    </row>
    <row r="152" spans="1:13" ht="15.75">
      <c r="A152" s="106"/>
      <c r="B152" s="29" t="s">
        <v>155</v>
      </c>
      <c r="C152" s="32"/>
      <c r="D152" s="16" t="s">
        <v>481</v>
      </c>
      <c r="E152">
        <f>1501.90638+149.6242529+396.8295403+153.5274943+149.6242529</f>
        <v>2351.5119204000002</v>
      </c>
      <c r="F152"/>
      <c r="G152">
        <f>3854.4+470.12+1246.84+482.384+470.12</f>
        <v>6523.8640000000005</v>
      </c>
      <c r="H152" s="67">
        <f t="shared" si="21"/>
        <v>0.20469118612299961</v>
      </c>
      <c r="I152" s="67"/>
      <c r="J152" s="67">
        <f t="shared" si="20"/>
        <v>0.18386087459916867</v>
      </c>
      <c r="K152" s="8">
        <f t="shared" si="18"/>
        <v>0.18386087459916867</v>
      </c>
      <c r="L152" s="60"/>
      <c r="M152" s="60"/>
    </row>
    <row r="153" spans="1:13" ht="15.75">
      <c r="A153" s="106"/>
      <c r="B153" s="29" t="s">
        <v>169</v>
      </c>
      <c r="C153" s="15"/>
      <c r="D153" s="16" t="s">
        <v>482</v>
      </c>
      <c r="E153" s="65">
        <f>840.0518253+149.6242529+149.6242529</f>
        <v>1139.3003311</v>
      </c>
      <c r="F153" s="65"/>
      <c r="G153" s="65">
        <f>1846.9+470.12+470.12</f>
        <v>2787.14</v>
      </c>
      <c r="H153" s="67">
        <f t="shared" si="21"/>
        <v>9.9172253434086893E-2</v>
      </c>
      <c r="I153" s="67"/>
      <c r="J153" s="67">
        <f t="shared" si="20"/>
        <v>7.8549460569737037E-2</v>
      </c>
      <c r="K153" s="8">
        <f t="shared" si="18"/>
        <v>7.8549460569737037E-2</v>
      </c>
    </row>
    <row r="154" spans="1:13" ht="15.75">
      <c r="A154" s="106"/>
      <c r="B154" s="29" t="s">
        <v>170</v>
      </c>
      <c r="C154" s="15"/>
      <c r="D154" s="16" t="s">
        <v>483</v>
      </c>
      <c r="E154" s="60">
        <v>149.62425289999999</v>
      </c>
      <c r="F154" s="60"/>
      <c r="G154" s="60">
        <v>470.12</v>
      </c>
      <c r="H154" s="67">
        <f t="shared" si="21"/>
        <v>1.3024286856967727E-2</v>
      </c>
      <c r="I154" s="67"/>
      <c r="J154" s="67">
        <f t="shared" si="20"/>
        <v>1.324930660212432E-2</v>
      </c>
      <c r="K154" s="8">
        <f t="shared" si="18"/>
        <v>1.324930660212432E-2</v>
      </c>
    </row>
    <row r="155" spans="1:13" ht="15.75">
      <c r="A155" s="106"/>
      <c r="B155" s="29" t="s">
        <v>160</v>
      </c>
      <c r="C155" s="15"/>
      <c r="D155" s="16" t="s">
        <v>484</v>
      </c>
      <c r="E155" s="60">
        <f>183.2840346+247.2052874+20.6328879</f>
        <v>451.12220990000003</v>
      </c>
      <c r="F155" s="60"/>
      <c r="G155" s="60">
        <f>402.96+776.72+102.93</f>
        <v>1282.6100000000001</v>
      </c>
      <c r="H155" s="67">
        <f t="shared" si="21"/>
        <v>3.9268667715344742E-2</v>
      </c>
      <c r="I155" s="67"/>
      <c r="J155" s="67">
        <f t="shared" si="20"/>
        <v>3.6147564751447876E-2</v>
      </c>
      <c r="K155" s="8">
        <f t="shared" si="18"/>
        <v>3.6147564751447876E-2</v>
      </c>
    </row>
    <row r="156" spans="1:13" ht="15.75">
      <c r="A156" s="106"/>
      <c r="B156" s="29" t="s">
        <v>157</v>
      </c>
      <c r="C156" s="15"/>
      <c r="D156" s="16" t="s">
        <v>485</v>
      </c>
      <c r="E156" s="60">
        <v>149.62425289999999</v>
      </c>
      <c r="F156" s="60"/>
      <c r="G156" s="60">
        <v>470.12</v>
      </c>
      <c r="H156" s="67">
        <f t="shared" si="21"/>
        <v>1.3024286856967727E-2</v>
      </c>
      <c r="I156" s="67"/>
      <c r="J156" s="67">
        <f t="shared" si="20"/>
        <v>1.324930660212432E-2</v>
      </c>
      <c r="K156" s="8">
        <f t="shared" si="18"/>
        <v>1.324930660212432E-2</v>
      </c>
    </row>
    <row r="157" spans="1:13" ht="15.75">
      <c r="A157" s="106"/>
      <c r="B157" s="29" t="s">
        <v>165</v>
      </c>
      <c r="C157" s="15"/>
      <c r="D157" s="16" t="s">
        <v>486</v>
      </c>
      <c r="E157"/>
      <c r="F157"/>
      <c r="G157"/>
      <c r="H157" s="67">
        <f t="shared" si="21"/>
        <v>0</v>
      </c>
      <c r="I157" s="67"/>
      <c r="J157" s="67">
        <f t="shared" si="20"/>
        <v>0</v>
      </c>
      <c r="K157" s="8">
        <f t="shared" si="18"/>
        <v>0</v>
      </c>
    </row>
    <row r="158" spans="1:13" ht="15.75">
      <c r="A158" s="106"/>
      <c r="B158" s="29" t="s">
        <v>168</v>
      </c>
      <c r="C158" s="15"/>
      <c r="D158" s="16" t="s">
        <v>487</v>
      </c>
      <c r="E158" s="60">
        <v>149.62425289999999</v>
      </c>
      <c r="F158" s="60"/>
      <c r="G158" s="60">
        <v>470.12</v>
      </c>
      <c r="H158" s="67">
        <f t="shared" si="21"/>
        <v>1.3024286856967727E-2</v>
      </c>
      <c r="I158" s="67"/>
      <c r="J158" s="67">
        <f t="shared" si="20"/>
        <v>1.324930660212432E-2</v>
      </c>
      <c r="K158" s="8">
        <f t="shared" si="18"/>
        <v>1.324930660212432E-2</v>
      </c>
    </row>
    <row r="159" spans="1:13">
      <c r="A159" s="26" t="s">
        <v>623</v>
      </c>
      <c r="B159" s="29" t="s">
        <v>488</v>
      </c>
      <c r="C159" s="15"/>
      <c r="D159" s="16" t="s">
        <v>489</v>
      </c>
      <c r="K159" s="8">
        <v>1</v>
      </c>
      <c r="L159" s="82" t="s">
        <v>925</v>
      </c>
    </row>
    <row r="160" spans="1:13">
      <c r="A160" s="26" t="s">
        <v>14</v>
      </c>
      <c r="B160" s="29" t="s">
        <v>176</v>
      </c>
      <c r="C160" s="15"/>
      <c r="D160" s="16" t="s">
        <v>490</v>
      </c>
      <c r="K160" s="8">
        <v>1</v>
      </c>
      <c r="L160" s="82" t="s">
        <v>925</v>
      </c>
    </row>
    <row r="161" spans="1:12">
      <c r="A161" s="106" t="s">
        <v>1164</v>
      </c>
      <c r="B161" s="29" t="s">
        <v>491</v>
      </c>
      <c r="C161" s="15"/>
      <c r="D161" s="16" t="s">
        <v>492</v>
      </c>
      <c r="H161" s="8">
        <f>E161/SUM(E$161:E$162)</f>
        <v>0</v>
      </c>
      <c r="J161" s="8">
        <f>G161/SUM(G$161:G$162)</f>
        <v>0</v>
      </c>
      <c r="K161" s="8">
        <f t="shared" si="18"/>
        <v>0</v>
      </c>
    </row>
    <row r="162" spans="1:12">
      <c r="A162" s="106"/>
      <c r="B162" s="29" t="s">
        <v>493</v>
      </c>
      <c r="C162" s="15"/>
      <c r="D162" s="16" t="s">
        <v>494</v>
      </c>
      <c r="E162" s="3">
        <v>299.24850579999998</v>
      </c>
      <c r="G162" s="3">
        <v>1632.2399999999998</v>
      </c>
      <c r="H162" s="8">
        <f>E162/SUM(E$161:E$162)</f>
        <v>1</v>
      </c>
      <c r="J162" s="8">
        <f>G162/SUM(G$161:G$162)</f>
        <v>1</v>
      </c>
      <c r="K162" s="8">
        <f t="shared" si="18"/>
        <v>1</v>
      </c>
    </row>
    <row r="163" spans="1:12">
      <c r="A163" s="26" t="s">
        <v>15</v>
      </c>
      <c r="B163" s="29" t="s">
        <v>177</v>
      </c>
      <c r="C163" s="15"/>
      <c r="D163" s="16" t="s">
        <v>15</v>
      </c>
      <c r="E163" s="3">
        <v>1832.840346</v>
      </c>
      <c r="G163" s="3">
        <v>4029.6</v>
      </c>
      <c r="H163" s="8">
        <v>1</v>
      </c>
      <c r="J163" s="8">
        <v>1</v>
      </c>
      <c r="K163" s="8">
        <f t="shared" si="18"/>
        <v>1</v>
      </c>
    </row>
    <row r="164" spans="1:12">
      <c r="A164" s="106" t="s">
        <v>16</v>
      </c>
      <c r="B164" s="29" t="s">
        <v>182</v>
      </c>
      <c r="C164" s="15"/>
      <c r="D164" s="16" t="s">
        <v>495</v>
      </c>
      <c r="H164" s="8">
        <f t="shared" ref="H164:H170" si="22">E164/SUM(E$164:E$171)</f>
        <v>0</v>
      </c>
      <c r="J164" s="8">
        <f t="shared" ref="J164:J171" si="23">G164/SUM(G$164:G$171)</f>
        <v>0</v>
      </c>
      <c r="K164" s="8">
        <f t="shared" si="18"/>
        <v>0</v>
      </c>
    </row>
    <row r="165" spans="1:12">
      <c r="A165" s="106"/>
      <c r="B165" s="29" t="s">
        <v>181</v>
      </c>
      <c r="C165" s="15"/>
      <c r="D165" s="16" t="s">
        <v>496</v>
      </c>
      <c r="H165" s="8">
        <f t="shared" si="22"/>
        <v>0</v>
      </c>
      <c r="J165" s="8">
        <f t="shared" si="23"/>
        <v>0</v>
      </c>
      <c r="K165" s="8">
        <f t="shared" si="18"/>
        <v>0</v>
      </c>
    </row>
    <row r="166" spans="1:12">
      <c r="A166" s="106"/>
      <c r="B166" s="29" t="s">
        <v>180</v>
      </c>
      <c r="C166" s="15"/>
      <c r="D166" s="16" t="s">
        <v>497</v>
      </c>
      <c r="H166" s="8">
        <f t="shared" si="22"/>
        <v>0</v>
      </c>
      <c r="J166" s="8">
        <f t="shared" si="23"/>
        <v>0</v>
      </c>
      <c r="K166" s="8">
        <f t="shared" si="18"/>
        <v>0</v>
      </c>
    </row>
    <row r="167" spans="1:12">
      <c r="A167" s="106"/>
      <c r="B167" s="29" t="s">
        <v>179</v>
      </c>
      <c r="C167" s="15"/>
      <c r="D167" s="16" t="s">
        <v>498</v>
      </c>
      <c r="H167" s="8">
        <f t="shared" si="22"/>
        <v>0</v>
      </c>
      <c r="J167" s="8">
        <f t="shared" si="23"/>
        <v>0</v>
      </c>
      <c r="K167" s="8">
        <f t="shared" si="18"/>
        <v>0</v>
      </c>
    </row>
    <row r="168" spans="1:12">
      <c r="A168" s="106"/>
      <c r="B168" s="29" t="s">
        <v>184</v>
      </c>
      <c r="C168" s="15"/>
      <c r="D168" s="16" t="s">
        <v>499</v>
      </c>
      <c r="H168" s="8">
        <f t="shared" si="22"/>
        <v>0</v>
      </c>
      <c r="J168" s="8">
        <f t="shared" si="23"/>
        <v>0</v>
      </c>
      <c r="K168" s="8">
        <f t="shared" si="18"/>
        <v>0</v>
      </c>
    </row>
    <row r="169" spans="1:12">
      <c r="A169" s="106"/>
      <c r="B169" s="29" t="s">
        <v>183</v>
      </c>
      <c r="C169" s="32"/>
      <c r="D169" s="16" t="s">
        <v>500</v>
      </c>
      <c r="H169" s="8">
        <f t="shared" si="22"/>
        <v>0</v>
      </c>
      <c r="J169" s="8">
        <f t="shared" si="23"/>
        <v>0</v>
      </c>
      <c r="K169" s="8">
        <f t="shared" si="18"/>
        <v>0</v>
      </c>
    </row>
    <row r="170" spans="1:12">
      <c r="A170" s="106"/>
      <c r="B170" s="29" t="s">
        <v>178</v>
      </c>
      <c r="C170" s="15"/>
      <c r="D170" s="16" t="s">
        <v>501</v>
      </c>
      <c r="H170" s="8">
        <f t="shared" si="22"/>
        <v>0</v>
      </c>
      <c r="J170" s="8">
        <f t="shared" si="23"/>
        <v>0</v>
      </c>
      <c r="K170" s="8">
        <f t="shared" si="18"/>
        <v>0</v>
      </c>
    </row>
    <row r="171" spans="1:12" ht="15.75">
      <c r="A171" s="106"/>
      <c r="B171" s="29" t="s">
        <v>185</v>
      </c>
      <c r="C171" s="15"/>
      <c r="D171" s="16" t="s">
        <v>502</v>
      </c>
      <c r="E171" s="60">
        <f>878.235999125+149.6242529</f>
        <v>1027.8602520250001</v>
      </c>
      <c r="F171" s="60"/>
      <c r="G171" s="60">
        <f>1930.85+470.12</f>
        <v>2400.9699999999998</v>
      </c>
      <c r="H171" s="8">
        <f>E171/SUM(E$164:E$171)</f>
        <v>1</v>
      </c>
      <c r="J171" s="8">
        <f t="shared" si="23"/>
        <v>1</v>
      </c>
      <c r="K171" s="8">
        <f t="shared" si="18"/>
        <v>1</v>
      </c>
    </row>
    <row r="172" spans="1:12">
      <c r="A172" s="26" t="s">
        <v>504</v>
      </c>
      <c r="B172" s="29" t="s">
        <v>503</v>
      </c>
      <c r="C172" s="15"/>
      <c r="D172" s="16" t="s">
        <v>504</v>
      </c>
      <c r="K172" s="8">
        <v>1</v>
      </c>
      <c r="L172" s="82" t="s">
        <v>925</v>
      </c>
    </row>
    <row r="173" spans="1:12">
      <c r="A173" s="106" t="s">
        <v>17</v>
      </c>
      <c r="B173" s="29" t="s">
        <v>193</v>
      </c>
      <c r="C173" s="15"/>
      <c r="D173" s="16" t="s">
        <v>505</v>
      </c>
      <c r="H173" s="8">
        <f>E173/SUM(E$173:E$184)</f>
        <v>0</v>
      </c>
      <c r="J173" s="8">
        <f t="shared" ref="J173:J184" si="24">G173/SUM(G$173:G$184)</f>
        <v>0</v>
      </c>
      <c r="K173" s="8">
        <f t="shared" si="18"/>
        <v>0</v>
      </c>
    </row>
    <row r="174" spans="1:12">
      <c r="A174" s="106"/>
      <c r="B174" s="29" t="s">
        <v>195</v>
      </c>
      <c r="C174" s="15"/>
      <c r="D174" s="16" t="s">
        <v>506</v>
      </c>
      <c r="H174" s="8">
        <f t="shared" ref="H174:H184" si="25">E174/SUM(E$173:E$184)</f>
        <v>0</v>
      </c>
      <c r="J174" s="8">
        <f t="shared" si="24"/>
        <v>0</v>
      </c>
      <c r="K174" s="8">
        <f t="shared" si="18"/>
        <v>0</v>
      </c>
    </row>
    <row r="175" spans="1:12">
      <c r="A175" s="106"/>
      <c r="B175" s="29" t="s">
        <v>197</v>
      </c>
      <c r="C175" s="15"/>
      <c r="D175" s="16" t="s">
        <v>507</v>
      </c>
      <c r="H175" s="8">
        <f t="shared" si="25"/>
        <v>0</v>
      </c>
      <c r="J175" s="8">
        <f t="shared" si="24"/>
        <v>0</v>
      </c>
      <c r="K175" s="8">
        <f t="shared" si="18"/>
        <v>0</v>
      </c>
    </row>
    <row r="176" spans="1:12">
      <c r="A176" s="106"/>
      <c r="B176" s="29" t="s">
        <v>188</v>
      </c>
      <c r="C176" s="15"/>
      <c r="D176" s="16" t="s">
        <v>508</v>
      </c>
      <c r="H176" s="8">
        <f t="shared" si="25"/>
        <v>0</v>
      </c>
      <c r="J176" s="8">
        <f t="shared" si="24"/>
        <v>0</v>
      </c>
      <c r="K176" s="8">
        <f t="shared" si="18"/>
        <v>0</v>
      </c>
    </row>
    <row r="177" spans="1:11" ht="15.75">
      <c r="A177" s="106"/>
      <c r="B177" s="29" t="s">
        <v>194</v>
      </c>
      <c r="C177" s="15"/>
      <c r="D177" s="16" t="s">
        <v>509</v>
      </c>
      <c r="E177" s="60">
        <v>824.77815569999996</v>
      </c>
      <c r="F177" s="60"/>
      <c r="G177" s="60">
        <v>1813.32</v>
      </c>
      <c r="H177" s="8">
        <f t="shared" si="25"/>
        <v>0.3849091844654412</v>
      </c>
      <c r="J177" s="8">
        <f t="shared" si="24"/>
        <v>3.1663579168521279E-3</v>
      </c>
      <c r="K177" s="8">
        <f t="shared" si="18"/>
        <v>3.1663579168521279E-3</v>
      </c>
    </row>
    <row r="178" spans="1:11">
      <c r="A178" s="106"/>
      <c r="B178" s="29" t="s">
        <v>196</v>
      </c>
      <c r="C178" s="15"/>
      <c r="D178" s="16" t="s">
        <v>510</v>
      </c>
      <c r="H178" s="8">
        <f t="shared" si="25"/>
        <v>0</v>
      </c>
      <c r="J178" s="8">
        <f t="shared" si="24"/>
        <v>0</v>
      </c>
      <c r="K178" s="8">
        <f t="shared" si="18"/>
        <v>0</v>
      </c>
    </row>
    <row r="179" spans="1:11">
      <c r="A179" s="106"/>
      <c r="B179" s="29" t="s">
        <v>190</v>
      </c>
      <c r="C179" s="15"/>
      <c r="D179" s="16" t="s">
        <v>511</v>
      </c>
      <c r="H179" s="8">
        <f t="shared" si="25"/>
        <v>0</v>
      </c>
      <c r="J179" s="8">
        <f t="shared" si="24"/>
        <v>0</v>
      </c>
      <c r="K179" s="8">
        <f t="shared" si="18"/>
        <v>0</v>
      </c>
    </row>
    <row r="180" spans="1:11">
      <c r="A180" s="106"/>
      <c r="B180" s="29" t="s">
        <v>189</v>
      </c>
      <c r="C180" s="15"/>
      <c r="D180" s="16" t="s">
        <v>512</v>
      </c>
      <c r="H180" s="8">
        <f t="shared" si="25"/>
        <v>0</v>
      </c>
      <c r="J180" s="8">
        <f t="shared" si="24"/>
        <v>0</v>
      </c>
      <c r="K180" s="8">
        <f t="shared" si="18"/>
        <v>0</v>
      </c>
    </row>
    <row r="181" spans="1:11" ht="15.75">
      <c r="A181" s="106"/>
      <c r="B181" s="29" t="s">
        <v>186</v>
      </c>
      <c r="C181" s="15"/>
      <c r="D181" s="16" t="s">
        <v>513</v>
      </c>
      <c r="E181" s="60">
        <f>423.87905885+149.6242529</f>
        <v>573.50331174999997</v>
      </c>
      <c r="F181" s="60"/>
      <c r="G181" s="60">
        <f>1477.885+470.12</f>
        <v>1948.0050000000001</v>
      </c>
      <c r="H181" s="8">
        <f t="shared" si="25"/>
        <v>0.26764371787534985</v>
      </c>
      <c r="J181" s="8">
        <f t="shared" si="24"/>
        <v>3.4015402983574492E-3</v>
      </c>
      <c r="K181" s="8">
        <f t="shared" si="18"/>
        <v>3.4015402983574492E-3</v>
      </c>
    </row>
    <row r="182" spans="1:11">
      <c r="A182" s="106"/>
      <c r="B182" s="29" t="s">
        <v>187</v>
      </c>
      <c r="C182" s="32"/>
      <c r="D182" s="16" t="s">
        <v>514</v>
      </c>
      <c r="H182" s="8">
        <f t="shared" si="25"/>
        <v>0</v>
      </c>
      <c r="J182" s="8">
        <f t="shared" si="24"/>
        <v>0</v>
      </c>
      <c r="K182" s="8">
        <f t="shared" si="18"/>
        <v>0</v>
      </c>
    </row>
    <row r="183" spans="1:11">
      <c r="A183" s="106"/>
      <c r="B183" s="29" t="s">
        <v>191</v>
      </c>
      <c r="C183" s="32"/>
      <c r="D183" s="16" t="s">
        <v>515</v>
      </c>
      <c r="E183" s="3">
        <v>594.88065365</v>
      </c>
      <c r="G183" s="3">
        <v>568451.76</v>
      </c>
      <c r="H183" s="8">
        <f t="shared" si="25"/>
        <v>0.27762014023802073</v>
      </c>
      <c r="J183" s="8">
        <f t="shared" si="24"/>
        <v>0.99261119417671773</v>
      </c>
      <c r="K183" s="8">
        <f t="shared" si="18"/>
        <v>0.99261119417671773</v>
      </c>
    </row>
    <row r="184" spans="1:11" ht="15.75">
      <c r="A184" s="106"/>
      <c r="B184" s="29" t="s">
        <v>192</v>
      </c>
      <c r="C184" s="32"/>
      <c r="D184" s="16" t="s">
        <v>516</v>
      </c>
      <c r="E184" s="60">
        <v>149.62425289999999</v>
      </c>
      <c r="F184" s="60"/>
      <c r="G184" s="60">
        <v>470.12</v>
      </c>
      <c r="H184" s="8">
        <f t="shared" si="25"/>
        <v>6.9826957421188066E-2</v>
      </c>
      <c r="J184" s="8">
        <f t="shared" si="24"/>
        <v>8.2090760807277394E-4</v>
      </c>
      <c r="K184" s="8">
        <f t="shared" si="18"/>
        <v>8.2090760807277394E-4</v>
      </c>
    </row>
    <row r="185" spans="1:11">
      <c r="A185" s="106" t="s">
        <v>18</v>
      </c>
      <c r="B185" s="5" t="s">
        <v>206</v>
      </c>
      <c r="C185" s="6"/>
      <c r="D185" s="7" t="s">
        <v>517</v>
      </c>
      <c r="H185" s="8">
        <f>E185/SUM(E$185:E$193)</f>
        <v>0</v>
      </c>
      <c r="J185" s="8">
        <f t="shared" ref="J185:J193" si="26">G185/SUM(G$185:G$193)</f>
        <v>0</v>
      </c>
      <c r="K185" s="8">
        <f t="shared" si="18"/>
        <v>0</v>
      </c>
    </row>
    <row r="186" spans="1:11">
      <c r="A186" s="106"/>
      <c r="B186" s="5" t="s">
        <v>204</v>
      </c>
      <c r="C186" s="6"/>
      <c r="D186" s="7" t="s">
        <v>518</v>
      </c>
      <c r="E186" s="64">
        <v>182.1512644</v>
      </c>
      <c r="F186" s="64"/>
      <c r="G186" s="64">
        <v>572.32000000000005</v>
      </c>
      <c r="H186" s="8">
        <f t="shared" ref="H186:H193" si="27">E186/SUM(E$185:E$193)</f>
        <v>0.32941176470588229</v>
      </c>
      <c r="J186" s="8">
        <f t="shared" si="26"/>
        <v>0.32941176470588235</v>
      </c>
      <c r="K186" s="8">
        <f t="shared" si="18"/>
        <v>0.32941176470588235</v>
      </c>
    </row>
    <row r="187" spans="1:11">
      <c r="A187" s="106"/>
      <c r="B187" s="5" t="s">
        <v>203</v>
      </c>
      <c r="C187" s="6"/>
      <c r="D187" s="7" t="s">
        <v>519</v>
      </c>
      <c r="H187" s="8">
        <f t="shared" si="27"/>
        <v>0</v>
      </c>
      <c r="J187" s="8">
        <f t="shared" si="26"/>
        <v>0</v>
      </c>
      <c r="K187" s="8">
        <f t="shared" si="18"/>
        <v>0</v>
      </c>
    </row>
    <row r="188" spans="1:11">
      <c r="A188" s="106"/>
      <c r="B188" s="5" t="s">
        <v>205</v>
      </c>
      <c r="C188" s="6"/>
      <c r="D188" s="7" t="s">
        <v>520</v>
      </c>
      <c r="H188" s="8">
        <f t="shared" si="27"/>
        <v>0</v>
      </c>
      <c r="J188" s="8">
        <f t="shared" si="26"/>
        <v>0</v>
      </c>
      <c r="K188" s="8">
        <f t="shared" si="18"/>
        <v>0</v>
      </c>
    </row>
    <row r="189" spans="1:11">
      <c r="A189" s="106"/>
      <c r="B189" s="5" t="s">
        <v>200</v>
      </c>
      <c r="C189" s="6"/>
      <c r="D189" s="7" t="s">
        <v>521</v>
      </c>
      <c r="E189" s="63">
        <v>247.2052874</v>
      </c>
      <c r="F189" s="63"/>
      <c r="G189" s="63">
        <v>776.72</v>
      </c>
      <c r="H189" s="8">
        <f t="shared" si="27"/>
        <v>0.44705882352941173</v>
      </c>
      <c r="J189" s="8">
        <f t="shared" si="26"/>
        <v>0.44705882352941173</v>
      </c>
      <c r="K189" s="8">
        <f t="shared" si="18"/>
        <v>0.44705882352941173</v>
      </c>
    </row>
    <row r="190" spans="1:11" ht="15.75">
      <c r="A190" s="106"/>
      <c r="B190" s="29" t="s">
        <v>202</v>
      </c>
      <c r="C190" s="15"/>
      <c r="D190" s="16" t="s">
        <v>522</v>
      </c>
      <c r="E190" s="60">
        <v>123.6026437</v>
      </c>
      <c r="F190" s="60"/>
      <c r="G190" s="60">
        <v>388.36</v>
      </c>
      <c r="H190" s="8">
        <f t="shared" si="27"/>
        <v>0.22352941176470587</v>
      </c>
      <c r="J190" s="8">
        <f t="shared" si="26"/>
        <v>0.22352941176470587</v>
      </c>
      <c r="K190" s="8">
        <f t="shared" si="18"/>
        <v>0.22352941176470587</v>
      </c>
    </row>
    <row r="191" spans="1:11">
      <c r="A191" s="106"/>
      <c r="B191" s="29" t="s">
        <v>201</v>
      </c>
      <c r="C191" s="15"/>
      <c r="D191" s="16" t="s">
        <v>523</v>
      </c>
      <c r="H191" s="8">
        <f t="shared" si="27"/>
        <v>0</v>
      </c>
      <c r="J191" s="8">
        <f t="shared" si="26"/>
        <v>0</v>
      </c>
      <c r="K191" s="8">
        <f t="shared" si="18"/>
        <v>0</v>
      </c>
    </row>
    <row r="192" spans="1:11">
      <c r="A192" s="106"/>
      <c r="B192" s="29" t="s">
        <v>199</v>
      </c>
      <c r="C192" s="15"/>
      <c r="D192" s="16" t="s">
        <v>524</v>
      </c>
      <c r="H192" s="8">
        <f t="shared" si="27"/>
        <v>0</v>
      </c>
      <c r="J192" s="8">
        <f t="shared" si="26"/>
        <v>0</v>
      </c>
      <c r="K192" s="8">
        <f t="shared" si="18"/>
        <v>0</v>
      </c>
    </row>
    <row r="193" spans="1:11">
      <c r="A193" s="106"/>
      <c r="B193" s="29" t="s">
        <v>198</v>
      </c>
      <c r="C193" s="15"/>
      <c r="D193" s="16" t="s">
        <v>525</v>
      </c>
      <c r="H193" s="8">
        <f t="shared" si="27"/>
        <v>0</v>
      </c>
      <c r="J193" s="8">
        <f t="shared" si="26"/>
        <v>0</v>
      </c>
      <c r="K193" s="8">
        <f t="shared" si="18"/>
        <v>0</v>
      </c>
    </row>
    <row r="194" spans="1:11" ht="15.75">
      <c r="A194" s="106" t="s">
        <v>19</v>
      </c>
      <c r="B194" s="29" t="s">
        <v>219</v>
      </c>
      <c r="C194" s="15"/>
      <c r="D194" s="16" t="s">
        <v>526</v>
      </c>
      <c r="E194" s="60">
        <v>213.8313737</v>
      </c>
      <c r="F194" s="60"/>
      <c r="G194" s="60">
        <v>470.12</v>
      </c>
      <c r="H194" s="8">
        <f>E194/SUM(E$194:E$210)</f>
        <v>3.1358940725567053E-2</v>
      </c>
      <c r="J194" s="8">
        <f t="shared" ref="J194:J210" si="28">G194/SUM(G$194:G$210)</f>
        <v>2.7110196212149912E-2</v>
      </c>
      <c r="K194" s="8">
        <f t="shared" si="18"/>
        <v>2.7110196212149912E-2</v>
      </c>
    </row>
    <row r="195" spans="1:11" ht="15.75">
      <c r="A195" s="106"/>
      <c r="B195" s="29" t="s">
        <v>210</v>
      </c>
      <c r="C195" s="15"/>
      <c r="D195" s="16" t="s">
        <v>527</v>
      </c>
      <c r="E195">
        <f>1832.840346+195.162069+117.0972414</f>
        <v>2145.0996563999997</v>
      </c>
      <c r="F195"/>
      <c r="G195">
        <f>4029.6+613.2+367.92</f>
        <v>5010.72</v>
      </c>
      <c r="H195" s="8">
        <f t="shared" ref="H195:H210" si="29">E195/SUM(E$194:E$210)</f>
        <v>0.31458458041735826</v>
      </c>
      <c r="J195" s="8">
        <f t="shared" si="28"/>
        <v>0.28895091118043015</v>
      </c>
      <c r="K195" s="8">
        <f t="shared" si="18"/>
        <v>0.28895091118043015</v>
      </c>
    </row>
    <row r="196" spans="1:11" ht="15.75">
      <c r="A196" s="106"/>
      <c r="B196" s="29" t="s">
        <v>221</v>
      </c>
      <c r="C196" s="15"/>
      <c r="D196" s="16" t="s">
        <v>528</v>
      </c>
      <c r="E196" s="60">
        <f>97.5810345+703.7162186</f>
        <v>801.29725310000003</v>
      </c>
      <c r="F196" s="60"/>
      <c r="G196" s="60">
        <f>306.6+2038.16</f>
        <v>2344.7600000000002</v>
      </c>
      <c r="H196" s="8">
        <f t="shared" si="29"/>
        <v>0.11751237729397143</v>
      </c>
      <c r="J196" s="8">
        <f t="shared" si="28"/>
        <v>0.13521420843699616</v>
      </c>
      <c r="K196" s="8">
        <f t="shared" ref="K196:K259" si="30">J196</f>
        <v>0.13521420843699616</v>
      </c>
    </row>
    <row r="197" spans="1:11">
      <c r="A197" s="106"/>
      <c r="B197" s="29" t="s">
        <v>207</v>
      </c>
      <c r="C197" s="15"/>
      <c r="D197" s="16" t="s">
        <v>529</v>
      </c>
      <c r="H197" s="8">
        <f t="shared" si="29"/>
        <v>0</v>
      </c>
      <c r="J197" s="8">
        <f t="shared" si="28"/>
        <v>0</v>
      </c>
      <c r="K197" s="8">
        <f t="shared" si="30"/>
        <v>0</v>
      </c>
    </row>
    <row r="198" spans="1:11" ht="15.75">
      <c r="A198" s="106"/>
      <c r="B198" s="29" t="s">
        <v>216</v>
      </c>
      <c r="C198" s="15"/>
      <c r="D198" s="16" t="s">
        <v>530</v>
      </c>
      <c r="E198" s="60">
        <v>149.62425289999999</v>
      </c>
      <c r="F198" s="60"/>
      <c r="G198" s="60">
        <v>470.12</v>
      </c>
      <c r="H198" s="8">
        <f t="shared" si="29"/>
        <v>2.1942795374738564E-2</v>
      </c>
      <c r="J198" s="8">
        <f t="shared" si="28"/>
        <v>2.7110196212149912E-2</v>
      </c>
      <c r="K198" s="8">
        <f t="shared" si="30"/>
        <v>2.7110196212149912E-2</v>
      </c>
    </row>
    <row r="199" spans="1:11" ht="15.75">
      <c r="A199" s="106"/>
      <c r="B199" s="29" t="s">
        <v>218</v>
      </c>
      <c r="C199" s="15"/>
      <c r="D199" s="16" t="s">
        <v>531</v>
      </c>
      <c r="E199" s="60">
        <v>78.064827600000001</v>
      </c>
      <c r="F199" s="60"/>
      <c r="G199" s="60">
        <v>245.28</v>
      </c>
      <c r="H199" s="8">
        <f t="shared" si="29"/>
        <v>1.1448414978124469E-2</v>
      </c>
      <c r="J199" s="8">
        <f t="shared" si="28"/>
        <v>1.4144450197643432E-2</v>
      </c>
      <c r="K199" s="8">
        <f t="shared" si="30"/>
        <v>1.4144450197643432E-2</v>
      </c>
    </row>
    <row r="200" spans="1:11" ht="15.75">
      <c r="A200" s="106"/>
      <c r="B200" s="29" t="s">
        <v>213</v>
      </c>
      <c r="C200" s="15"/>
      <c r="D200" s="16" t="s">
        <v>532</v>
      </c>
      <c r="E200" s="60">
        <v>91.075632200000001</v>
      </c>
      <c r="F200" s="60"/>
      <c r="G200" s="60">
        <v>286.16000000000003</v>
      </c>
      <c r="H200" s="8">
        <f t="shared" si="29"/>
        <v>1.3356484141145215E-2</v>
      </c>
      <c r="J200" s="8">
        <f t="shared" si="28"/>
        <v>1.6501858563917341E-2</v>
      </c>
      <c r="K200" s="8">
        <f t="shared" si="30"/>
        <v>1.6501858563917341E-2</v>
      </c>
    </row>
    <row r="201" spans="1:11" ht="15.75">
      <c r="A201" s="106"/>
      <c r="B201" s="29" t="s">
        <v>220</v>
      </c>
      <c r="C201" s="15"/>
      <c r="D201" s="16" t="s">
        <v>533</v>
      </c>
      <c r="E201" s="60">
        <v>300.66811052000003</v>
      </c>
      <c r="F201" s="60"/>
      <c r="G201" s="60">
        <v>1126.317</v>
      </c>
      <c r="H201" s="8">
        <f t="shared" si="29"/>
        <v>4.4093779564326509E-2</v>
      </c>
      <c r="J201" s="8">
        <f t="shared" si="28"/>
        <v>6.4950810148643012E-2</v>
      </c>
      <c r="K201" s="8">
        <f t="shared" si="30"/>
        <v>6.4950810148643012E-2</v>
      </c>
    </row>
    <row r="202" spans="1:11" ht="15.75">
      <c r="A202" s="106"/>
      <c r="B202" s="29" t="s">
        <v>208</v>
      </c>
      <c r="C202" s="15"/>
      <c r="D202" s="16" t="s">
        <v>534</v>
      </c>
      <c r="E202" s="65">
        <v>65.054023000000001</v>
      </c>
      <c r="F202" s="65"/>
      <c r="G202" s="65">
        <v>204.4</v>
      </c>
      <c r="H202" s="8">
        <f t="shared" si="29"/>
        <v>9.5403458151037245E-3</v>
      </c>
      <c r="J202" s="8">
        <f t="shared" si="28"/>
        <v>1.1787041831369527E-2</v>
      </c>
      <c r="K202" s="8">
        <f t="shared" si="30"/>
        <v>1.1787041831369527E-2</v>
      </c>
    </row>
    <row r="203" spans="1:11">
      <c r="A203" s="106"/>
      <c r="B203" s="29" t="s">
        <v>211</v>
      </c>
      <c r="C203" s="15"/>
      <c r="D203" s="16" t="s">
        <v>535</v>
      </c>
      <c r="H203" s="8">
        <f t="shared" si="29"/>
        <v>0</v>
      </c>
      <c r="J203" s="8">
        <f t="shared" si="28"/>
        <v>0</v>
      </c>
      <c r="K203" s="8">
        <f t="shared" si="30"/>
        <v>0</v>
      </c>
    </row>
    <row r="204" spans="1:11" ht="15.75">
      <c r="A204" s="106"/>
      <c r="B204" s="29" t="s">
        <v>223</v>
      </c>
      <c r="C204" s="15"/>
      <c r="D204" s="16" t="s">
        <v>536</v>
      </c>
      <c r="E204" s="60">
        <v>1527.366955</v>
      </c>
      <c r="F204" s="60"/>
      <c r="G204" s="60">
        <v>3358</v>
      </c>
      <c r="H204" s="8">
        <f t="shared" si="29"/>
        <v>0.22399243375405037</v>
      </c>
      <c r="J204" s="8">
        <f t="shared" si="28"/>
        <v>0.19364425865821366</v>
      </c>
      <c r="K204" s="8">
        <f t="shared" si="30"/>
        <v>0.19364425865821366</v>
      </c>
    </row>
    <row r="205" spans="1:11" ht="15.75">
      <c r="A205" s="106"/>
      <c r="B205" s="29" t="s">
        <v>222</v>
      </c>
      <c r="C205" s="15"/>
      <c r="D205" s="16" t="s">
        <v>537</v>
      </c>
      <c r="E205" s="60">
        <v>763.68347749999998</v>
      </c>
      <c r="F205" s="60"/>
      <c r="G205" s="60">
        <v>1679</v>
      </c>
      <c r="H205" s="8">
        <f t="shared" si="29"/>
        <v>0.11199621687702518</v>
      </c>
      <c r="J205" s="8">
        <f t="shared" si="28"/>
        <v>9.6822129329106832E-2</v>
      </c>
      <c r="K205" s="8">
        <f t="shared" si="30"/>
        <v>9.6822129329106832E-2</v>
      </c>
    </row>
    <row r="206" spans="1:11">
      <c r="A206" s="106"/>
      <c r="B206" s="29" t="s">
        <v>217</v>
      </c>
      <c r="C206" s="15"/>
      <c r="D206" s="16" t="s">
        <v>538</v>
      </c>
      <c r="H206" s="8">
        <f t="shared" si="29"/>
        <v>0</v>
      </c>
      <c r="J206" s="8">
        <f t="shared" si="28"/>
        <v>0</v>
      </c>
      <c r="K206" s="8">
        <f t="shared" si="30"/>
        <v>0</v>
      </c>
    </row>
    <row r="207" spans="1:11" ht="15.75">
      <c r="A207" s="106"/>
      <c r="B207" s="29" t="s">
        <v>209</v>
      </c>
      <c r="C207" s="15"/>
      <c r="D207" s="16" t="s">
        <v>539</v>
      </c>
      <c r="E207" s="60">
        <v>162.63505749999999</v>
      </c>
      <c r="F207" s="60"/>
      <c r="G207" s="60">
        <v>511</v>
      </c>
      <c r="H207" s="8">
        <f t="shared" si="29"/>
        <v>2.3850864537759309E-2</v>
      </c>
      <c r="J207" s="8">
        <f t="shared" si="28"/>
        <v>2.9467604578423817E-2</v>
      </c>
      <c r="K207" s="8">
        <f t="shared" si="30"/>
        <v>2.9467604578423817E-2</v>
      </c>
    </row>
    <row r="208" spans="1:11">
      <c r="A208" s="106"/>
      <c r="B208" s="29" t="s">
        <v>212</v>
      </c>
      <c r="C208" s="15"/>
      <c r="D208" s="16" t="s">
        <v>540</v>
      </c>
      <c r="H208" s="8">
        <f t="shared" si="29"/>
        <v>0</v>
      </c>
      <c r="J208" s="8">
        <f t="shared" si="28"/>
        <v>0</v>
      </c>
      <c r="K208" s="8">
        <f t="shared" si="30"/>
        <v>0</v>
      </c>
    </row>
    <row r="209" spans="1:11">
      <c r="A209" s="106"/>
      <c r="B209" s="29" t="s">
        <v>214</v>
      </c>
      <c r="C209" s="15"/>
      <c r="D209" s="16" t="s">
        <v>541</v>
      </c>
      <c r="H209" s="8">
        <f t="shared" si="29"/>
        <v>0</v>
      </c>
      <c r="J209" s="8">
        <f t="shared" si="28"/>
        <v>0</v>
      </c>
      <c r="K209" s="8">
        <f t="shared" si="30"/>
        <v>0</v>
      </c>
    </row>
    <row r="210" spans="1:11" ht="15.75">
      <c r="A210" s="106"/>
      <c r="B210" s="29" t="s">
        <v>215</v>
      </c>
      <c r="C210" s="32"/>
      <c r="D210" s="16" t="s">
        <v>542</v>
      </c>
      <c r="E210" s="60">
        <f>357.7971265+162.6350575</f>
        <v>520.43218400000001</v>
      </c>
      <c r="F210" s="60"/>
      <c r="G210" s="60">
        <f>1124.2+511</f>
        <v>1635.2</v>
      </c>
      <c r="H210" s="8">
        <f t="shared" si="29"/>
        <v>7.6322766520829796E-2</v>
      </c>
      <c r="J210" s="8">
        <f t="shared" si="28"/>
        <v>9.4296334650956215E-2</v>
      </c>
      <c r="K210" s="8">
        <f t="shared" si="30"/>
        <v>9.4296334650956215E-2</v>
      </c>
    </row>
    <row r="211" spans="1:11" ht="15.75">
      <c r="A211" s="106" t="s">
        <v>20</v>
      </c>
      <c r="B211" s="29" t="s">
        <v>226</v>
      </c>
      <c r="C211" s="15"/>
      <c r="D211" s="16" t="s">
        <v>543</v>
      </c>
      <c r="E211" s="60">
        <f>263.46879315+184.7534253</f>
        <v>448.22221845000001</v>
      </c>
      <c r="F211" s="60"/>
      <c r="G211" s="60">
        <f>827.82+580.496</f>
        <v>1408.316</v>
      </c>
      <c r="H211" s="8">
        <f>E211/SUM(E$211:E$217)</f>
        <v>0.35424164523400881</v>
      </c>
      <c r="J211" s="8">
        <f t="shared" ref="J211:J217" si="31">G211/SUM(G$211:G$217)</f>
        <v>0.35424164524421597</v>
      </c>
      <c r="K211" s="8">
        <f t="shared" si="30"/>
        <v>0.35424164524421597</v>
      </c>
    </row>
    <row r="212" spans="1:11">
      <c r="A212" s="106"/>
      <c r="B212" s="29" t="s">
        <v>225</v>
      </c>
      <c r="C212" s="15"/>
      <c r="D212" s="16" t="s">
        <v>544</v>
      </c>
      <c r="H212" s="8">
        <f t="shared" ref="H212:H217" si="32">E212/SUM(E$211:E$217)</f>
        <v>0</v>
      </c>
      <c r="J212" s="8">
        <f t="shared" si="31"/>
        <v>0</v>
      </c>
      <c r="K212" s="8">
        <f t="shared" si="30"/>
        <v>0</v>
      </c>
    </row>
    <row r="213" spans="1:11" ht="15.75">
      <c r="A213" s="106"/>
      <c r="B213" s="29" t="s">
        <v>228</v>
      </c>
      <c r="C213" s="15"/>
      <c r="D213" s="16" t="s">
        <v>545</v>
      </c>
      <c r="E213" s="60">
        <f>149.6242529+494.4105748</f>
        <v>644.03482770000005</v>
      </c>
      <c r="F213" s="60"/>
      <c r="G213" s="60">
        <f>470.12+1553.44</f>
        <v>2023.56</v>
      </c>
      <c r="H213" s="8">
        <f t="shared" si="32"/>
        <v>0.50899742931395819</v>
      </c>
      <c r="J213" s="8">
        <f t="shared" si="31"/>
        <v>0.50899742930591263</v>
      </c>
      <c r="K213" s="8">
        <f t="shared" si="30"/>
        <v>0.50899742930591263</v>
      </c>
    </row>
    <row r="214" spans="1:11" ht="15.75">
      <c r="A214" s="106"/>
      <c r="B214" s="29" t="s">
        <v>224</v>
      </c>
      <c r="C214" s="15"/>
      <c r="D214" s="16" t="s">
        <v>546</v>
      </c>
      <c r="E214" s="60">
        <v>173.04370118</v>
      </c>
      <c r="F214" s="60"/>
      <c r="G214" s="60">
        <v>543.70399999999995</v>
      </c>
      <c r="H214" s="8">
        <f t="shared" si="32"/>
        <v>0.13676092545203319</v>
      </c>
      <c r="J214" s="8">
        <f t="shared" si="31"/>
        <v>0.13676092544987145</v>
      </c>
      <c r="K214" s="8">
        <f t="shared" si="30"/>
        <v>0.13676092544987145</v>
      </c>
    </row>
    <row r="215" spans="1:11">
      <c r="A215" s="106"/>
      <c r="B215" s="29" t="s">
        <v>227</v>
      </c>
      <c r="C215" s="32"/>
      <c r="D215" s="16" t="s">
        <v>547</v>
      </c>
      <c r="H215" s="8">
        <f t="shared" si="32"/>
        <v>0</v>
      </c>
      <c r="J215" s="8">
        <f t="shared" si="31"/>
        <v>0</v>
      </c>
      <c r="K215" s="8">
        <f t="shared" si="30"/>
        <v>0</v>
      </c>
    </row>
    <row r="216" spans="1:11">
      <c r="A216" s="106"/>
      <c r="B216" s="29" t="s">
        <v>548</v>
      </c>
      <c r="C216" s="15"/>
      <c r="D216" s="16" t="s">
        <v>549</v>
      </c>
      <c r="H216" s="8">
        <f t="shared" si="32"/>
        <v>0</v>
      </c>
      <c r="J216" s="8">
        <f t="shared" si="31"/>
        <v>0</v>
      </c>
      <c r="K216" s="8">
        <f t="shared" si="30"/>
        <v>0</v>
      </c>
    </row>
    <row r="217" spans="1:11">
      <c r="A217" s="106"/>
      <c r="B217" s="29" t="s">
        <v>550</v>
      </c>
      <c r="C217" s="15"/>
      <c r="D217" s="16" t="s">
        <v>551</v>
      </c>
      <c r="H217" s="8">
        <f t="shared" si="32"/>
        <v>0</v>
      </c>
      <c r="J217" s="8">
        <f t="shared" si="31"/>
        <v>0</v>
      </c>
      <c r="K217" s="8">
        <f t="shared" si="30"/>
        <v>0</v>
      </c>
    </row>
    <row r="218" spans="1:11">
      <c r="A218" s="106" t="s">
        <v>21</v>
      </c>
      <c r="B218" s="29" t="s">
        <v>231</v>
      </c>
      <c r="C218" s="15"/>
      <c r="D218" s="16" t="s">
        <v>552</v>
      </c>
      <c r="H218" s="8">
        <f>E218/SUM(E$218:E$225)</f>
        <v>0</v>
      </c>
      <c r="J218" s="8">
        <f t="shared" ref="J218:J225" si="33">G218/SUM(G$218:G$225)</f>
        <v>0</v>
      </c>
      <c r="K218" s="8">
        <f t="shared" si="30"/>
        <v>0</v>
      </c>
    </row>
    <row r="219" spans="1:11" ht="15.75">
      <c r="A219" s="106"/>
      <c r="B219" s="29" t="s">
        <v>236</v>
      </c>
      <c r="C219" s="15"/>
      <c r="D219" s="16" t="s">
        <v>553</v>
      </c>
      <c r="E219" s="60">
        <v>137.46302595</v>
      </c>
      <c r="F219" s="60"/>
      <c r="G219" s="60">
        <v>302.22000000000003</v>
      </c>
      <c r="H219" s="8">
        <f t="shared" ref="H219:H225" si="34">E219/SUM(E$218:E$225)</f>
        <v>6.1417974262256807E-2</v>
      </c>
      <c r="J219" s="8">
        <f t="shared" si="33"/>
        <v>5.8499364137346341E-2</v>
      </c>
      <c r="K219" s="8">
        <f t="shared" si="30"/>
        <v>5.8499364137346341E-2</v>
      </c>
    </row>
    <row r="220" spans="1:11">
      <c r="A220" s="106"/>
      <c r="B220" s="29" t="s">
        <v>232</v>
      </c>
      <c r="C220" s="15"/>
      <c r="D220" s="16" t="s">
        <v>554</v>
      </c>
      <c r="H220" s="8">
        <f t="shared" si="34"/>
        <v>0</v>
      </c>
      <c r="J220" s="8">
        <f t="shared" si="33"/>
        <v>0</v>
      </c>
      <c r="K220" s="8">
        <f t="shared" si="30"/>
        <v>0</v>
      </c>
    </row>
    <row r="221" spans="1:11" ht="15.75">
      <c r="A221" s="106"/>
      <c r="B221" s="29" t="s">
        <v>230</v>
      </c>
      <c r="C221" s="15"/>
      <c r="D221" s="16" t="s">
        <v>555</v>
      </c>
      <c r="E221" s="60">
        <v>878.23599912500003</v>
      </c>
      <c r="F221" s="60"/>
      <c r="G221" s="60">
        <v>1930.85</v>
      </c>
      <c r="H221" s="8">
        <f t="shared" si="34"/>
        <v>0.39239261334219627</v>
      </c>
      <c r="J221" s="8">
        <f t="shared" si="33"/>
        <v>0.37374593754415708</v>
      </c>
      <c r="K221" s="8">
        <f t="shared" si="30"/>
        <v>0.37374593754415708</v>
      </c>
    </row>
    <row r="222" spans="1:11" ht="15.75">
      <c r="A222" s="106"/>
      <c r="B222" s="29" t="s">
        <v>234</v>
      </c>
      <c r="C222" s="15"/>
      <c r="D222" s="16" t="s">
        <v>556</v>
      </c>
      <c r="E222" s="60">
        <v>962.24118165000004</v>
      </c>
      <c r="F222" s="60"/>
      <c r="G222" s="60">
        <v>2115.54</v>
      </c>
      <c r="H222" s="8">
        <f t="shared" si="34"/>
        <v>0.42992581983579764</v>
      </c>
      <c r="J222" s="8">
        <f t="shared" si="33"/>
        <v>0.40949554896142432</v>
      </c>
      <c r="K222" s="8">
        <f t="shared" si="30"/>
        <v>0.40949554896142432</v>
      </c>
    </row>
    <row r="223" spans="1:11" ht="15.75">
      <c r="A223" s="106"/>
      <c r="B223" s="29" t="s">
        <v>233</v>
      </c>
      <c r="C223" s="15"/>
      <c r="D223" s="16" t="s">
        <v>557</v>
      </c>
      <c r="E223" s="60">
        <v>260.216092</v>
      </c>
      <c r="F223" s="60"/>
      <c r="G223" s="60">
        <v>817.6</v>
      </c>
      <c r="H223" s="8">
        <f t="shared" si="34"/>
        <v>0.11626359255974933</v>
      </c>
      <c r="J223" s="8">
        <f t="shared" si="33"/>
        <v>0.15825914935707222</v>
      </c>
      <c r="K223" s="8">
        <f t="shared" si="30"/>
        <v>0.15825914935707222</v>
      </c>
    </row>
    <row r="224" spans="1:11">
      <c r="A224" s="106"/>
      <c r="B224" s="29" t="s">
        <v>229</v>
      </c>
      <c r="C224" s="15"/>
      <c r="D224" s="16" t="s">
        <v>558</v>
      </c>
      <c r="H224" s="8">
        <f t="shared" si="34"/>
        <v>0</v>
      </c>
      <c r="J224" s="8">
        <f t="shared" si="33"/>
        <v>0</v>
      </c>
      <c r="K224" s="8">
        <f t="shared" si="30"/>
        <v>0</v>
      </c>
    </row>
    <row r="225" spans="1:11">
      <c r="A225" s="106"/>
      <c r="B225" s="29" t="s">
        <v>235</v>
      </c>
      <c r="C225" s="15"/>
      <c r="D225" s="16" t="s">
        <v>559</v>
      </c>
      <c r="H225" s="8">
        <f t="shared" si="34"/>
        <v>0</v>
      </c>
      <c r="J225" s="8">
        <f t="shared" si="33"/>
        <v>0</v>
      </c>
      <c r="K225" s="8">
        <f t="shared" si="30"/>
        <v>0</v>
      </c>
    </row>
    <row r="226" spans="1:11" ht="15.75">
      <c r="A226" s="106" t="s">
        <v>22</v>
      </c>
      <c r="B226" s="29" t="s">
        <v>237</v>
      </c>
      <c r="C226" s="15"/>
      <c r="D226" s="16" t="s">
        <v>560</v>
      </c>
      <c r="E226" s="60">
        <v>91.075632200000001</v>
      </c>
      <c r="F226" s="60"/>
      <c r="G226" s="60">
        <v>286.16000000000003</v>
      </c>
      <c r="H226" s="8">
        <f>E226/SUM(E$226:E$227)</f>
        <v>1</v>
      </c>
      <c r="J226" s="8">
        <f>G226/SUM(G$226:G$227)</f>
        <v>1</v>
      </c>
      <c r="K226" s="8">
        <f t="shared" si="30"/>
        <v>1</v>
      </c>
    </row>
    <row r="227" spans="1:11">
      <c r="A227" s="106"/>
      <c r="B227" s="29" t="s">
        <v>238</v>
      </c>
      <c r="C227" s="15"/>
      <c r="D227" s="16" t="s">
        <v>561</v>
      </c>
      <c r="H227" s="8">
        <f>E227/SUM(E$226:E$227)</f>
        <v>0</v>
      </c>
      <c r="J227" s="8">
        <f>G227/SUM(G$226:G$227)</f>
        <v>0</v>
      </c>
      <c r="K227" s="8">
        <f t="shared" si="30"/>
        <v>0</v>
      </c>
    </row>
    <row r="228" spans="1:11">
      <c r="A228" s="106" t="s">
        <v>23</v>
      </c>
      <c r="B228" s="29" t="s">
        <v>241</v>
      </c>
      <c r="C228" s="15"/>
      <c r="D228" s="16" t="s">
        <v>562</v>
      </c>
      <c r="H228" s="8">
        <f t="shared" ref="H228:H231" si="35">E228/SUM(E$228:E$231)</f>
        <v>0</v>
      </c>
      <c r="J228" s="8">
        <f>G228/SUM(G$228:G$231)</f>
        <v>0</v>
      </c>
      <c r="K228" s="8">
        <f t="shared" si="30"/>
        <v>0</v>
      </c>
    </row>
    <row r="229" spans="1:11" ht="15.75">
      <c r="A229" s="106"/>
      <c r="B229" s="29" t="s">
        <v>239</v>
      </c>
      <c r="C229" s="15"/>
      <c r="D229" s="16" t="s">
        <v>563</v>
      </c>
      <c r="E229" s="60">
        <v>139.86614944999999</v>
      </c>
      <c r="F229" s="60"/>
      <c r="G229" s="60">
        <v>439.46</v>
      </c>
      <c r="H229" s="8">
        <f t="shared" si="35"/>
        <v>1</v>
      </c>
      <c r="J229" s="8">
        <f>G229/SUM(G$228:G$231)</f>
        <v>1</v>
      </c>
      <c r="K229" s="8">
        <f t="shared" si="30"/>
        <v>1</v>
      </c>
    </row>
    <row r="230" spans="1:11">
      <c r="A230" s="106"/>
      <c r="B230" s="29" t="s">
        <v>242</v>
      </c>
      <c r="C230" s="15"/>
      <c r="D230" s="16" t="s">
        <v>564</v>
      </c>
      <c r="H230" s="8">
        <f t="shared" si="35"/>
        <v>0</v>
      </c>
      <c r="J230" s="8">
        <f>G230/SUM(G$228:G$231)</f>
        <v>0</v>
      </c>
      <c r="K230" s="8">
        <f t="shared" si="30"/>
        <v>0</v>
      </c>
    </row>
    <row r="231" spans="1:11">
      <c r="A231" s="106"/>
      <c r="B231" s="29" t="s">
        <v>240</v>
      </c>
      <c r="C231" s="15"/>
      <c r="D231" s="16" t="s">
        <v>565</v>
      </c>
      <c r="H231" s="8">
        <f t="shared" si="35"/>
        <v>0</v>
      </c>
      <c r="J231" s="8">
        <f>G231/SUM(G$228:G$231)</f>
        <v>0</v>
      </c>
      <c r="K231" s="8">
        <f t="shared" si="30"/>
        <v>0</v>
      </c>
    </row>
    <row r="232" spans="1:11">
      <c r="A232" s="106" t="s">
        <v>24</v>
      </c>
      <c r="B232" s="29" t="s">
        <v>243</v>
      </c>
      <c r="C232" s="15"/>
      <c r="D232" s="16" t="s">
        <v>566</v>
      </c>
      <c r="H232" s="8">
        <f>E232/SUM(E$232:E$236)</f>
        <v>0</v>
      </c>
      <c r="J232" s="8">
        <f>G232/SUM(G$232:G$236)</f>
        <v>0</v>
      </c>
      <c r="K232" s="8">
        <f t="shared" si="30"/>
        <v>0</v>
      </c>
    </row>
    <row r="233" spans="1:11">
      <c r="A233" s="106"/>
      <c r="B233" s="29" t="s">
        <v>245</v>
      </c>
      <c r="C233" s="15"/>
      <c r="D233" s="16" t="s">
        <v>567</v>
      </c>
      <c r="H233" s="8">
        <f t="shared" ref="H233:H236" si="36">E233/SUM(E$232:E$236)</f>
        <v>0</v>
      </c>
      <c r="J233" s="8">
        <f>G233/SUM(G$232:G$236)</f>
        <v>0</v>
      </c>
      <c r="K233" s="8">
        <f t="shared" si="30"/>
        <v>0</v>
      </c>
    </row>
    <row r="234" spans="1:11" ht="15.75">
      <c r="A234" s="106"/>
      <c r="B234" s="29" t="s">
        <v>244</v>
      </c>
      <c r="C234" s="15"/>
      <c r="D234" s="16" t="s">
        <v>568</v>
      </c>
      <c r="E234" s="60">
        <v>381.84173874999999</v>
      </c>
      <c r="F234" s="60"/>
      <c r="G234" s="60">
        <v>839.5</v>
      </c>
      <c r="H234" s="8">
        <f t="shared" si="36"/>
        <v>1</v>
      </c>
      <c r="J234" s="8">
        <f>G234/SUM(G$232:G$236)</f>
        <v>1</v>
      </c>
      <c r="K234" s="8">
        <f t="shared" si="30"/>
        <v>1</v>
      </c>
    </row>
    <row r="235" spans="1:11">
      <c r="A235" s="106"/>
      <c r="B235" s="29" t="s">
        <v>246</v>
      </c>
      <c r="C235" s="15"/>
      <c r="D235" s="16" t="s">
        <v>569</v>
      </c>
      <c r="H235" s="8">
        <f t="shared" si="36"/>
        <v>0</v>
      </c>
      <c r="J235" s="8">
        <f>G235/SUM(G$232:G$236)</f>
        <v>0</v>
      </c>
      <c r="K235" s="8">
        <f t="shared" si="30"/>
        <v>0</v>
      </c>
    </row>
    <row r="236" spans="1:11">
      <c r="A236" s="106"/>
      <c r="B236" s="29" t="s">
        <v>570</v>
      </c>
      <c r="C236" s="15"/>
      <c r="D236" s="16" t="s">
        <v>571</v>
      </c>
      <c r="H236" s="8">
        <f t="shared" si="36"/>
        <v>0</v>
      </c>
      <c r="J236" s="8">
        <f>G236/SUM(G$232:G$236)</f>
        <v>0</v>
      </c>
      <c r="K236" s="8">
        <f t="shared" si="30"/>
        <v>0</v>
      </c>
    </row>
    <row r="237" spans="1:11">
      <c r="A237" s="106" t="s">
        <v>25</v>
      </c>
      <c r="B237" s="29" t="s">
        <v>247</v>
      </c>
      <c r="C237" s="15"/>
      <c r="D237" s="16" t="s">
        <v>572</v>
      </c>
      <c r="H237" s="8">
        <f>E237/SUM(E$237:E$244)</f>
        <v>0</v>
      </c>
      <c r="J237" s="8">
        <f t="shared" ref="J237:J244" si="37">G237/SUM(G$237:G$244)</f>
        <v>0</v>
      </c>
      <c r="K237" s="8">
        <f t="shared" si="30"/>
        <v>0</v>
      </c>
    </row>
    <row r="238" spans="1:11">
      <c r="A238" s="106"/>
      <c r="B238" s="29" t="s">
        <v>248</v>
      </c>
      <c r="C238" s="15"/>
      <c r="D238" s="16" t="s">
        <v>573</v>
      </c>
      <c r="H238" s="8">
        <f t="shared" ref="H238:H244" si="38">E238/SUM(E$237:E$244)</f>
        <v>0</v>
      </c>
      <c r="J238" s="8">
        <f t="shared" si="37"/>
        <v>0</v>
      </c>
      <c r="K238" s="8">
        <f t="shared" si="30"/>
        <v>0</v>
      </c>
    </row>
    <row r="239" spans="1:11">
      <c r="A239" s="106"/>
      <c r="B239" s="29" t="s">
        <v>252</v>
      </c>
      <c r="C239" s="15"/>
      <c r="D239" s="16" t="s">
        <v>574</v>
      </c>
      <c r="H239" s="8">
        <f t="shared" si="38"/>
        <v>0</v>
      </c>
      <c r="J239" s="8">
        <f t="shared" si="37"/>
        <v>0</v>
      </c>
      <c r="K239" s="8">
        <f t="shared" si="30"/>
        <v>0</v>
      </c>
    </row>
    <row r="240" spans="1:11">
      <c r="A240" s="106"/>
      <c r="B240" s="29" t="s">
        <v>254</v>
      </c>
      <c r="C240" s="15"/>
      <c r="D240" s="16" t="s">
        <v>575</v>
      </c>
      <c r="H240" s="8">
        <f t="shared" si="38"/>
        <v>0</v>
      </c>
      <c r="J240" s="8">
        <f t="shared" si="37"/>
        <v>0</v>
      </c>
      <c r="K240" s="8">
        <f t="shared" si="30"/>
        <v>0</v>
      </c>
    </row>
    <row r="241" spans="1:11" ht="15.75">
      <c r="A241" s="106"/>
      <c r="B241" s="29" t="s">
        <v>251</v>
      </c>
      <c r="C241" s="32"/>
      <c r="D241" s="16" t="s">
        <v>576</v>
      </c>
      <c r="E241" s="60">
        <f>1832.840346+149.6242529</f>
        <v>1982.4645989000001</v>
      </c>
      <c r="F241" s="60"/>
      <c r="G241" s="60">
        <f>4029.6+470.12</f>
        <v>4499.72</v>
      </c>
      <c r="H241" s="8">
        <f t="shared" si="38"/>
        <v>1</v>
      </c>
      <c r="J241" s="8">
        <f t="shared" si="37"/>
        <v>1</v>
      </c>
      <c r="K241" s="8">
        <f t="shared" si="30"/>
        <v>1</v>
      </c>
    </row>
    <row r="242" spans="1:11">
      <c r="A242" s="106"/>
      <c r="B242" s="29" t="s">
        <v>253</v>
      </c>
      <c r="C242" s="15"/>
      <c r="D242" s="16" t="s">
        <v>577</v>
      </c>
      <c r="H242" s="8">
        <f t="shared" si="38"/>
        <v>0</v>
      </c>
      <c r="J242" s="8">
        <f t="shared" si="37"/>
        <v>0</v>
      </c>
      <c r="K242" s="8">
        <f t="shared" si="30"/>
        <v>0</v>
      </c>
    </row>
    <row r="243" spans="1:11">
      <c r="A243" s="106"/>
      <c r="B243" s="29" t="s">
        <v>250</v>
      </c>
      <c r="C243" s="15"/>
      <c r="D243" s="16" t="s">
        <v>578</v>
      </c>
      <c r="H243" s="8">
        <f t="shared" si="38"/>
        <v>0</v>
      </c>
      <c r="J243" s="8">
        <f t="shared" si="37"/>
        <v>0</v>
      </c>
      <c r="K243" s="8">
        <f t="shared" si="30"/>
        <v>0</v>
      </c>
    </row>
    <row r="244" spans="1:11">
      <c r="A244" s="106"/>
      <c r="B244" s="29" t="s">
        <v>249</v>
      </c>
      <c r="C244" s="15"/>
      <c r="D244" s="16" t="s">
        <v>579</v>
      </c>
      <c r="H244" s="8">
        <f t="shared" si="38"/>
        <v>0</v>
      </c>
      <c r="J244" s="8">
        <f t="shared" si="37"/>
        <v>0</v>
      </c>
      <c r="K244" s="8">
        <f t="shared" si="30"/>
        <v>0</v>
      </c>
    </row>
    <row r="245" spans="1:11">
      <c r="A245" s="106" t="s">
        <v>26</v>
      </c>
      <c r="B245" s="29" t="s">
        <v>294</v>
      </c>
      <c r="C245" s="32"/>
      <c r="D245" s="16" t="s">
        <v>580</v>
      </c>
      <c r="H245" s="8">
        <f>E245/SUM(E$245:E$285)</f>
        <v>0</v>
      </c>
      <c r="J245" s="8">
        <f t="shared" ref="J245:J285" si="39">G245/SUM(G$245:G$285)</f>
        <v>0</v>
      </c>
      <c r="K245" s="8">
        <f t="shared" si="30"/>
        <v>0</v>
      </c>
    </row>
    <row r="246" spans="1:11" ht="29.25">
      <c r="A246" s="106"/>
      <c r="B246" s="29" t="s">
        <v>268</v>
      </c>
      <c r="C246" s="15"/>
      <c r="D246" s="16" t="s">
        <v>581</v>
      </c>
      <c r="H246" s="8">
        <f t="shared" ref="H246:H285" si="40">E246/SUM(E$245:E$285)</f>
        <v>0</v>
      </c>
      <c r="J246" s="8">
        <f t="shared" si="39"/>
        <v>0</v>
      </c>
      <c r="K246" s="8">
        <f t="shared" si="30"/>
        <v>0</v>
      </c>
    </row>
    <row r="247" spans="1:11">
      <c r="A247" s="106"/>
      <c r="B247" s="29" t="s">
        <v>280</v>
      </c>
      <c r="C247" s="15"/>
      <c r="D247" s="16" t="s">
        <v>582</v>
      </c>
      <c r="H247" s="8">
        <f t="shared" si="40"/>
        <v>0</v>
      </c>
      <c r="J247" s="8">
        <f t="shared" si="39"/>
        <v>0</v>
      </c>
      <c r="K247" s="8">
        <f t="shared" si="30"/>
        <v>0</v>
      </c>
    </row>
    <row r="248" spans="1:11">
      <c r="A248" s="106"/>
      <c r="B248" s="29" t="s">
        <v>270</v>
      </c>
      <c r="C248" s="15"/>
      <c r="D248" s="16" t="s">
        <v>583</v>
      </c>
      <c r="H248" s="8">
        <f t="shared" si="40"/>
        <v>0</v>
      </c>
      <c r="J248" s="8">
        <f t="shared" si="39"/>
        <v>0</v>
      </c>
      <c r="K248" s="8">
        <f t="shared" si="30"/>
        <v>0</v>
      </c>
    </row>
    <row r="249" spans="1:11" ht="15.75">
      <c r="A249" s="106"/>
      <c r="B249" s="29" t="s">
        <v>285</v>
      </c>
      <c r="C249" s="15"/>
      <c r="D249" s="16" t="s">
        <v>584</v>
      </c>
      <c r="E249" s="60">
        <v>878.23599912500003</v>
      </c>
      <c r="F249" s="60"/>
      <c r="G249" s="60">
        <v>1930.85</v>
      </c>
      <c r="H249" s="8">
        <f t="shared" si="40"/>
        <v>0.13671182707604038</v>
      </c>
      <c r="J249" s="8">
        <f t="shared" si="39"/>
        <v>0.1130255028361572</v>
      </c>
      <c r="K249" s="8">
        <f t="shared" si="30"/>
        <v>0.1130255028361572</v>
      </c>
    </row>
    <row r="250" spans="1:11" ht="15.75">
      <c r="A250" s="106"/>
      <c r="B250" s="29" t="s">
        <v>264</v>
      </c>
      <c r="C250" s="15"/>
      <c r="D250" s="16" t="s">
        <v>585</v>
      </c>
      <c r="E250" s="60">
        <v>195.162069</v>
      </c>
      <c r="F250" s="60"/>
      <c r="G250" s="60">
        <v>613.20000000000005</v>
      </c>
      <c r="H250" s="8">
        <f t="shared" si="40"/>
        <v>3.0380174640430264E-2</v>
      </c>
      <c r="J250" s="8">
        <f t="shared" si="39"/>
        <v>3.5894677649290004E-2</v>
      </c>
      <c r="K250" s="8">
        <f t="shared" si="30"/>
        <v>3.5894677649290004E-2</v>
      </c>
    </row>
    <row r="251" spans="1:11" ht="15.75">
      <c r="A251" s="106"/>
      <c r="B251" s="29" t="s">
        <v>269</v>
      </c>
      <c r="C251" s="15"/>
      <c r="D251" s="16" t="s">
        <v>586</v>
      </c>
      <c r="E251" s="60">
        <v>878.23599912500003</v>
      </c>
      <c r="F251" s="60"/>
      <c r="G251" s="60">
        <v>1930.85</v>
      </c>
      <c r="H251" s="8">
        <f t="shared" si="40"/>
        <v>0.13671182707604038</v>
      </c>
      <c r="J251" s="8">
        <f t="shared" si="39"/>
        <v>0.1130255028361572</v>
      </c>
      <c r="K251" s="8">
        <f t="shared" si="30"/>
        <v>0.1130255028361572</v>
      </c>
    </row>
    <row r="252" spans="1:11" ht="29.25">
      <c r="A252" s="106"/>
      <c r="B252" s="29" t="s">
        <v>277</v>
      </c>
      <c r="C252" s="15"/>
      <c r="D252" s="16" t="s">
        <v>587</v>
      </c>
      <c r="E252" s="60">
        <v>1069.1568685</v>
      </c>
      <c r="F252" s="60"/>
      <c r="G252" s="60">
        <v>2350.6</v>
      </c>
      <c r="H252" s="8">
        <f t="shared" si="40"/>
        <v>0.16643178948387524</v>
      </c>
      <c r="J252" s="8">
        <f t="shared" si="39"/>
        <v>0.13759626432227831</v>
      </c>
      <c r="K252" s="8">
        <f t="shared" si="30"/>
        <v>0.13759626432227831</v>
      </c>
    </row>
    <row r="253" spans="1:11" ht="15.75">
      <c r="A253" s="106"/>
      <c r="B253" s="29" t="s">
        <v>295</v>
      </c>
      <c r="C253" s="15"/>
      <c r="D253" s="16" t="s">
        <v>588</v>
      </c>
      <c r="E253" s="60">
        <v>992.78852074999998</v>
      </c>
      <c r="F253" s="60"/>
      <c r="G253" s="60">
        <v>2182.6999999999998</v>
      </c>
      <c r="H253" s="8">
        <f t="shared" si="40"/>
        <v>0.15454380452074129</v>
      </c>
      <c r="J253" s="8">
        <f t="shared" si="39"/>
        <v>0.12776795972782987</v>
      </c>
      <c r="K253" s="8">
        <f t="shared" si="30"/>
        <v>0.12776795972782987</v>
      </c>
    </row>
    <row r="254" spans="1:11">
      <c r="A254" s="106"/>
      <c r="B254" s="29" t="s">
        <v>266</v>
      </c>
      <c r="C254" s="15"/>
      <c r="D254" s="16" t="s">
        <v>589</v>
      </c>
      <c r="E254" s="3">
        <f>312.2593104+130.108046</f>
        <v>442.36735640000001</v>
      </c>
      <c r="G254" s="3">
        <f>981.12+408.8</f>
        <v>1389.92</v>
      </c>
      <c r="H254" s="8">
        <f t="shared" si="40"/>
        <v>6.8861729184975268E-2</v>
      </c>
      <c r="J254" s="8">
        <f t="shared" si="39"/>
        <v>8.1361269338390663E-2</v>
      </c>
      <c r="K254" s="8">
        <f t="shared" si="30"/>
        <v>8.1361269338390663E-2</v>
      </c>
    </row>
    <row r="255" spans="1:11" ht="15.75">
      <c r="A255" s="106"/>
      <c r="B255" s="29" t="s">
        <v>263</v>
      </c>
      <c r="C255" s="15"/>
      <c r="D255" s="16" t="s">
        <v>590</v>
      </c>
      <c r="E255" s="60">
        <f>178.89856325+149.6242529+162.6350575</f>
        <v>491.15787364999994</v>
      </c>
      <c r="F255" s="60"/>
      <c r="G255" s="60">
        <f>562.1+470.12+511</f>
        <v>1543.22</v>
      </c>
      <c r="H255" s="8">
        <f t="shared" si="40"/>
        <v>7.6456772845082815E-2</v>
      </c>
      <c r="J255" s="8">
        <f t="shared" si="39"/>
        <v>9.0334938750713162E-2</v>
      </c>
      <c r="K255" s="8">
        <f t="shared" si="30"/>
        <v>9.0334938750713162E-2</v>
      </c>
    </row>
    <row r="256" spans="1:11" ht="15.75">
      <c r="A256" s="106"/>
      <c r="B256" s="29" t="s">
        <v>279</v>
      </c>
      <c r="C256" s="15"/>
      <c r="D256" s="16" t="s">
        <v>591</v>
      </c>
      <c r="E256" s="60">
        <v>715.75755346355697</v>
      </c>
      <c r="F256" s="60"/>
      <c r="G256" s="60">
        <v>2750.4926289999999</v>
      </c>
      <c r="H256" s="8">
        <f t="shared" si="40"/>
        <v>0.1114193940751364</v>
      </c>
      <c r="J256" s="8">
        <f t="shared" si="39"/>
        <v>0.16100464170695236</v>
      </c>
      <c r="K256" s="8">
        <f t="shared" si="30"/>
        <v>0.16100464170695236</v>
      </c>
    </row>
    <row r="257" spans="1:11" ht="29.25">
      <c r="A257" s="106"/>
      <c r="B257" s="29" t="s">
        <v>272</v>
      </c>
      <c r="C257" s="15"/>
      <c r="D257" s="16" t="s">
        <v>592</v>
      </c>
      <c r="H257" s="8">
        <f t="shared" si="40"/>
        <v>0</v>
      </c>
      <c r="J257" s="8">
        <f t="shared" si="39"/>
        <v>0</v>
      </c>
      <c r="K257" s="8">
        <f t="shared" si="30"/>
        <v>0</v>
      </c>
    </row>
    <row r="258" spans="1:11">
      <c r="A258" s="106"/>
      <c r="B258" s="29" t="s">
        <v>271</v>
      </c>
      <c r="C258" s="15"/>
      <c r="D258" s="16" t="s">
        <v>593</v>
      </c>
      <c r="H258" s="8">
        <f t="shared" si="40"/>
        <v>0</v>
      </c>
      <c r="J258" s="8">
        <f t="shared" si="39"/>
        <v>0</v>
      </c>
      <c r="K258" s="8">
        <f t="shared" si="30"/>
        <v>0</v>
      </c>
    </row>
    <row r="259" spans="1:11" ht="29.25">
      <c r="A259" s="106"/>
      <c r="B259" s="29" t="s">
        <v>275</v>
      </c>
      <c r="C259" s="15"/>
      <c r="D259" s="16" t="s">
        <v>594</v>
      </c>
      <c r="H259" s="8">
        <f t="shared" si="40"/>
        <v>0</v>
      </c>
      <c r="J259" s="8">
        <f t="shared" si="39"/>
        <v>0</v>
      </c>
      <c r="K259" s="8">
        <f t="shared" si="30"/>
        <v>0</v>
      </c>
    </row>
    <row r="260" spans="1:11">
      <c r="A260" s="106"/>
      <c r="B260" s="29" t="s">
        <v>267</v>
      </c>
      <c r="C260" s="15"/>
      <c r="D260" s="16" t="s">
        <v>595</v>
      </c>
      <c r="H260" s="8">
        <f t="shared" si="40"/>
        <v>0</v>
      </c>
      <c r="J260" s="8">
        <f t="shared" si="39"/>
        <v>0</v>
      </c>
      <c r="K260" s="8">
        <f t="shared" ref="K260:K285" si="41">J260</f>
        <v>0</v>
      </c>
    </row>
    <row r="261" spans="1:11">
      <c r="A261" s="106"/>
      <c r="B261" s="29" t="s">
        <v>274</v>
      </c>
      <c r="C261" s="15"/>
      <c r="D261" s="16" t="s">
        <v>596</v>
      </c>
      <c r="H261" s="8">
        <f t="shared" si="40"/>
        <v>0</v>
      </c>
      <c r="J261" s="8">
        <f t="shared" si="39"/>
        <v>0</v>
      </c>
      <c r="K261" s="8">
        <f t="shared" si="41"/>
        <v>0</v>
      </c>
    </row>
    <row r="262" spans="1:11">
      <c r="A262" s="106"/>
      <c r="B262" s="29" t="s">
        <v>282</v>
      </c>
      <c r="C262" s="15"/>
      <c r="D262" s="16" t="s">
        <v>597</v>
      </c>
      <c r="H262" s="8">
        <f t="shared" si="40"/>
        <v>0</v>
      </c>
      <c r="J262" s="8">
        <f t="shared" si="39"/>
        <v>0</v>
      </c>
      <c r="K262" s="8">
        <f t="shared" si="41"/>
        <v>0</v>
      </c>
    </row>
    <row r="263" spans="1:11">
      <c r="A263" s="106"/>
      <c r="B263" s="29" t="s">
        <v>287</v>
      </c>
      <c r="C263" s="15"/>
      <c r="D263" s="16" t="s">
        <v>598</v>
      </c>
      <c r="H263" s="8">
        <f t="shared" si="40"/>
        <v>0</v>
      </c>
      <c r="J263" s="8">
        <f t="shared" si="39"/>
        <v>0</v>
      </c>
      <c r="K263" s="8">
        <f t="shared" si="41"/>
        <v>0</v>
      </c>
    </row>
    <row r="264" spans="1:11" ht="15.75">
      <c r="A264" s="106"/>
      <c r="B264" s="29" t="s">
        <v>265</v>
      </c>
      <c r="C264" s="15"/>
      <c r="D264" s="16" t="s">
        <v>599</v>
      </c>
      <c r="E264" s="60">
        <v>162.63505749999999</v>
      </c>
      <c r="F264" s="60"/>
      <c r="G264" s="60">
        <v>511</v>
      </c>
      <c r="H264" s="8">
        <f t="shared" si="40"/>
        <v>2.531681220035855E-2</v>
      </c>
      <c r="J264" s="8">
        <f t="shared" si="39"/>
        <v>2.9912231374408332E-2</v>
      </c>
      <c r="K264" s="8">
        <f t="shared" si="41"/>
        <v>2.9912231374408332E-2</v>
      </c>
    </row>
    <row r="265" spans="1:11">
      <c r="A265" s="106"/>
      <c r="B265" s="29" t="s">
        <v>293</v>
      </c>
      <c r="C265" s="15"/>
      <c r="D265" s="16" t="s">
        <v>600</v>
      </c>
      <c r="H265" s="8">
        <f t="shared" si="40"/>
        <v>0</v>
      </c>
      <c r="J265" s="8">
        <f t="shared" si="39"/>
        <v>0</v>
      </c>
      <c r="K265" s="8">
        <f t="shared" si="41"/>
        <v>0</v>
      </c>
    </row>
    <row r="266" spans="1:11">
      <c r="A266" s="106"/>
      <c r="B266" s="29" t="s">
        <v>292</v>
      </c>
      <c r="C266" s="15"/>
      <c r="D266" s="16" t="s">
        <v>601</v>
      </c>
      <c r="H266" s="8">
        <f t="shared" si="40"/>
        <v>0</v>
      </c>
      <c r="J266" s="8">
        <f t="shared" si="39"/>
        <v>0</v>
      </c>
      <c r="K266" s="8">
        <f t="shared" si="41"/>
        <v>0</v>
      </c>
    </row>
    <row r="267" spans="1:11" ht="29.25">
      <c r="A267" s="106"/>
      <c r="B267" s="29" t="s">
        <v>291</v>
      </c>
      <c r="C267" s="15"/>
      <c r="D267" s="16" t="s">
        <v>602</v>
      </c>
      <c r="H267" s="8">
        <f t="shared" si="40"/>
        <v>0</v>
      </c>
      <c r="J267" s="8">
        <f t="shared" si="39"/>
        <v>0</v>
      </c>
      <c r="K267" s="8">
        <f t="shared" si="41"/>
        <v>0</v>
      </c>
    </row>
    <row r="268" spans="1:11">
      <c r="A268" s="106"/>
      <c r="B268" s="29" t="s">
        <v>290</v>
      </c>
      <c r="C268" s="15"/>
      <c r="D268" s="16" t="s">
        <v>603</v>
      </c>
      <c r="H268" s="8">
        <f t="shared" si="40"/>
        <v>0</v>
      </c>
      <c r="J268" s="8">
        <f t="shared" si="39"/>
        <v>0</v>
      </c>
      <c r="K268" s="8">
        <f t="shared" si="41"/>
        <v>0</v>
      </c>
    </row>
    <row r="269" spans="1:11" ht="29.25">
      <c r="A269" s="106"/>
      <c r="B269" s="29" t="s">
        <v>289</v>
      </c>
      <c r="C269" s="15"/>
      <c r="D269" s="16" t="s">
        <v>604</v>
      </c>
      <c r="H269" s="8">
        <f t="shared" si="40"/>
        <v>0</v>
      </c>
      <c r="J269" s="8">
        <f t="shared" si="39"/>
        <v>0</v>
      </c>
      <c r="K269" s="8">
        <f t="shared" si="41"/>
        <v>0</v>
      </c>
    </row>
    <row r="270" spans="1:11" ht="29.25">
      <c r="A270" s="106"/>
      <c r="B270" s="29" t="s">
        <v>286</v>
      </c>
      <c r="C270" s="15"/>
      <c r="D270" s="16" t="s">
        <v>605</v>
      </c>
      <c r="H270" s="8">
        <f t="shared" si="40"/>
        <v>0</v>
      </c>
      <c r="J270" s="8">
        <f t="shared" si="39"/>
        <v>0</v>
      </c>
      <c r="K270" s="8">
        <f t="shared" si="41"/>
        <v>0</v>
      </c>
    </row>
    <row r="271" spans="1:11">
      <c r="A271" s="106"/>
      <c r="B271" s="29" t="s">
        <v>283</v>
      </c>
      <c r="C271" s="15"/>
      <c r="D271" s="16" t="s">
        <v>606</v>
      </c>
      <c r="H271" s="8">
        <f t="shared" si="40"/>
        <v>0</v>
      </c>
      <c r="J271" s="8">
        <f t="shared" si="39"/>
        <v>0</v>
      </c>
      <c r="K271" s="8">
        <f t="shared" si="41"/>
        <v>0</v>
      </c>
    </row>
    <row r="272" spans="1:11">
      <c r="A272" s="106"/>
      <c r="B272" s="29" t="s">
        <v>276</v>
      </c>
      <c r="C272" s="15"/>
      <c r="D272" s="16" t="s">
        <v>607</v>
      </c>
      <c r="H272" s="8">
        <f t="shared" si="40"/>
        <v>0</v>
      </c>
      <c r="J272" s="8">
        <f t="shared" si="39"/>
        <v>0</v>
      </c>
      <c r="K272" s="8">
        <f t="shared" si="41"/>
        <v>0</v>
      </c>
    </row>
    <row r="273" spans="1:12">
      <c r="A273" s="106"/>
      <c r="B273" s="29" t="s">
        <v>273</v>
      </c>
      <c r="C273" s="15"/>
      <c r="D273" s="16" t="s">
        <v>608</v>
      </c>
      <c r="H273" s="8">
        <f t="shared" si="40"/>
        <v>0</v>
      </c>
      <c r="J273" s="8">
        <f t="shared" si="39"/>
        <v>0</v>
      </c>
      <c r="K273" s="8">
        <f t="shared" si="41"/>
        <v>0</v>
      </c>
    </row>
    <row r="274" spans="1:12" ht="29.25">
      <c r="A274" s="106"/>
      <c r="B274" s="29" t="s">
        <v>288</v>
      </c>
      <c r="C274" s="15"/>
      <c r="D274" s="16" t="s">
        <v>609</v>
      </c>
      <c r="H274" s="8">
        <f t="shared" si="40"/>
        <v>0</v>
      </c>
      <c r="J274" s="8">
        <f t="shared" si="39"/>
        <v>0</v>
      </c>
      <c r="K274" s="8">
        <f t="shared" si="41"/>
        <v>0</v>
      </c>
    </row>
    <row r="275" spans="1:12">
      <c r="A275" s="106"/>
      <c r="B275" s="29" t="s">
        <v>284</v>
      </c>
      <c r="C275" s="15"/>
      <c r="D275" s="16" t="s">
        <v>610</v>
      </c>
      <c r="H275" s="8">
        <f t="shared" si="40"/>
        <v>0</v>
      </c>
      <c r="J275" s="8">
        <f t="shared" si="39"/>
        <v>0</v>
      </c>
      <c r="K275" s="8">
        <f t="shared" si="41"/>
        <v>0</v>
      </c>
    </row>
    <row r="276" spans="1:12">
      <c r="A276" s="106"/>
      <c r="B276" s="29" t="s">
        <v>281</v>
      </c>
      <c r="C276" s="15"/>
      <c r="D276" s="16" t="s">
        <v>611</v>
      </c>
      <c r="H276" s="8">
        <f t="shared" si="40"/>
        <v>0</v>
      </c>
      <c r="J276" s="8">
        <f t="shared" si="39"/>
        <v>0</v>
      </c>
      <c r="K276" s="8">
        <f t="shared" si="41"/>
        <v>0</v>
      </c>
    </row>
    <row r="277" spans="1:12">
      <c r="A277" s="106"/>
      <c r="B277" s="29" t="s">
        <v>278</v>
      </c>
      <c r="C277" s="15"/>
      <c r="D277" s="16" t="s">
        <v>612</v>
      </c>
      <c r="H277" s="8">
        <f t="shared" si="40"/>
        <v>0</v>
      </c>
      <c r="J277" s="8">
        <f t="shared" si="39"/>
        <v>0</v>
      </c>
      <c r="K277" s="8">
        <f t="shared" si="41"/>
        <v>0</v>
      </c>
    </row>
    <row r="278" spans="1:12">
      <c r="A278" s="106"/>
      <c r="B278" s="29" t="s">
        <v>255</v>
      </c>
      <c r="C278" s="15"/>
      <c r="D278" s="16" t="s">
        <v>613</v>
      </c>
      <c r="H278" s="8">
        <f t="shared" si="40"/>
        <v>0</v>
      </c>
      <c r="J278" s="8">
        <f t="shared" si="39"/>
        <v>0</v>
      </c>
      <c r="K278" s="8">
        <f t="shared" si="41"/>
        <v>0</v>
      </c>
    </row>
    <row r="279" spans="1:12">
      <c r="A279" s="106"/>
      <c r="B279" s="29" t="s">
        <v>256</v>
      </c>
      <c r="C279" s="15"/>
      <c r="D279" s="16" t="s">
        <v>614</v>
      </c>
      <c r="H279" s="8">
        <f t="shared" si="40"/>
        <v>0</v>
      </c>
      <c r="J279" s="8">
        <f t="shared" si="39"/>
        <v>0</v>
      </c>
      <c r="K279" s="8">
        <f t="shared" si="41"/>
        <v>0</v>
      </c>
    </row>
    <row r="280" spans="1:12">
      <c r="A280" s="106"/>
      <c r="B280" s="29" t="s">
        <v>261</v>
      </c>
      <c r="C280" s="15"/>
      <c r="D280" s="16" t="s">
        <v>615</v>
      </c>
      <c r="H280" s="8">
        <f t="shared" si="40"/>
        <v>0</v>
      </c>
      <c r="J280" s="8">
        <f t="shared" si="39"/>
        <v>0</v>
      </c>
      <c r="K280" s="8">
        <f t="shared" si="41"/>
        <v>0</v>
      </c>
    </row>
    <row r="281" spans="1:12">
      <c r="A281" s="106"/>
      <c r="B281" s="29" t="s">
        <v>259</v>
      </c>
      <c r="C281" s="15"/>
      <c r="D281" s="16" t="s">
        <v>616</v>
      </c>
      <c r="H281" s="8">
        <f t="shared" si="40"/>
        <v>0</v>
      </c>
      <c r="J281" s="8">
        <f t="shared" si="39"/>
        <v>0</v>
      </c>
      <c r="K281" s="8">
        <f t="shared" si="41"/>
        <v>0</v>
      </c>
    </row>
    <row r="282" spans="1:12" ht="15.75">
      <c r="A282" s="106"/>
      <c r="B282" s="29" t="s">
        <v>260</v>
      </c>
      <c r="C282" s="31"/>
      <c r="D282" s="16" t="s">
        <v>617</v>
      </c>
      <c r="E282" s="60">
        <v>149.62425289999999</v>
      </c>
      <c r="F282" s="60"/>
      <c r="G282" s="60">
        <v>470.12</v>
      </c>
      <c r="H282" s="8">
        <f t="shared" si="40"/>
        <v>2.3291467224329867E-2</v>
      </c>
      <c r="J282" s="8">
        <f t="shared" si="39"/>
        <v>2.7519252864455664E-2</v>
      </c>
      <c r="K282" s="8">
        <f t="shared" si="41"/>
        <v>2.7519252864455664E-2</v>
      </c>
    </row>
    <row r="283" spans="1:12">
      <c r="A283" s="106"/>
      <c r="B283" s="29" t="s">
        <v>258</v>
      </c>
      <c r="C283" s="15"/>
      <c r="D283" s="16" t="s">
        <v>618</v>
      </c>
      <c r="H283" s="8">
        <f t="shared" si="40"/>
        <v>0</v>
      </c>
      <c r="J283" s="8">
        <f t="shared" si="39"/>
        <v>0</v>
      </c>
      <c r="K283" s="8">
        <f t="shared" si="41"/>
        <v>0</v>
      </c>
    </row>
    <row r="284" spans="1:12" ht="15.75">
      <c r="A284" s="106"/>
      <c r="B284" s="29" t="s">
        <v>257</v>
      </c>
      <c r="C284" s="15"/>
      <c r="D284" s="16" t="s">
        <v>619</v>
      </c>
      <c r="E284" s="60">
        <v>149.62425289999999</v>
      </c>
      <c r="F284" s="60"/>
      <c r="G284" s="60">
        <v>470.12</v>
      </c>
      <c r="H284" s="8">
        <f t="shared" si="40"/>
        <v>2.3291467224329867E-2</v>
      </c>
      <c r="J284" s="8">
        <f t="shared" si="39"/>
        <v>2.7519252864455664E-2</v>
      </c>
      <c r="K284" s="8">
        <f t="shared" si="41"/>
        <v>2.7519252864455664E-2</v>
      </c>
    </row>
    <row r="285" spans="1:12" ht="15.75">
      <c r="A285" s="106"/>
      <c r="B285" s="29" t="s">
        <v>262</v>
      </c>
      <c r="C285" s="15"/>
      <c r="D285" s="16" t="s">
        <v>620</v>
      </c>
      <c r="E285" s="60">
        <v>299.24850579999998</v>
      </c>
      <c r="F285" s="60"/>
      <c r="G285" s="60">
        <v>940.24</v>
      </c>
      <c r="H285" s="8">
        <f t="shared" si="40"/>
        <v>4.6582934448659734E-2</v>
      </c>
      <c r="J285" s="8">
        <f t="shared" si="39"/>
        <v>5.5038505728911329E-2</v>
      </c>
      <c r="K285" s="8">
        <f t="shared" si="41"/>
        <v>5.5038505728911329E-2</v>
      </c>
    </row>
    <row r="286" spans="1:12">
      <c r="A286" s="106" t="s">
        <v>27</v>
      </c>
      <c r="B286" s="21" t="s">
        <v>298</v>
      </c>
      <c r="D286" s="19" t="s">
        <v>628</v>
      </c>
      <c r="K286" s="8">
        <f>1/ROWS(B286:B292)</f>
        <v>0.14285714285714285</v>
      </c>
      <c r="L286" s="82" t="s">
        <v>925</v>
      </c>
    </row>
    <row r="287" spans="1:12">
      <c r="A287" s="106"/>
      <c r="B287" s="19" t="s">
        <v>297</v>
      </c>
      <c r="D287" s="19" t="s">
        <v>629</v>
      </c>
      <c r="K287" s="8">
        <f t="shared" ref="K287:K292" si="42">1/ROWS(B287:B293)</f>
        <v>0.14285714285714285</v>
      </c>
      <c r="L287" s="82" t="s">
        <v>925</v>
      </c>
    </row>
    <row r="288" spans="1:12">
      <c r="A288" s="106"/>
      <c r="B288" s="19" t="s">
        <v>299</v>
      </c>
      <c r="D288" s="19" t="s">
        <v>630</v>
      </c>
      <c r="K288" s="8">
        <f t="shared" si="42"/>
        <v>0.14285714285714285</v>
      </c>
      <c r="L288" s="82" t="s">
        <v>925</v>
      </c>
    </row>
    <row r="289" spans="1:12">
      <c r="A289" s="106"/>
      <c r="B289" s="29" t="s">
        <v>624</v>
      </c>
      <c r="D289" s="19" t="s">
        <v>631</v>
      </c>
      <c r="K289" s="8">
        <f t="shared" si="42"/>
        <v>0.14285714285714285</v>
      </c>
      <c r="L289" s="82" t="s">
        <v>925</v>
      </c>
    </row>
    <row r="290" spans="1:12">
      <c r="A290" s="106"/>
      <c r="B290" s="21" t="s">
        <v>625</v>
      </c>
      <c r="D290" s="19" t="s">
        <v>632</v>
      </c>
      <c r="K290" s="8">
        <f t="shared" si="42"/>
        <v>0.14285714285714285</v>
      </c>
      <c r="L290" s="82" t="s">
        <v>925</v>
      </c>
    </row>
    <row r="291" spans="1:12">
      <c r="A291" s="106"/>
      <c r="B291" s="21" t="s">
        <v>626</v>
      </c>
      <c r="D291" s="19" t="s">
        <v>633</v>
      </c>
      <c r="K291" s="8">
        <f t="shared" si="42"/>
        <v>0.14285714285714285</v>
      </c>
      <c r="L291" s="82" t="s">
        <v>925</v>
      </c>
    </row>
    <row r="292" spans="1:12">
      <c r="A292" s="106"/>
      <c r="B292" s="21" t="s">
        <v>627</v>
      </c>
      <c r="D292" s="19" t="s">
        <v>634</v>
      </c>
      <c r="K292" s="8">
        <f t="shared" si="42"/>
        <v>0.14285714285714285</v>
      </c>
      <c r="L292" s="82" t="s">
        <v>925</v>
      </c>
    </row>
    <row r="293" spans="1:12">
      <c r="A293" s="106"/>
      <c r="B293" s="12" t="s">
        <v>302</v>
      </c>
      <c r="D293" s="19"/>
      <c r="K293" s="8">
        <f>K289*1.3/2.3</f>
        <v>8.0745341614906846E-2</v>
      </c>
    </row>
    <row r="294" spans="1:12">
      <c r="A294" s="106"/>
      <c r="B294" s="12" t="s">
        <v>301</v>
      </c>
      <c r="D294" s="19"/>
      <c r="K294" s="8">
        <f>K289*1/2.3</f>
        <v>6.2111801242236024E-2</v>
      </c>
    </row>
    <row r="295" spans="1:12">
      <c r="A295" s="106"/>
      <c r="B295" s="12" t="s">
        <v>300</v>
      </c>
      <c r="D295" s="19"/>
      <c r="K295" s="8">
        <f>K290</f>
        <v>0.14285714285714285</v>
      </c>
    </row>
    <row r="296" spans="1:12">
      <c r="A296" s="106"/>
      <c r="B296" s="12" t="s">
        <v>296</v>
      </c>
      <c r="D296" s="19"/>
      <c r="K296" s="8">
        <f>K291</f>
        <v>0.14285714285714285</v>
      </c>
    </row>
    <row r="297" spans="1:12">
      <c r="A297" s="106" t="s">
        <v>635</v>
      </c>
      <c r="B297" s="21" t="s">
        <v>305</v>
      </c>
      <c r="C297" s="20"/>
      <c r="D297" s="21" t="s">
        <v>636</v>
      </c>
      <c r="K297" s="8">
        <f t="shared" ref="K297:K303" si="43">1/ROWS(B297:B303)</f>
        <v>0.14285714285714285</v>
      </c>
      <c r="L297" s="82" t="s">
        <v>925</v>
      </c>
    </row>
    <row r="298" spans="1:12">
      <c r="A298" s="106"/>
      <c r="B298" s="21" t="s">
        <v>307</v>
      </c>
      <c r="C298" s="20"/>
      <c r="D298" s="21" t="s">
        <v>637</v>
      </c>
      <c r="K298" s="8">
        <f t="shared" si="43"/>
        <v>0.14285714285714285</v>
      </c>
      <c r="L298" s="82" t="s">
        <v>925</v>
      </c>
    </row>
    <row r="299" spans="1:12">
      <c r="A299" s="106"/>
      <c r="B299" s="21" t="s">
        <v>309</v>
      </c>
      <c r="C299" s="20"/>
      <c r="D299" s="21" t="s">
        <v>638</v>
      </c>
      <c r="K299" s="8">
        <f t="shared" si="43"/>
        <v>0.14285714285714285</v>
      </c>
      <c r="L299" s="82" t="s">
        <v>925</v>
      </c>
    </row>
    <row r="300" spans="1:12">
      <c r="A300" s="106"/>
      <c r="B300" s="21" t="s">
        <v>303</v>
      </c>
      <c r="C300" s="20"/>
      <c r="D300" s="21" t="s">
        <v>639</v>
      </c>
      <c r="K300" s="8">
        <f t="shared" si="43"/>
        <v>0.14285714285714285</v>
      </c>
      <c r="L300" s="82" t="s">
        <v>925</v>
      </c>
    </row>
    <row r="301" spans="1:12">
      <c r="A301" s="106"/>
      <c r="B301" s="21" t="s">
        <v>308</v>
      </c>
      <c r="C301" s="20"/>
      <c r="D301" s="21" t="s">
        <v>640</v>
      </c>
      <c r="K301" s="8">
        <f t="shared" si="43"/>
        <v>0.14285714285714285</v>
      </c>
      <c r="L301" s="82" t="s">
        <v>925</v>
      </c>
    </row>
    <row r="302" spans="1:12">
      <c r="A302" s="106"/>
      <c r="B302" s="21" t="s">
        <v>304</v>
      </c>
      <c r="C302" s="20"/>
      <c r="D302" s="21" t="s">
        <v>641</v>
      </c>
      <c r="K302" s="8">
        <f t="shared" si="43"/>
        <v>0.14285714285714285</v>
      </c>
      <c r="L302" s="82" t="s">
        <v>925</v>
      </c>
    </row>
    <row r="303" spans="1:12">
      <c r="A303" s="106"/>
      <c r="B303" s="21" t="s">
        <v>306</v>
      </c>
      <c r="C303" s="20"/>
      <c r="D303" s="21" t="s">
        <v>642</v>
      </c>
      <c r="K303" s="8">
        <f t="shared" si="43"/>
        <v>0.14285714285714285</v>
      </c>
      <c r="L303" s="82" t="s">
        <v>925</v>
      </c>
    </row>
    <row r="304" spans="1:12">
      <c r="A304" s="26" t="s">
        <v>28</v>
      </c>
      <c r="B304" s="33" t="s">
        <v>310</v>
      </c>
      <c r="C304" s="34"/>
      <c r="D304" s="33" t="s">
        <v>643</v>
      </c>
      <c r="K304" s="8">
        <v>1</v>
      </c>
      <c r="L304" s="82" t="s">
        <v>925</v>
      </c>
    </row>
    <row r="305" spans="1:12">
      <c r="A305" s="24" t="s">
        <v>29</v>
      </c>
      <c r="B305" s="19" t="s">
        <v>311</v>
      </c>
      <c r="C305" s="16"/>
      <c r="D305" s="16" t="s">
        <v>644</v>
      </c>
      <c r="K305" s="8">
        <v>1</v>
      </c>
      <c r="L305" s="82" t="s">
        <v>925</v>
      </c>
    </row>
    <row r="306" spans="1:12">
      <c r="A306" s="106" t="s">
        <v>30</v>
      </c>
      <c r="B306" s="19" t="s">
        <v>33</v>
      </c>
      <c r="C306" s="16"/>
      <c r="D306" s="19" t="s">
        <v>645</v>
      </c>
      <c r="K306" s="8">
        <v>0.33329999999999999</v>
      </c>
      <c r="L306" s="82" t="s">
        <v>925</v>
      </c>
    </row>
    <row r="307" spans="1:12">
      <c r="A307" s="106"/>
      <c r="B307" s="19" t="s">
        <v>34</v>
      </c>
      <c r="C307" s="16"/>
      <c r="D307" s="19" t="s">
        <v>646</v>
      </c>
      <c r="K307" s="8">
        <v>0.33329999999999999</v>
      </c>
      <c r="L307" s="82" t="s">
        <v>925</v>
      </c>
    </row>
    <row r="308" spans="1:12">
      <c r="A308" s="106"/>
      <c r="B308" s="19" t="s">
        <v>35</v>
      </c>
      <c r="C308" s="16"/>
      <c r="D308" s="19" t="s">
        <v>647</v>
      </c>
      <c r="K308" s="8">
        <v>0.33329999999999999</v>
      </c>
      <c r="L308" s="82" t="s">
        <v>925</v>
      </c>
    </row>
    <row r="309" spans="1:12">
      <c r="A309" s="106" t="s">
        <v>31</v>
      </c>
      <c r="B309" s="19" t="s">
        <v>315</v>
      </c>
      <c r="C309" s="16"/>
      <c r="D309" s="19" t="s">
        <v>648</v>
      </c>
      <c r="K309" s="8">
        <v>0.25</v>
      </c>
      <c r="L309" s="82" t="s">
        <v>925</v>
      </c>
    </row>
    <row r="310" spans="1:12">
      <c r="A310" s="106"/>
      <c r="B310" s="19" t="s">
        <v>314</v>
      </c>
      <c r="C310" s="16"/>
      <c r="D310" s="19" t="s">
        <v>649</v>
      </c>
      <c r="K310" s="8">
        <v>0.25</v>
      </c>
      <c r="L310" s="82" t="s">
        <v>925</v>
      </c>
    </row>
    <row r="311" spans="1:12" ht="29.25">
      <c r="A311" s="106"/>
      <c r="B311" s="19" t="s">
        <v>313</v>
      </c>
      <c r="C311" s="16"/>
      <c r="D311" s="16" t="s">
        <v>650</v>
      </c>
      <c r="K311" s="8">
        <v>0.25</v>
      </c>
      <c r="L311" s="82" t="s">
        <v>925</v>
      </c>
    </row>
    <row r="312" spans="1:12">
      <c r="A312" s="106"/>
      <c r="B312" s="19" t="s">
        <v>312</v>
      </c>
      <c r="C312" s="16"/>
      <c r="D312" s="16" t="s">
        <v>651</v>
      </c>
      <c r="K312" s="8">
        <v>0.25</v>
      </c>
      <c r="L312" s="82" t="s">
        <v>925</v>
      </c>
    </row>
    <row r="313" spans="1:12">
      <c r="A313" s="26" t="s">
        <v>32</v>
      </c>
      <c r="B313" s="19" t="s">
        <v>1015</v>
      </c>
      <c r="K313" s="8">
        <v>1</v>
      </c>
      <c r="L313" s="82" t="s">
        <v>925</v>
      </c>
    </row>
    <row r="314" spans="1:12">
      <c r="A314" s="26" t="s">
        <v>1026</v>
      </c>
      <c r="B314" s="19" t="s">
        <v>654</v>
      </c>
      <c r="D314" s="3" t="s">
        <v>1026</v>
      </c>
      <c r="K314" s="8">
        <v>1</v>
      </c>
      <c r="L314" s="82" t="s">
        <v>925</v>
      </c>
    </row>
    <row r="315" spans="1:12">
      <c r="A315" s="26" t="s">
        <v>933</v>
      </c>
      <c r="B315" s="19" t="s">
        <v>653</v>
      </c>
      <c r="D315" s="3" t="s">
        <v>652</v>
      </c>
      <c r="K315" s="8">
        <v>1</v>
      </c>
      <c r="L315" s="82" t="s">
        <v>925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5"/>
  <sheetViews>
    <sheetView topLeftCell="A3" workbookViewId="0"/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875" style="3" customWidth="1"/>
    <col min="4" max="4" width="29.875" style="3" bestFit="1" customWidth="1"/>
    <col min="5" max="5" width="20.5" style="3" bestFit="1" customWidth="1"/>
    <col min="6" max="6" width="10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655</v>
      </c>
      <c r="E1" s="22" t="s">
        <v>729</v>
      </c>
      <c r="F1" s="23" t="s">
        <v>1016</v>
      </c>
      <c r="G1" s="2" t="s">
        <v>927</v>
      </c>
      <c r="H1" s="2"/>
      <c r="I1" s="2"/>
    </row>
    <row r="2" spans="1:10" ht="30">
      <c r="A2" s="106" t="s">
        <v>3</v>
      </c>
      <c r="B2" s="5" t="s">
        <v>36</v>
      </c>
      <c r="C2" s="6"/>
      <c r="D2" s="7" t="s">
        <v>621</v>
      </c>
      <c r="J2" s="4"/>
    </row>
    <row r="3" spans="1:10">
      <c r="A3" s="106"/>
      <c r="B3" s="5" t="s">
        <v>46</v>
      </c>
      <c r="C3" s="6" t="s">
        <v>656</v>
      </c>
      <c r="D3" s="7" t="s">
        <v>316</v>
      </c>
      <c r="E3" s="3">
        <v>460</v>
      </c>
      <c r="F3" s="8">
        <f>E3/SUM($E$3:$E$12)</f>
        <v>0.4448742746615087</v>
      </c>
      <c r="G3" s="4"/>
      <c r="H3" s="9"/>
      <c r="J3" s="4"/>
    </row>
    <row r="4" spans="1:10">
      <c r="A4" s="106"/>
      <c r="B4" s="5" t="s">
        <v>40</v>
      </c>
      <c r="C4" s="6" t="s">
        <v>796</v>
      </c>
      <c r="D4" s="7" t="s">
        <v>317</v>
      </c>
      <c r="E4" s="3">
        <v>400</v>
      </c>
      <c r="F4" s="8">
        <f t="shared" ref="F4:F12" si="0">E4/SUM($E$3:$E$12)</f>
        <v>0.38684719535783363</v>
      </c>
      <c r="J4" s="4"/>
    </row>
    <row r="5" spans="1:10">
      <c r="A5" s="106"/>
      <c r="B5" s="5" t="s">
        <v>44</v>
      </c>
      <c r="C5" s="6"/>
      <c r="D5" s="7" t="s">
        <v>318</v>
      </c>
      <c r="J5" s="4"/>
    </row>
    <row r="6" spans="1:10">
      <c r="A6" s="106"/>
      <c r="B6" s="5" t="s">
        <v>45</v>
      </c>
      <c r="C6" s="6"/>
      <c r="D6" s="7" t="s">
        <v>319</v>
      </c>
      <c r="J6" s="4"/>
    </row>
    <row r="7" spans="1:10">
      <c r="A7" s="106"/>
      <c r="B7" s="5" t="s">
        <v>37</v>
      </c>
      <c r="C7" s="6"/>
      <c r="D7" s="7" t="s">
        <v>320</v>
      </c>
      <c r="J7" s="4"/>
    </row>
    <row r="8" spans="1:10">
      <c r="A8" s="106"/>
      <c r="B8" s="5" t="s">
        <v>43</v>
      </c>
      <c r="C8" s="6"/>
      <c r="D8" s="7" t="s">
        <v>321</v>
      </c>
      <c r="J8" s="4"/>
    </row>
    <row r="9" spans="1:10">
      <c r="A9" s="106"/>
      <c r="B9" s="5" t="s">
        <v>42</v>
      </c>
      <c r="C9" s="6"/>
      <c r="D9" s="7" t="s">
        <v>322</v>
      </c>
      <c r="J9" s="4"/>
    </row>
    <row r="10" spans="1:10">
      <c r="A10" s="106"/>
      <c r="B10" s="5" t="s">
        <v>41</v>
      </c>
      <c r="C10" s="6"/>
      <c r="D10" s="7" t="s">
        <v>323</v>
      </c>
      <c r="J10" s="4"/>
    </row>
    <row r="11" spans="1:10">
      <c r="A11" s="106"/>
      <c r="B11" s="5" t="s">
        <v>39</v>
      </c>
      <c r="C11" s="6"/>
      <c r="D11" s="7" t="s">
        <v>324</v>
      </c>
      <c r="J11" s="4"/>
    </row>
    <row r="12" spans="1:10">
      <c r="A12" s="106"/>
      <c r="B12" s="5" t="s">
        <v>38</v>
      </c>
      <c r="C12" s="6" t="s">
        <v>795</v>
      </c>
      <c r="D12" s="7" t="s">
        <v>325</v>
      </c>
      <c r="E12" s="3">
        <v>174</v>
      </c>
      <c r="F12" s="8">
        <f t="shared" si="0"/>
        <v>0.16827852998065765</v>
      </c>
      <c r="J12" s="4"/>
    </row>
    <row r="13" spans="1:10">
      <c r="A13" s="106" t="s">
        <v>4</v>
      </c>
      <c r="B13" s="5" t="s">
        <v>47</v>
      </c>
      <c r="C13" s="6"/>
      <c r="D13" s="7" t="s">
        <v>326</v>
      </c>
      <c r="F13" s="8">
        <f>1/6</f>
        <v>0.16666666666666666</v>
      </c>
      <c r="G13" s="73" t="s">
        <v>925</v>
      </c>
      <c r="J13" s="4"/>
    </row>
    <row r="14" spans="1:10">
      <c r="A14" s="106"/>
      <c r="B14" s="5" t="s">
        <v>49</v>
      </c>
      <c r="C14" s="6"/>
      <c r="D14" s="7" t="s">
        <v>327</v>
      </c>
      <c r="F14" s="8">
        <f t="shared" ref="F14:F18" si="1">1/6</f>
        <v>0.16666666666666666</v>
      </c>
      <c r="G14" s="73" t="s">
        <v>925</v>
      </c>
      <c r="J14" s="4"/>
    </row>
    <row r="15" spans="1:10">
      <c r="A15" s="106"/>
      <c r="B15" s="5" t="s">
        <v>50</v>
      </c>
      <c r="C15" s="6"/>
      <c r="D15" s="7" t="s">
        <v>328</v>
      </c>
      <c r="F15" s="8">
        <f t="shared" si="1"/>
        <v>0.16666666666666666</v>
      </c>
      <c r="G15" s="73" t="s">
        <v>925</v>
      </c>
      <c r="J15" s="4"/>
    </row>
    <row r="16" spans="1:10">
      <c r="A16" s="106"/>
      <c r="B16" s="5" t="s">
        <v>51</v>
      </c>
      <c r="C16" s="6"/>
      <c r="D16" s="7" t="s">
        <v>329</v>
      </c>
      <c r="F16" s="8">
        <f t="shared" si="1"/>
        <v>0.16666666666666666</v>
      </c>
      <c r="G16" s="73" t="s">
        <v>925</v>
      </c>
      <c r="J16" s="4"/>
    </row>
    <row r="17" spans="1:10">
      <c r="A17" s="106"/>
      <c r="B17" s="5" t="s">
        <v>52</v>
      </c>
      <c r="C17" s="6"/>
      <c r="D17" s="7" t="s">
        <v>330</v>
      </c>
      <c r="F17" s="8">
        <f t="shared" si="1"/>
        <v>0.16666666666666666</v>
      </c>
      <c r="G17" s="73" t="s">
        <v>925</v>
      </c>
      <c r="J17" s="4"/>
    </row>
    <row r="18" spans="1:10">
      <c r="A18" s="106"/>
      <c r="B18" s="5" t="s">
        <v>48</v>
      </c>
      <c r="C18" s="6"/>
      <c r="D18" s="7" t="s">
        <v>331</v>
      </c>
      <c r="F18" s="8">
        <f t="shared" si="1"/>
        <v>0.16666666666666666</v>
      </c>
      <c r="G18" s="73" t="s">
        <v>925</v>
      </c>
      <c r="J18" s="4"/>
    </row>
    <row r="19" spans="1:10">
      <c r="A19" s="106" t="s">
        <v>5</v>
      </c>
      <c r="B19" s="5" t="s">
        <v>54</v>
      </c>
      <c r="C19" s="6"/>
      <c r="D19" s="7" t="s">
        <v>332</v>
      </c>
      <c r="J19" s="4"/>
    </row>
    <row r="20" spans="1:10">
      <c r="A20" s="106"/>
      <c r="B20" s="5" t="s">
        <v>53</v>
      </c>
      <c r="C20" s="6" t="s">
        <v>793</v>
      </c>
      <c r="D20" s="7" t="s">
        <v>333</v>
      </c>
      <c r="E20" s="3">
        <v>135</v>
      </c>
      <c r="F20" s="8">
        <f>E20/(E20+E22)</f>
        <v>0.68877551020408168</v>
      </c>
      <c r="J20" s="4"/>
    </row>
    <row r="21" spans="1:10">
      <c r="A21" s="106"/>
      <c r="B21" s="5" t="s">
        <v>60</v>
      </c>
      <c r="C21" s="6"/>
      <c r="D21" s="7" t="s">
        <v>334</v>
      </c>
      <c r="J21" s="4"/>
    </row>
    <row r="22" spans="1:10">
      <c r="A22" s="106"/>
      <c r="B22" s="5" t="s">
        <v>58</v>
      </c>
      <c r="C22" s="3" t="s">
        <v>794</v>
      </c>
      <c r="D22" s="7" t="s">
        <v>335</v>
      </c>
      <c r="E22" s="3">
        <v>61</v>
      </c>
      <c r="F22" s="8">
        <f>E22/(E22+E20)</f>
        <v>0.31122448979591838</v>
      </c>
      <c r="J22" s="4"/>
    </row>
    <row r="23" spans="1:10">
      <c r="A23" s="106"/>
      <c r="B23" s="5" t="s">
        <v>57</v>
      </c>
      <c r="C23" s="6"/>
      <c r="D23" s="7" t="s">
        <v>336</v>
      </c>
      <c r="J23" s="4"/>
    </row>
    <row r="24" spans="1:10">
      <c r="A24" s="106"/>
      <c r="B24" s="5" t="s">
        <v>59</v>
      </c>
      <c r="C24" s="6"/>
      <c r="D24" s="7" t="s">
        <v>337</v>
      </c>
      <c r="J24" s="4"/>
    </row>
    <row r="25" spans="1:10">
      <c r="A25" s="106"/>
      <c r="B25" s="5" t="s">
        <v>55</v>
      </c>
      <c r="C25" s="6"/>
      <c r="D25" s="7" t="s">
        <v>338</v>
      </c>
      <c r="J25" s="4"/>
    </row>
    <row r="26" spans="1:10">
      <c r="A26" s="106"/>
      <c r="B26" s="5" t="s">
        <v>56</v>
      </c>
      <c r="C26" s="6"/>
      <c r="D26" s="7" t="s">
        <v>339</v>
      </c>
      <c r="J26" s="4"/>
    </row>
    <row r="27" spans="1:10">
      <c r="A27" s="106" t="s">
        <v>6</v>
      </c>
      <c r="B27" s="5" t="s">
        <v>64</v>
      </c>
      <c r="C27" s="6"/>
      <c r="D27" s="7" t="s">
        <v>340</v>
      </c>
      <c r="F27" s="8">
        <f>1/5</f>
        <v>0.2</v>
      </c>
      <c r="G27" s="73" t="s">
        <v>925</v>
      </c>
      <c r="J27" s="4"/>
    </row>
    <row r="28" spans="1:10">
      <c r="A28" s="106"/>
      <c r="B28" s="5" t="s">
        <v>61</v>
      </c>
      <c r="C28" s="6"/>
      <c r="D28" s="7" t="s">
        <v>341</v>
      </c>
      <c r="F28" s="8">
        <f t="shared" ref="F28:F31" si="2">1/5</f>
        <v>0.2</v>
      </c>
      <c r="G28" s="73" t="s">
        <v>925</v>
      </c>
      <c r="J28" s="4"/>
    </row>
    <row r="29" spans="1:10">
      <c r="A29" s="106"/>
      <c r="B29" s="5" t="s">
        <v>63</v>
      </c>
      <c r="C29" s="6"/>
      <c r="D29" s="7" t="s">
        <v>342</v>
      </c>
      <c r="F29" s="8">
        <f t="shared" si="2"/>
        <v>0.2</v>
      </c>
      <c r="G29" s="73" t="s">
        <v>925</v>
      </c>
      <c r="J29" s="4"/>
    </row>
    <row r="30" spans="1:10">
      <c r="A30" s="106"/>
      <c r="B30" s="5" t="s">
        <v>65</v>
      </c>
      <c r="C30" s="6"/>
      <c r="D30" s="7" t="s">
        <v>343</v>
      </c>
      <c r="F30" s="8">
        <f t="shared" si="2"/>
        <v>0.2</v>
      </c>
      <c r="G30" s="73" t="s">
        <v>925</v>
      </c>
      <c r="J30" s="4"/>
    </row>
    <row r="31" spans="1:10">
      <c r="A31" s="106"/>
      <c r="B31" s="5" t="s">
        <v>62</v>
      </c>
      <c r="C31" s="6"/>
      <c r="D31" s="7" t="s">
        <v>344</v>
      </c>
      <c r="F31" s="8">
        <f t="shared" si="2"/>
        <v>0.2</v>
      </c>
      <c r="G31" s="73" t="s">
        <v>925</v>
      </c>
      <c r="J31" s="4"/>
    </row>
    <row r="32" spans="1:10">
      <c r="A32" s="106" t="s">
        <v>7</v>
      </c>
      <c r="B32" s="5" t="s">
        <v>101</v>
      </c>
      <c r="C32" s="6"/>
      <c r="D32" s="7" t="s">
        <v>345</v>
      </c>
      <c r="J32" s="4"/>
    </row>
    <row r="33" spans="1:10">
      <c r="A33" s="106"/>
      <c r="B33" s="5" t="s">
        <v>102</v>
      </c>
      <c r="C33" s="6"/>
      <c r="D33" s="7" t="s">
        <v>346</v>
      </c>
      <c r="J33" s="4"/>
    </row>
    <row r="34" spans="1:10">
      <c r="A34" s="106"/>
      <c r="B34" s="5" t="s">
        <v>103</v>
      </c>
      <c r="C34" s="6"/>
      <c r="D34" s="7" t="s">
        <v>347</v>
      </c>
      <c r="J34" s="4"/>
    </row>
    <row r="35" spans="1:10">
      <c r="A35" s="106"/>
      <c r="B35" s="5" t="s">
        <v>100</v>
      </c>
      <c r="C35" s="6"/>
      <c r="D35" s="7" t="s">
        <v>348</v>
      </c>
      <c r="J35" s="4"/>
    </row>
    <row r="36" spans="1:10" ht="30">
      <c r="A36" s="106"/>
      <c r="B36" s="5" t="s">
        <v>97</v>
      </c>
      <c r="C36" s="25" t="s">
        <v>774</v>
      </c>
      <c r="D36" s="7" t="s">
        <v>349</v>
      </c>
      <c r="E36" s="3">
        <f>50+180</f>
        <v>230</v>
      </c>
      <c r="F36" s="8">
        <f>E36/SUM($E$36:$E$68)</f>
        <v>4.4341623288991709E-2</v>
      </c>
      <c r="J36" s="4"/>
    </row>
    <row r="37" spans="1:10">
      <c r="A37" s="106"/>
      <c r="B37" s="5" t="s">
        <v>98</v>
      </c>
      <c r="C37" s="6"/>
      <c r="D37" s="7" t="s">
        <v>350</v>
      </c>
      <c r="J37" s="4"/>
    </row>
    <row r="38" spans="1:10">
      <c r="A38" s="106"/>
      <c r="B38" s="5" t="s">
        <v>95</v>
      </c>
      <c r="C38" s="6"/>
      <c r="D38" s="7" t="s">
        <v>351</v>
      </c>
      <c r="J38" s="4"/>
    </row>
    <row r="39" spans="1:10">
      <c r="A39" s="106"/>
      <c r="B39" s="5" t="s">
        <v>96</v>
      </c>
      <c r="C39" s="6"/>
      <c r="D39" s="7" t="s">
        <v>352</v>
      </c>
      <c r="J39" s="4"/>
    </row>
    <row r="40" spans="1:10">
      <c r="A40" s="106"/>
      <c r="B40" s="5" t="s">
        <v>99</v>
      </c>
      <c r="C40" s="6"/>
      <c r="D40" s="7" t="s">
        <v>353</v>
      </c>
      <c r="J40" s="4"/>
    </row>
    <row r="41" spans="1:10">
      <c r="A41" s="106"/>
      <c r="B41" s="5" t="s">
        <v>93</v>
      </c>
      <c r="C41" s="6"/>
      <c r="D41" s="7" t="s">
        <v>354</v>
      </c>
      <c r="J41" s="4"/>
    </row>
    <row r="42" spans="1:10">
      <c r="A42" s="106"/>
      <c r="B42" s="5" t="s">
        <v>94</v>
      </c>
      <c r="C42" s="6" t="s">
        <v>779</v>
      </c>
      <c r="D42" s="7" t="s">
        <v>355</v>
      </c>
      <c r="E42" s="3">
        <v>45</v>
      </c>
      <c r="F42" s="8">
        <f t="shared" ref="F42:F68" si="3">E42/SUM($E$36:$E$68)</f>
        <v>8.6755349913244656E-3</v>
      </c>
      <c r="J42" s="4"/>
    </row>
    <row r="43" spans="1:10">
      <c r="A43" s="106"/>
      <c r="B43" s="5" t="s">
        <v>92</v>
      </c>
      <c r="C43" s="6"/>
      <c r="D43" s="7" t="s">
        <v>356</v>
      </c>
      <c r="J43" s="4"/>
    </row>
    <row r="44" spans="1:10">
      <c r="A44" s="106"/>
      <c r="B44" s="5" t="s">
        <v>91</v>
      </c>
      <c r="C44" s="6"/>
      <c r="D44" s="7" t="s">
        <v>357</v>
      </c>
      <c r="J44" s="4"/>
    </row>
    <row r="45" spans="1:10">
      <c r="A45" s="106"/>
      <c r="B45" s="5" t="s">
        <v>90</v>
      </c>
      <c r="C45" s="6"/>
      <c r="D45" s="7" t="s">
        <v>358</v>
      </c>
      <c r="J45" s="4"/>
    </row>
    <row r="46" spans="1:10">
      <c r="A46" s="106"/>
      <c r="B46" s="5" t="s">
        <v>89</v>
      </c>
      <c r="C46" s="6"/>
      <c r="D46" s="7" t="s">
        <v>359</v>
      </c>
      <c r="J46" s="4"/>
    </row>
    <row r="47" spans="1:10">
      <c r="A47" s="106"/>
      <c r="B47" s="5" t="s">
        <v>88</v>
      </c>
      <c r="C47" s="6" t="s">
        <v>775</v>
      </c>
      <c r="D47" s="7" t="s">
        <v>360</v>
      </c>
      <c r="E47" s="3">
        <v>167</v>
      </c>
      <c r="F47" s="8">
        <f t="shared" si="3"/>
        <v>3.2195874301137462E-2</v>
      </c>
      <c r="J47" s="4"/>
    </row>
    <row r="48" spans="1:10">
      <c r="A48" s="106"/>
      <c r="B48" s="5" t="s">
        <v>87</v>
      </c>
      <c r="C48" s="6"/>
      <c r="D48" s="7" t="s">
        <v>361</v>
      </c>
      <c r="J48" s="4"/>
    </row>
    <row r="49" spans="1:10">
      <c r="A49" s="106"/>
      <c r="B49" s="5" t="s">
        <v>86</v>
      </c>
      <c r="C49" s="6"/>
      <c r="D49" s="7" t="s">
        <v>362</v>
      </c>
      <c r="J49" s="4"/>
    </row>
    <row r="50" spans="1:10">
      <c r="A50" s="106"/>
      <c r="B50" s="5" t="s">
        <v>85</v>
      </c>
      <c r="C50" s="6"/>
      <c r="D50" s="7" t="s">
        <v>363</v>
      </c>
      <c r="J50" s="4"/>
    </row>
    <row r="51" spans="1:10">
      <c r="A51" s="106"/>
      <c r="B51" s="5" t="s">
        <v>84</v>
      </c>
      <c r="C51" s="6"/>
      <c r="D51" s="7" t="s">
        <v>364</v>
      </c>
      <c r="J51" s="4"/>
    </row>
    <row r="52" spans="1:10">
      <c r="A52" s="106"/>
      <c r="B52" s="5" t="s">
        <v>83</v>
      </c>
      <c r="C52" s="6"/>
      <c r="D52" s="7" t="s">
        <v>365</v>
      </c>
      <c r="J52" s="4"/>
    </row>
    <row r="53" spans="1:10">
      <c r="A53" s="106"/>
      <c r="B53" s="5" t="s">
        <v>82</v>
      </c>
      <c r="C53" s="6" t="s">
        <v>778</v>
      </c>
      <c r="D53" s="7" t="s">
        <v>366</v>
      </c>
      <c r="E53" s="3">
        <v>1585</v>
      </c>
      <c r="F53" s="8">
        <f t="shared" si="3"/>
        <v>0.30557162136109506</v>
      </c>
      <c r="J53" s="4"/>
    </row>
    <row r="54" spans="1:10">
      <c r="A54" s="106"/>
      <c r="B54" s="5" t="s">
        <v>81</v>
      </c>
      <c r="C54" s="6" t="s">
        <v>776</v>
      </c>
      <c r="D54" s="7" t="s">
        <v>367</v>
      </c>
      <c r="E54" s="3">
        <v>149</v>
      </c>
      <c r="F54" s="8">
        <f t="shared" si="3"/>
        <v>2.8725660304607673E-2</v>
      </c>
      <c r="J54" s="4"/>
    </row>
    <row r="55" spans="1:10" ht="45">
      <c r="A55" s="106"/>
      <c r="B55" s="5" t="s">
        <v>78</v>
      </c>
      <c r="C55" s="25" t="s">
        <v>782</v>
      </c>
      <c r="D55" s="7" t="s">
        <v>368</v>
      </c>
      <c r="E55" s="3">
        <f>480+220+250</f>
        <v>950</v>
      </c>
      <c r="F55" s="8">
        <f t="shared" si="3"/>
        <v>0.18315018315018314</v>
      </c>
      <c r="J55" s="4"/>
    </row>
    <row r="56" spans="1:10" ht="45">
      <c r="A56" s="106"/>
      <c r="B56" s="5" t="s">
        <v>77</v>
      </c>
      <c r="C56" s="25" t="s">
        <v>783</v>
      </c>
      <c r="D56" s="7" t="s">
        <v>369</v>
      </c>
      <c r="E56" s="3">
        <f>137+250+330</f>
        <v>717</v>
      </c>
      <c r="F56" s="8">
        <f t="shared" si="3"/>
        <v>0.1382301908617698</v>
      </c>
      <c r="J56" s="4"/>
    </row>
    <row r="57" spans="1:10" ht="30">
      <c r="A57" s="106"/>
      <c r="B57" s="5" t="s">
        <v>76</v>
      </c>
      <c r="C57" s="6" t="s">
        <v>777</v>
      </c>
      <c r="D57" s="7" t="s">
        <v>370</v>
      </c>
      <c r="E57" s="3">
        <f>260+125</f>
        <v>385</v>
      </c>
      <c r="F57" s="8">
        <f t="shared" si="3"/>
        <v>7.4224021592442652E-2</v>
      </c>
      <c r="J57" s="4"/>
    </row>
    <row r="58" spans="1:10">
      <c r="A58" s="106"/>
      <c r="B58" s="5" t="s">
        <v>79</v>
      </c>
      <c r="C58" s="6"/>
      <c r="D58" s="7" t="s">
        <v>371</v>
      </c>
      <c r="J58" s="4"/>
    </row>
    <row r="59" spans="1:10">
      <c r="A59" s="106"/>
      <c r="B59" s="5" t="s">
        <v>80</v>
      </c>
      <c r="C59" s="6"/>
      <c r="D59" s="7" t="s">
        <v>372</v>
      </c>
      <c r="J59" s="4"/>
    </row>
    <row r="60" spans="1:10">
      <c r="A60" s="106"/>
      <c r="B60" s="5" t="s">
        <v>75</v>
      </c>
      <c r="C60" s="6"/>
      <c r="D60" s="7" t="s">
        <v>373</v>
      </c>
      <c r="J60" s="4"/>
    </row>
    <row r="61" spans="1:10">
      <c r="A61" s="106"/>
      <c r="B61" s="5" t="s">
        <v>73</v>
      </c>
      <c r="C61" s="6"/>
      <c r="D61" s="7" t="s">
        <v>374</v>
      </c>
      <c r="J61" s="4"/>
    </row>
    <row r="62" spans="1:10">
      <c r="A62" s="106"/>
      <c r="B62" s="5" t="s">
        <v>74</v>
      </c>
      <c r="C62" s="3" t="s">
        <v>685</v>
      </c>
      <c r="D62" s="7" t="s">
        <v>375</v>
      </c>
      <c r="E62" s="3">
        <v>385</v>
      </c>
      <c r="F62" s="8">
        <f t="shared" si="3"/>
        <v>7.4224021592442652E-2</v>
      </c>
      <c r="J62" s="4"/>
    </row>
    <row r="63" spans="1:10">
      <c r="A63" s="106"/>
      <c r="B63" s="5" t="s">
        <v>72</v>
      </c>
      <c r="C63" s="6"/>
      <c r="D63" s="7" t="s">
        <v>376</v>
      </c>
      <c r="J63" s="4"/>
    </row>
    <row r="64" spans="1:10">
      <c r="A64" s="106"/>
      <c r="B64" s="5" t="s">
        <v>69</v>
      </c>
      <c r="C64" s="6"/>
      <c r="D64" s="7" t="s">
        <v>377</v>
      </c>
      <c r="J64" s="4"/>
    </row>
    <row r="65" spans="1:10">
      <c r="A65" s="106"/>
      <c r="B65" s="5" t="s">
        <v>70</v>
      </c>
      <c r="C65" s="6"/>
      <c r="D65" s="7" t="s">
        <v>378</v>
      </c>
      <c r="J65" s="4"/>
    </row>
    <row r="66" spans="1:10">
      <c r="A66" s="106"/>
      <c r="B66" s="5" t="s">
        <v>68</v>
      </c>
      <c r="D66" s="7" t="s">
        <v>379</v>
      </c>
      <c r="J66" s="4"/>
    </row>
    <row r="67" spans="1:10" ht="45">
      <c r="A67" s="106"/>
      <c r="B67" s="5" t="s">
        <v>71</v>
      </c>
      <c r="C67" s="6" t="s">
        <v>780</v>
      </c>
      <c r="D67" s="7" t="s">
        <v>380</v>
      </c>
      <c r="E67" s="3">
        <f>15+99+250</f>
        <v>364</v>
      </c>
      <c r="F67" s="8">
        <f t="shared" si="3"/>
        <v>7.0175438596491224E-2</v>
      </c>
      <c r="J67" s="4"/>
    </row>
    <row r="68" spans="1:10">
      <c r="A68" s="106"/>
      <c r="B68" s="5" t="s">
        <v>67</v>
      </c>
      <c r="C68" s="3" t="s">
        <v>781</v>
      </c>
      <c r="D68" s="7" t="s">
        <v>381</v>
      </c>
      <c r="E68" s="3">
        <v>210</v>
      </c>
      <c r="F68" s="8">
        <f t="shared" si="3"/>
        <v>4.048582995951417E-2</v>
      </c>
      <c r="J68" s="4"/>
    </row>
    <row r="69" spans="1:10">
      <c r="A69" s="106"/>
      <c r="B69" s="5" t="s">
        <v>66</v>
      </c>
      <c r="C69" s="6"/>
      <c r="D69" s="7" t="s">
        <v>382</v>
      </c>
      <c r="J69" s="4"/>
    </row>
    <row r="70" spans="1:10">
      <c r="A70" s="24" t="s">
        <v>622</v>
      </c>
      <c r="B70" s="5" t="s">
        <v>383</v>
      </c>
      <c r="C70" s="6"/>
      <c r="D70" s="7" t="s">
        <v>384</v>
      </c>
      <c r="J70" s="4"/>
    </row>
    <row r="71" spans="1:10">
      <c r="A71" s="106" t="s">
        <v>8</v>
      </c>
      <c r="B71" s="5" t="s">
        <v>106</v>
      </c>
      <c r="C71" s="6"/>
      <c r="D71" s="7" t="s">
        <v>385</v>
      </c>
      <c r="J71" s="4"/>
    </row>
    <row r="72" spans="1:10">
      <c r="A72" s="106"/>
      <c r="B72" s="5" t="s">
        <v>105</v>
      </c>
      <c r="C72" s="6" t="s">
        <v>769</v>
      </c>
      <c r="D72" s="7" t="s">
        <v>386</v>
      </c>
      <c r="E72" s="3">
        <v>9</v>
      </c>
      <c r="F72" s="8">
        <v>1</v>
      </c>
      <c r="J72" s="4"/>
    </row>
    <row r="73" spans="1:10">
      <c r="A73" s="106"/>
      <c r="B73" s="5" t="s">
        <v>104</v>
      </c>
      <c r="C73" s="6"/>
      <c r="D73" s="7" t="s">
        <v>387</v>
      </c>
      <c r="J73" s="4"/>
    </row>
    <row r="74" spans="1:10">
      <c r="A74" s="106" t="s">
        <v>9</v>
      </c>
      <c r="B74" s="5" t="s">
        <v>114</v>
      </c>
      <c r="C74" s="6" t="s">
        <v>773</v>
      </c>
      <c r="D74" s="7" t="s">
        <v>388</v>
      </c>
      <c r="E74" s="3">
        <v>20</v>
      </c>
      <c r="F74" s="8">
        <f>E74/SUM($E$74:$E$85)</f>
        <v>0.3125</v>
      </c>
      <c r="J74" s="4"/>
    </row>
    <row r="75" spans="1:10">
      <c r="A75" s="106"/>
      <c r="B75" s="5" t="s">
        <v>389</v>
      </c>
      <c r="C75" s="6"/>
      <c r="D75" s="7" t="s">
        <v>390</v>
      </c>
      <c r="J75" s="4"/>
    </row>
    <row r="76" spans="1:10">
      <c r="A76" s="106"/>
      <c r="B76" s="5" t="s">
        <v>391</v>
      </c>
      <c r="C76" s="6"/>
      <c r="D76" s="7" t="s">
        <v>392</v>
      </c>
    </row>
    <row r="77" spans="1:10">
      <c r="A77" s="106"/>
      <c r="B77" s="5" t="s">
        <v>393</v>
      </c>
      <c r="C77" s="6"/>
      <c r="D77" s="7" t="s">
        <v>394</v>
      </c>
    </row>
    <row r="78" spans="1:10">
      <c r="A78" s="106"/>
      <c r="B78" s="5" t="s">
        <v>115</v>
      </c>
      <c r="C78" s="6"/>
      <c r="D78" s="7" t="s">
        <v>395</v>
      </c>
    </row>
    <row r="79" spans="1:10">
      <c r="A79" s="106"/>
      <c r="B79" s="5" t="s">
        <v>110</v>
      </c>
      <c r="C79" s="6" t="s">
        <v>771</v>
      </c>
      <c r="D79" s="7" t="s">
        <v>396</v>
      </c>
      <c r="E79" s="3">
        <v>40</v>
      </c>
      <c r="F79" s="8">
        <f t="shared" ref="F79:F85" si="4">E79/SUM($E$74:$E$85)</f>
        <v>0.625</v>
      </c>
    </row>
    <row r="80" spans="1:10">
      <c r="A80" s="106"/>
      <c r="B80" s="5" t="s">
        <v>112</v>
      </c>
      <c r="C80" s="6"/>
      <c r="D80" s="7" t="s">
        <v>397</v>
      </c>
    </row>
    <row r="81" spans="1:6">
      <c r="A81" s="106"/>
      <c r="B81" s="5" t="s">
        <v>111</v>
      </c>
      <c r="C81" s="6"/>
      <c r="D81" s="7" t="s">
        <v>398</v>
      </c>
    </row>
    <row r="82" spans="1:6">
      <c r="A82" s="106"/>
      <c r="B82" s="5" t="s">
        <v>107</v>
      </c>
      <c r="C82" s="6"/>
      <c r="D82" s="7" t="s">
        <v>399</v>
      </c>
    </row>
    <row r="83" spans="1:6">
      <c r="A83" s="106"/>
      <c r="B83" s="5" t="s">
        <v>400</v>
      </c>
      <c r="C83" s="6"/>
      <c r="D83" s="7" t="s">
        <v>401</v>
      </c>
    </row>
    <row r="84" spans="1:6">
      <c r="A84" s="106"/>
      <c r="B84" s="5" t="s">
        <v>113</v>
      </c>
      <c r="C84" s="6"/>
      <c r="D84" s="7" t="s">
        <v>402</v>
      </c>
    </row>
    <row r="85" spans="1:6">
      <c r="A85" s="106"/>
      <c r="B85" s="5" t="s">
        <v>108</v>
      </c>
      <c r="C85" s="6" t="s">
        <v>772</v>
      </c>
      <c r="D85" s="7" t="s">
        <v>403</v>
      </c>
      <c r="E85" s="3">
        <v>4</v>
      </c>
      <c r="F85" s="8">
        <f t="shared" si="4"/>
        <v>6.25E-2</v>
      </c>
    </row>
    <row r="86" spans="1:6">
      <c r="A86" s="106"/>
      <c r="B86" s="5" t="s">
        <v>109</v>
      </c>
      <c r="C86" s="6"/>
      <c r="D86" s="7" t="s">
        <v>404</v>
      </c>
    </row>
    <row r="87" spans="1:6">
      <c r="A87" s="106" t="s">
        <v>10</v>
      </c>
      <c r="B87" s="5" t="s">
        <v>120</v>
      </c>
      <c r="C87" s="6" t="s">
        <v>745</v>
      </c>
      <c r="D87" s="7" t="s">
        <v>405</v>
      </c>
      <c r="E87" s="3">
        <v>34</v>
      </c>
      <c r="F87" s="8">
        <f>E87/SUM($E$87:$E$101)</f>
        <v>4.5698924731182797E-2</v>
      </c>
    </row>
    <row r="88" spans="1:6">
      <c r="A88" s="106"/>
      <c r="B88" s="5" t="s">
        <v>117</v>
      </c>
      <c r="C88" s="6"/>
      <c r="D88" s="7" t="s">
        <v>406</v>
      </c>
    </row>
    <row r="89" spans="1:6">
      <c r="A89" s="106"/>
      <c r="B89" s="5" t="s">
        <v>128</v>
      </c>
      <c r="C89" s="6" t="s">
        <v>747</v>
      </c>
      <c r="D89" s="7" t="s">
        <v>407</v>
      </c>
      <c r="E89" s="3">
        <v>63</v>
      </c>
      <c r="F89" s="8">
        <f t="shared" ref="F89:F101" si="5">E89/SUM($E$87:$E$101)</f>
        <v>8.4677419354838704E-2</v>
      </c>
    </row>
    <row r="90" spans="1:6">
      <c r="A90" s="106"/>
      <c r="B90" s="5" t="s">
        <v>118</v>
      </c>
      <c r="C90" s="6" t="s">
        <v>746</v>
      </c>
      <c r="D90" s="7" t="s">
        <v>408</v>
      </c>
      <c r="E90" s="3">
        <v>15</v>
      </c>
      <c r="F90" s="8">
        <f t="shared" si="5"/>
        <v>2.0161290322580645E-2</v>
      </c>
    </row>
    <row r="91" spans="1:6">
      <c r="A91" s="106"/>
      <c r="B91" s="5" t="s">
        <v>123</v>
      </c>
      <c r="C91" s="6"/>
      <c r="D91" s="7" t="s">
        <v>409</v>
      </c>
    </row>
    <row r="92" spans="1:6">
      <c r="A92" s="106"/>
      <c r="B92" s="5" t="s">
        <v>119</v>
      </c>
      <c r="C92" s="6"/>
      <c r="D92" s="7" t="s">
        <v>410</v>
      </c>
    </row>
    <row r="93" spans="1:6">
      <c r="A93" s="106"/>
      <c r="B93" s="5" t="s">
        <v>129</v>
      </c>
      <c r="C93" s="6" t="s">
        <v>744</v>
      </c>
      <c r="D93" s="7" t="s">
        <v>411</v>
      </c>
      <c r="E93" s="3">
        <v>30</v>
      </c>
      <c r="F93" s="8">
        <f t="shared" si="5"/>
        <v>4.0322580645161289E-2</v>
      </c>
    </row>
    <row r="94" spans="1:6">
      <c r="A94" s="106"/>
      <c r="B94" s="5" t="s">
        <v>124</v>
      </c>
      <c r="C94" s="6"/>
      <c r="D94" s="7" t="s">
        <v>412</v>
      </c>
    </row>
    <row r="95" spans="1:6">
      <c r="A95" s="106"/>
      <c r="B95" s="5" t="s">
        <v>126</v>
      </c>
      <c r="C95" s="6"/>
      <c r="D95" s="7" t="s">
        <v>413</v>
      </c>
    </row>
    <row r="96" spans="1:6">
      <c r="A96" s="106"/>
      <c r="B96" s="5" t="s">
        <v>127</v>
      </c>
      <c r="C96" s="6"/>
      <c r="D96" s="7" t="s">
        <v>414</v>
      </c>
    </row>
    <row r="97" spans="1:6">
      <c r="A97" s="106"/>
      <c r="B97" s="5" t="s">
        <v>121</v>
      </c>
      <c r="C97" s="6"/>
      <c r="D97" s="7" t="s">
        <v>415</v>
      </c>
    </row>
    <row r="98" spans="1:6" ht="60">
      <c r="A98" s="106"/>
      <c r="B98" s="5" t="s">
        <v>125</v>
      </c>
      <c r="C98" s="6" t="s">
        <v>748</v>
      </c>
      <c r="D98" s="7" t="s">
        <v>416</v>
      </c>
      <c r="E98" s="3">
        <f>218+190+31+115</f>
        <v>554</v>
      </c>
      <c r="F98" s="8">
        <f t="shared" si="5"/>
        <v>0.7446236559139785</v>
      </c>
    </row>
    <row r="99" spans="1:6">
      <c r="A99" s="106"/>
      <c r="B99" s="5" t="s">
        <v>122</v>
      </c>
      <c r="C99" s="6"/>
      <c r="D99" s="7" t="s">
        <v>417</v>
      </c>
    </row>
    <row r="100" spans="1:6">
      <c r="A100" s="106"/>
      <c r="B100" s="5" t="s">
        <v>418</v>
      </c>
      <c r="C100" s="6"/>
      <c r="D100" s="7" t="s">
        <v>419</v>
      </c>
    </row>
    <row r="101" spans="1:6">
      <c r="A101" s="106"/>
      <c r="B101" s="5" t="s">
        <v>130</v>
      </c>
      <c r="C101" s="6" t="s">
        <v>697</v>
      </c>
      <c r="D101" s="7" t="s">
        <v>420</v>
      </c>
      <c r="E101" s="3">
        <v>48</v>
      </c>
      <c r="F101" s="8">
        <f t="shared" si="5"/>
        <v>6.4516129032258063E-2</v>
      </c>
    </row>
    <row r="102" spans="1:6">
      <c r="A102" s="106"/>
      <c r="B102" s="5" t="s">
        <v>116</v>
      </c>
      <c r="C102" s="6"/>
      <c r="D102" s="7" t="s">
        <v>421</v>
      </c>
    </row>
    <row r="103" spans="1:6">
      <c r="A103" s="106"/>
      <c r="B103" s="5" t="s">
        <v>422</v>
      </c>
      <c r="C103" s="6"/>
      <c r="D103" s="7" t="s">
        <v>423</v>
      </c>
    </row>
    <row r="104" spans="1:6">
      <c r="A104" s="106"/>
      <c r="B104" s="5" t="s">
        <v>424</v>
      </c>
      <c r="C104" s="6"/>
      <c r="D104" s="7" t="s">
        <v>425</v>
      </c>
    </row>
    <row r="105" spans="1:6">
      <c r="A105" s="106"/>
      <c r="B105" s="5" t="s">
        <v>426</v>
      </c>
      <c r="C105" s="6"/>
      <c r="D105" s="7" t="s">
        <v>427</v>
      </c>
    </row>
    <row r="106" spans="1:6">
      <c r="A106" s="106" t="s">
        <v>11</v>
      </c>
      <c r="B106" s="5" t="s">
        <v>132</v>
      </c>
      <c r="C106" s="6"/>
      <c r="D106" s="7" t="s">
        <v>428</v>
      </c>
    </row>
    <row r="107" spans="1:6">
      <c r="A107" s="106"/>
      <c r="B107" s="5" t="s">
        <v>143</v>
      </c>
      <c r="C107" s="6"/>
      <c r="D107" s="7" t="s">
        <v>429</v>
      </c>
    </row>
    <row r="108" spans="1:6">
      <c r="A108" s="106"/>
      <c r="B108" s="5" t="s">
        <v>141</v>
      </c>
      <c r="C108" s="6"/>
      <c r="D108" s="7" t="s">
        <v>430</v>
      </c>
    </row>
    <row r="109" spans="1:6">
      <c r="A109" s="106"/>
      <c r="B109" s="5" t="s">
        <v>138</v>
      </c>
      <c r="C109" s="6" t="s">
        <v>789</v>
      </c>
      <c r="D109" s="7" t="s">
        <v>431</v>
      </c>
      <c r="E109" s="3">
        <v>360</v>
      </c>
      <c r="F109" s="8">
        <f>E109/SUM($E$109:$E$126)</f>
        <v>0.2536997885835095</v>
      </c>
    </row>
    <row r="110" spans="1:6">
      <c r="A110" s="106"/>
      <c r="B110" s="10" t="s">
        <v>145</v>
      </c>
      <c r="C110" s="7"/>
      <c r="D110" s="11" t="s">
        <v>432</v>
      </c>
    </row>
    <row r="111" spans="1:6">
      <c r="A111" s="106"/>
      <c r="B111" s="10" t="s">
        <v>137</v>
      </c>
      <c r="C111" s="25"/>
      <c r="D111" s="11" t="s">
        <v>433</v>
      </c>
    </row>
    <row r="112" spans="1:6">
      <c r="A112" s="106"/>
      <c r="B112" s="5" t="s">
        <v>134</v>
      </c>
      <c r="C112" s="3" t="s">
        <v>790</v>
      </c>
      <c r="D112" s="7" t="s">
        <v>434</v>
      </c>
      <c r="E112" s="3">
        <v>18</v>
      </c>
      <c r="F112" s="8">
        <f t="shared" ref="F112:F126" si="6">E112/SUM($E$109:$E$126)</f>
        <v>1.2684989429175475E-2</v>
      </c>
    </row>
    <row r="113" spans="1:6">
      <c r="A113" s="106"/>
      <c r="B113" s="5" t="s">
        <v>151</v>
      </c>
      <c r="C113" s="6" t="s">
        <v>788</v>
      </c>
      <c r="D113" s="7" t="s">
        <v>435</v>
      </c>
      <c r="E113" s="3">
        <v>23</v>
      </c>
      <c r="F113" s="8">
        <f t="shared" si="6"/>
        <v>1.620859760394644E-2</v>
      </c>
    </row>
    <row r="114" spans="1:6">
      <c r="A114" s="106"/>
      <c r="B114" s="5" t="s">
        <v>133</v>
      </c>
      <c r="C114" s="6" t="s">
        <v>784</v>
      </c>
      <c r="D114" s="7" t="s">
        <v>436</v>
      </c>
      <c r="E114" s="3">
        <v>72</v>
      </c>
      <c r="F114" s="8">
        <f t="shared" si="6"/>
        <v>5.0739957716701901E-2</v>
      </c>
    </row>
    <row r="115" spans="1:6">
      <c r="A115" s="106"/>
      <c r="B115" s="5" t="s">
        <v>148</v>
      </c>
      <c r="C115" s="6"/>
      <c r="D115" s="7" t="s">
        <v>437</v>
      </c>
    </row>
    <row r="116" spans="1:6">
      <c r="A116" s="106"/>
      <c r="B116" s="5" t="s">
        <v>135</v>
      </c>
      <c r="C116" s="6"/>
      <c r="D116" s="7" t="s">
        <v>438</v>
      </c>
    </row>
    <row r="117" spans="1:6">
      <c r="A117" s="106"/>
      <c r="B117" s="5" t="s">
        <v>136</v>
      </c>
      <c r="C117" s="6"/>
      <c r="D117" s="7" t="s">
        <v>439</v>
      </c>
    </row>
    <row r="118" spans="1:6">
      <c r="A118" s="106"/>
      <c r="B118" s="5" t="s">
        <v>140</v>
      </c>
      <c r="C118" s="6"/>
      <c r="D118" s="7" t="s">
        <v>440</v>
      </c>
    </row>
    <row r="119" spans="1:6">
      <c r="A119" s="106"/>
      <c r="B119" s="5" t="s">
        <v>139</v>
      </c>
      <c r="C119" s="6"/>
      <c r="D119" s="7" t="s">
        <v>441</v>
      </c>
    </row>
    <row r="120" spans="1:6">
      <c r="A120" s="106"/>
      <c r="B120" s="5" t="s">
        <v>142</v>
      </c>
      <c r="C120" s="6"/>
      <c r="D120" s="7" t="s">
        <v>442</v>
      </c>
    </row>
    <row r="121" spans="1:6">
      <c r="A121" s="106"/>
      <c r="B121" s="5" t="s">
        <v>144</v>
      </c>
      <c r="C121" s="6"/>
      <c r="D121" s="7" t="s">
        <v>443</v>
      </c>
    </row>
    <row r="122" spans="1:6">
      <c r="A122" s="106"/>
      <c r="B122" s="5" t="s">
        <v>146</v>
      </c>
      <c r="C122" s="6"/>
      <c r="D122" s="7" t="s">
        <v>444</v>
      </c>
    </row>
    <row r="123" spans="1:6">
      <c r="A123" s="106"/>
      <c r="B123" s="5" t="s">
        <v>147</v>
      </c>
      <c r="C123" s="6" t="s">
        <v>785</v>
      </c>
      <c r="D123" s="7" t="s">
        <v>445</v>
      </c>
      <c r="E123" s="3">
        <v>300</v>
      </c>
      <c r="F123" s="8">
        <f t="shared" si="6"/>
        <v>0.21141649048625794</v>
      </c>
    </row>
    <row r="124" spans="1:6">
      <c r="A124" s="106"/>
      <c r="B124" s="5" t="s">
        <v>150</v>
      </c>
      <c r="C124" s="6"/>
      <c r="D124" s="7" t="s">
        <v>446</v>
      </c>
    </row>
    <row r="125" spans="1:6" ht="45">
      <c r="A125" s="106"/>
      <c r="B125" s="5" t="s">
        <v>152</v>
      </c>
      <c r="C125" s="6" t="s">
        <v>787</v>
      </c>
      <c r="D125" s="7" t="s">
        <v>447</v>
      </c>
      <c r="E125" s="3">
        <f>170+73+42</f>
        <v>285</v>
      </c>
      <c r="F125" s="8">
        <f t="shared" si="6"/>
        <v>0.20084566596194503</v>
      </c>
    </row>
    <row r="126" spans="1:6" ht="30">
      <c r="A126" s="106"/>
      <c r="B126" s="5" t="s">
        <v>149</v>
      </c>
      <c r="C126" s="6" t="s">
        <v>786</v>
      </c>
      <c r="D126" s="7" t="s">
        <v>448</v>
      </c>
      <c r="E126" s="3">
        <f>341+20</f>
        <v>361</v>
      </c>
      <c r="F126" s="8">
        <f t="shared" si="6"/>
        <v>0.25440451021846372</v>
      </c>
    </row>
    <row r="127" spans="1:6">
      <c r="A127" s="106"/>
      <c r="B127" s="5" t="s">
        <v>131</v>
      </c>
      <c r="C127" s="6"/>
      <c r="D127" s="7" t="s">
        <v>449</v>
      </c>
    </row>
    <row r="128" spans="1:6">
      <c r="A128" s="106"/>
      <c r="B128" s="5" t="s">
        <v>450</v>
      </c>
      <c r="C128" s="6"/>
      <c r="D128" s="7" t="s">
        <v>451</v>
      </c>
    </row>
    <row r="129" spans="1:7">
      <c r="A129" s="106"/>
      <c r="B129" s="5" t="s">
        <v>452</v>
      </c>
      <c r="C129" s="6"/>
      <c r="D129" s="7" t="s">
        <v>453</v>
      </c>
    </row>
    <row r="130" spans="1:7">
      <c r="A130" s="106"/>
      <c r="B130" s="5" t="s">
        <v>454</v>
      </c>
      <c r="C130" s="6"/>
      <c r="D130" s="7" t="s">
        <v>455</v>
      </c>
    </row>
    <row r="131" spans="1:7">
      <c r="A131" s="106"/>
      <c r="B131" s="5" t="s">
        <v>456</v>
      </c>
      <c r="C131" s="6"/>
      <c r="D131" s="7" t="s">
        <v>457</v>
      </c>
    </row>
    <row r="132" spans="1:7">
      <c r="A132" s="106"/>
      <c r="B132" s="5" t="s">
        <v>458</v>
      </c>
      <c r="C132" s="6"/>
      <c r="D132" s="7" t="s">
        <v>459</v>
      </c>
    </row>
    <row r="133" spans="1:7">
      <c r="A133" s="106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925</v>
      </c>
    </row>
    <row r="134" spans="1:7">
      <c r="A134" s="106"/>
      <c r="B134" s="5" t="s">
        <v>154</v>
      </c>
      <c r="C134" s="6"/>
      <c r="D134" s="7" t="s">
        <v>462</v>
      </c>
      <c r="F134" s="8">
        <f>0.5</f>
        <v>0.5</v>
      </c>
      <c r="G134" s="73" t="s">
        <v>925</v>
      </c>
    </row>
    <row r="135" spans="1:7">
      <c r="A135" s="106"/>
      <c r="B135" s="5" t="s">
        <v>153</v>
      </c>
      <c r="C135" s="6"/>
      <c r="D135" s="7"/>
      <c r="F135" s="91">
        <v>0.5</v>
      </c>
      <c r="G135" s="73" t="s">
        <v>925</v>
      </c>
    </row>
    <row r="136" spans="1:7">
      <c r="A136" s="106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925</v>
      </c>
    </row>
    <row r="137" spans="1:7">
      <c r="A137" s="106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925</v>
      </c>
    </row>
    <row r="138" spans="1:7">
      <c r="A138" s="106" t="s">
        <v>13</v>
      </c>
      <c r="B138" s="5" t="s">
        <v>163</v>
      </c>
      <c r="C138" s="6" t="s">
        <v>767</v>
      </c>
      <c r="D138" s="7" t="s">
        <v>467</v>
      </c>
      <c r="E138" s="3">
        <v>42</v>
      </c>
      <c r="F138" s="8">
        <f>E138/SUM($E$138:$E$155)</f>
        <v>9.8591549295774641E-2</v>
      </c>
    </row>
    <row r="139" spans="1:7">
      <c r="A139" s="106"/>
      <c r="B139" s="5" t="s">
        <v>156</v>
      </c>
      <c r="C139" s="6"/>
      <c r="D139" s="7" t="s">
        <v>468</v>
      </c>
    </row>
    <row r="140" spans="1:7">
      <c r="A140" s="106"/>
      <c r="B140" s="5" t="s">
        <v>167</v>
      </c>
      <c r="C140" s="6"/>
      <c r="D140" s="7" t="s">
        <v>469</v>
      </c>
    </row>
    <row r="141" spans="1:7">
      <c r="A141" s="106"/>
      <c r="B141" s="5" t="s">
        <v>166</v>
      </c>
      <c r="C141" s="6"/>
      <c r="D141" s="7" t="s">
        <v>470</v>
      </c>
    </row>
    <row r="142" spans="1:7">
      <c r="A142" s="106"/>
      <c r="B142" s="5" t="s">
        <v>175</v>
      </c>
      <c r="C142" s="6" t="s">
        <v>764</v>
      </c>
      <c r="D142" s="7" t="s">
        <v>471</v>
      </c>
      <c r="E142" s="3">
        <v>25</v>
      </c>
      <c r="F142" s="8">
        <f t="shared" ref="F142:F155" si="7">E142/SUM($E$138:$E$155)</f>
        <v>5.8685446009389672E-2</v>
      </c>
    </row>
    <row r="143" spans="1:7">
      <c r="A143" s="106"/>
      <c r="B143" s="5" t="s">
        <v>164</v>
      </c>
      <c r="C143" s="6" t="s">
        <v>768</v>
      </c>
      <c r="D143" s="7" t="s">
        <v>472</v>
      </c>
      <c r="E143" s="3">
        <v>20</v>
      </c>
      <c r="F143" s="8">
        <f t="shared" si="7"/>
        <v>4.6948356807511735E-2</v>
      </c>
    </row>
    <row r="144" spans="1:7">
      <c r="A144" s="106"/>
      <c r="B144" s="5" t="s">
        <v>171</v>
      </c>
      <c r="C144" s="6"/>
      <c r="D144" s="7" t="s">
        <v>473</v>
      </c>
    </row>
    <row r="145" spans="1:7">
      <c r="A145" s="106"/>
      <c r="B145" s="5" t="s">
        <v>174</v>
      </c>
      <c r="D145" s="7" t="s">
        <v>474</v>
      </c>
    </row>
    <row r="146" spans="1:7">
      <c r="A146" s="106"/>
      <c r="B146" s="5" t="s">
        <v>173</v>
      </c>
      <c r="C146" s="6"/>
      <c r="D146" s="7" t="s">
        <v>475</v>
      </c>
    </row>
    <row r="147" spans="1:7">
      <c r="A147" s="106"/>
      <c r="B147" s="5" t="s">
        <v>172</v>
      </c>
      <c r="C147" s="6"/>
      <c r="D147" s="7" t="s">
        <v>476</v>
      </c>
    </row>
    <row r="148" spans="1:7">
      <c r="A148" s="106"/>
      <c r="B148" s="5" t="s">
        <v>161</v>
      </c>
      <c r="D148" s="7" t="s">
        <v>477</v>
      </c>
    </row>
    <row r="149" spans="1:7">
      <c r="A149" s="106"/>
      <c r="B149" s="5" t="s">
        <v>162</v>
      </c>
      <c r="C149" s="6" t="s">
        <v>765</v>
      </c>
      <c r="D149" s="7" t="s">
        <v>478</v>
      </c>
      <c r="E149" s="3">
        <v>150</v>
      </c>
      <c r="F149" s="8">
        <f t="shared" si="7"/>
        <v>0.352112676056338</v>
      </c>
    </row>
    <row r="150" spans="1:7" ht="30">
      <c r="A150" s="106"/>
      <c r="B150" s="5" t="s">
        <v>158</v>
      </c>
      <c r="C150" s="6"/>
      <c r="D150" s="7" t="s">
        <v>479</v>
      </c>
    </row>
    <row r="151" spans="1:7">
      <c r="A151" s="106"/>
      <c r="B151" s="5" t="s">
        <v>159</v>
      </c>
      <c r="C151" s="6"/>
      <c r="D151" s="7" t="s">
        <v>480</v>
      </c>
    </row>
    <row r="152" spans="1:7">
      <c r="A152" s="106"/>
      <c r="B152" s="5" t="s">
        <v>155</v>
      </c>
      <c r="D152" s="7" t="s">
        <v>481</v>
      </c>
    </row>
    <row r="153" spans="1:7">
      <c r="A153" s="106"/>
      <c r="B153" s="5" t="s">
        <v>169</v>
      </c>
      <c r="C153" s="6"/>
      <c r="D153" s="7" t="s">
        <v>482</v>
      </c>
    </row>
    <row r="154" spans="1:7">
      <c r="A154" s="106"/>
      <c r="B154" s="5" t="s">
        <v>170</v>
      </c>
      <c r="C154" s="6"/>
      <c r="D154" s="7" t="s">
        <v>483</v>
      </c>
    </row>
    <row r="155" spans="1:7" ht="30">
      <c r="A155" s="106"/>
      <c r="B155" s="5" t="s">
        <v>160</v>
      </c>
      <c r="C155" s="6" t="s">
        <v>766</v>
      </c>
      <c r="D155" s="7" t="s">
        <v>484</v>
      </c>
      <c r="E155" s="3">
        <f>39+150</f>
        <v>189</v>
      </c>
      <c r="F155" s="8">
        <f t="shared" si="7"/>
        <v>0.44366197183098594</v>
      </c>
    </row>
    <row r="156" spans="1:7">
      <c r="A156" s="106"/>
      <c r="B156" s="5" t="s">
        <v>157</v>
      </c>
      <c r="C156" s="6"/>
      <c r="D156" s="7" t="s">
        <v>485</v>
      </c>
    </row>
    <row r="157" spans="1:7">
      <c r="A157" s="106"/>
      <c r="B157" s="5" t="s">
        <v>165</v>
      </c>
      <c r="C157" s="6"/>
      <c r="D157" s="7" t="s">
        <v>486</v>
      </c>
    </row>
    <row r="158" spans="1:7">
      <c r="A158" s="106"/>
      <c r="B158" s="5" t="s">
        <v>168</v>
      </c>
      <c r="C158" s="6"/>
      <c r="D158" s="7" t="s">
        <v>487</v>
      </c>
    </row>
    <row r="159" spans="1:7">
      <c r="A159" s="26" t="s">
        <v>623</v>
      </c>
      <c r="B159" s="5" t="s">
        <v>488</v>
      </c>
      <c r="C159" s="6"/>
      <c r="D159" s="7" t="s">
        <v>489</v>
      </c>
      <c r="F159" s="8">
        <v>1</v>
      </c>
      <c r="G159" s="73" t="s">
        <v>925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73" t="s">
        <v>925</v>
      </c>
    </row>
    <row r="161" spans="1:7">
      <c r="A161" s="106" t="s">
        <v>1164</v>
      </c>
      <c r="B161" s="5" t="s">
        <v>491</v>
      </c>
      <c r="C161" s="6"/>
      <c r="D161" s="7" t="s">
        <v>492</v>
      </c>
      <c r="F161" s="74">
        <f>1/2</f>
        <v>0.5</v>
      </c>
      <c r="G161" s="73" t="s">
        <v>925</v>
      </c>
    </row>
    <row r="162" spans="1:7">
      <c r="A162" s="106"/>
      <c r="B162" s="5" t="s">
        <v>493</v>
      </c>
      <c r="C162" s="6"/>
      <c r="D162" s="7" t="s">
        <v>494</v>
      </c>
      <c r="F162" s="74">
        <f>1/2</f>
        <v>0.5</v>
      </c>
      <c r="G162" s="73" t="s">
        <v>925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73" t="s">
        <v>925</v>
      </c>
    </row>
    <row r="164" spans="1:7">
      <c r="A164" s="106" t="s">
        <v>16</v>
      </c>
      <c r="B164" s="5" t="s">
        <v>182</v>
      </c>
      <c r="C164" s="6"/>
      <c r="D164" s="7" t="s">
        <v>495</v>
      </c>
    </row>
    <row r="165" spans="1:7">
      <c r="A165" s="106"/>
      <c r="B165" s="5" t="s">
        <v>181</v>
      </c>
      <c r="C165" s="6"/>
      <c r="D165" s="7" t="s">
        <v>496</v>
      </c>
    </row>
    <row r="166" spans="1:7">
      <c r="A166" s="106"/>
      <c r="B166" s="5" t="s">
        <v>180</v>
      </c>
      <c r="C166" s="6"/>
      <c r="D166" s="7" t="s">
        <v>497</v>
      </c>
    </row>
    <row r="167" spans="1:7">
      <c r="A167" s="106"/>
      <c r="B167" s="5" t="s">
        <v>179</v>
      </c>
      <c r="C167" s="6"/>
      <c r="D167" s="7" t="s">
        <v>498</v>
      </c>
    </row>
    <row r="168" spans="1:7">
      <c r="A168" s="106"/>
      <c r="B168" s="5" t="s">
        <v>184</v>
      </c>
      <c r="C168" s="6"/>
      <c r="D168" s="7" t="s">
        <v>499</v>
      </c>
    </row>
    <row r="169" spans="1:7">
      <c r="A169" s="106"/>
      <c r="B169" s="5" t="s">
        <v>183</v>
      </c>
      <c r="C169" s="3" t="s">
        <v>770</v>
      </c>
      <c r="D169" s="7" t="s">
        <v>500</v>
      </c>
      <c r="E169" s="3">
        <v>291</v>
      </c>
      <c r="F169" s="8">
        <v>1</v>
      </c>
    </row>
    <row r="170" spans="1:7">
      <c r="A170" s="106"/>
      <c r="B170" s="5" t="s">
        <v>178</v>
      </c>
      <c r="C170" s="6"/>
      <c r="D170" s="7" t="s">
        <v>501</v>
      </c>
    </row>
    <row r="171" spans="1:7">
      <c r="A171" s="106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G172" s="73" t="s">
        <v>925</v>
      </c>
    </row>
    <row r="173" spans="1:7">
      <c r="A173" s="106" t="s">
        <v>17</v>
      </c>
      <c r="B173" s="5" t="s">
        <v>193</v>
      </c>
      <c r="C173" s="40" t="s">
        <v>722</v>
      </c>
      <c r="D173" s="7" t="s">
        <v>505</v>
      </c>
      <c r="E173" s="3">
        <v>121</v>
      </c>
      <c r="F173" s="8">
        <f>E173/SUM($E$173:$E$182)</f>
        <v>0.14285714285714285</v>
      </c>
    </row>
    <row r="174" spans="1:7">
      <c r="A174" s="106"/>
      <c r="B174" s="5" t="s">
        <v>195</v>
      </c>
      <c r="C174" s="6"/>
      <c r="D174" s="7" t="s">
        <v>506</v>
      </c>
    </row>
    <row r="175" spans="1:7">
      <c r="A175" s="106"/>
      <c r="B175" s="5" t="s">
        <v>197</v>
      </c>
      <c r="C175" s="6"/>
      <c r="D175" s="7" t="s">
        <v>507</v>
      </c>
    </row>
    <row r="176" spans="1:7">
      <c r="A176" s="106"/>
      <c r="B176" s="5" t="s">
        <v>188</v>
      </c>
      <c r="C176" s="6"/>
      <c r="D176" s="7" t="s">
        <v>508</v>
      </c>
    </row>
    <row r="177" spans="1:6">
      <c r="A177" s="106"/>
      <c r="B177" s="5" t="s">
        <v>194</v>
      </c>
      <c r="C177" s="6"/>
      <c r="D177" s="7" t="s">
        <v>509</v>
      </c>
    </row>
    <row r="178" spans="1:6">
      <c r="A178" s="106"/>
      <c r="B178" s="5" t="s">
        <v>196</v>
      </c>
      <c r="C178" s="6"/>
      <c r="D178" s="7" t="s">
        <v>510</v>
      </c>
    </row>
    <row r="179" spans="1:6">
      <c r="A179" s="106"/>
      <c r="B179" s="5" t="s">
        <v>190</v>
      </c>
      <c r="C179" s="6"/>
      <c r="D179" s="7" t="s">
        <v>511</v>
      </c>
    </row>
    <row r="180" spans="1:6">
      <c r="A180" s="106"/>
      <c r="B180" s="5" t="s">
        <v>189</v>
      </c>
      <c r="C180" s="6"/>
      <c r="D180" s="7" t="s">
        <v>512</v>
      </c>
    </row>
    <row r="181" spans="1:6">
      <c r="A181" s="106"/>
      <c r="B181" s="5" t="s">
        <v>186</v>
      </c>
      <c r="C181" s="40" t="s">
        <v>700</v>
      </c>
      <c r="D181" s="7" t="s">
        <v>513</v>
      </c>
      <c r="E181" s="3">
        <v>637</v>
      </c>
      <c r="F181" s="8">
        <f t="shared" ref="F181:F182" si="8">E181/SUM($E$173:$E$182)</f>
        <v>0.75206611570247939</v>
      </c>
    </row>
    <row r="182" spans="1:6">
      <c r="A182" s="106"/>
      <c r="B182" s="5" t="s">
        <v>187</v>
      </c>
      <c r="C182" s="3" t="s">
        <v>760</v>
      </c>
      <c r="D182" s="7" t="s">
        <v>514</v>
      </c>
      <c r="E182" s="3">
        <v>89</v>
      </c>
      <c r="F182" s="8">
        <f t="shared" si="8"/>
        <v>0.1050767414403778</v>
      </c>
    </row>
    <row r="183" spans="1:6">
      <c r="A183" s="106"/>
      <c r="B183" s="5" t="s">
        <v>191</v>
      </c>
      <c r="D183" s="7" t="s">
        <v>515</v>
      </c>
    </row>
    <row r="184" spans="1:6">
      <c r="A184" s="106"/>
      <c r="B184" s="5" t="s">
        <v>192</v>
      </c>
      <c r="D184" s="7" t="s">
        <v>516</v>
      </c>
    </row>
    <row r="185" spans="1:6">
      <c r="A185" s="106" t="s">
        <v>18</v>
      </c>
      <c r="B185" s="5" t="s">
        <v>206</v>
      </c>
      <c r="C185" s="6"/>
      <c r="D185" s="7" t="s">
        <v>517</v>
      </c>
    </row>
    <row r="186" spans="1:6">
      <c r="A186" s="106"/>
      <c r="B186" s="5" t="s">
        <v>204</v>
      </c>
      <c r="C186" s="6"/>
      <c r="D186" s="7" t="s">
        <v>518</v>
      </c>
    </row>
    <row r="187" spans="1:6">
      <c r="A187" s="106"/>
      <c r="B187" s="5" t="s">
        <v>203</v>
      </c>
      <c r="C187" s="6"/>
      <c r="D187" s="7" t="s">
        <v>519</v>
      </c>
    </row>
    <row r="188" spans="1:6">
      <c r="A188" s="106"/>
      <c r="B188" s="5" t="s">
        <v>205</v>
      </c>
      <c r="C188" s="6" t="s">
        <v>797</v>
      </c>
      <c r="D188" s="7" t="s">
        <v>520</v>
      </c>
      <c r="E188" s="3">
        <v>70</v>
      </c>
      <c r="F188" s="8">
        <v>1</v>
      </c>
    </row>
    <row r="189" spans="1:6">
      <c r="A189" s="106"/>
      <c r="B189" s="5" t="s">
        <v>200</v>
      </c>
      <c r="C189" s="6"/>
      <c r="D189" s="7" t="s">
        <v>521</v>
      </c>
    </row>
    <row r="190" spans="1:6">
      <c r="A190" s="106"/>
      <c r="B190" s="5" t="s">
        <v>202</v>
      </c>
      <c r="C190" s="6"/>
      <c r="D190" s="7" t="s">
        <v>522</v>
      </c>
    </row>
    <row r="191" spans="1:6">
      <c r="A191" s="106"/>
      <c r="B191" s="5" t="s">
        <v>201</v>
      </c>
      <c r="C191" s="6"/>
      <c r="D191" s="7" t="s">
        <v>523</v>
      </c>
    </row>
    <row r="192" spans="1:6">
      <c r="A192" s="106"/>
      <c r="B192" s="5" t="s">
        <v>199</v>
      </c>
      <c r="C192" s="6"/>
      <c r="D192" s="7" t="s">
        <v>524</v>
      </c>
    </row>
    <row r="193" spans="1:6">
      <c r="A193" s="106"/>
      <c r="B193" s="5" t="s">
        <v>198</v>
      </c>
      <c r="C193" s="6"/>
      <c r="D193" s="7" t="s">
        <v>525</v>
      </c>
    </row>
    <row r="194" spans="1:6">
      <c r="A194" s="106" t="s">
        <v>19</v>
      </c>
      <c r="B194" s="5" t="s">
        <v>219</v>
      </c>
      <c r="C194" s="6"/>
      <c r="D194" s="7" t="s">
        <v>526</v>
      </c>
    </row>
    <row r="195" spans="1:6">
      <c r="A195" s="106"/>
      <c r="B195" s="5" t="s">
        <v>210</v>
      </c>
      <c r="C195" s="6"/>
      <c r="D195" s="7" t="s">
        <v>527</v>
      </c>
    </row>
    <row r="196" spans="1:6">
      <c r="A196" s="106"/>
      <c r="B196" s="5" t="s">
        <v>221</v>
      </c>
      <c r="C196" s="6"/>
      <c r="D196" s="7" t="s">
        <v>528</v>
      </c>
    </row>
    <row r="197" spans="1:6">
      <c r="A197" s="106"/>
      <c r="B197" s="5" t="s">
        <v>207</v>
      </c>
      <c r="C197" s="6"/>
      <c r="D197" s="7" t="s">
        <v>529</v>
      </c>
    </row>
    <row r="198" spans="1:6">
      <c r="A198" s="106"/>
      <c r="B198" s="5" t="s">
        <v>216</v>
      </c>
      <c r="C198" s="6"/>
      <c r="D198" s="7" t="s">
        <v>530</v>
      </c>
    </row>
    <row r="199" spans="1:6">
      <c r="A199" s="106"/>
      <c r="B199" s="5" t="s">
        <v>218</v>
      </c>
      <c r="C199" s="6" t="s">
        <v>759</v>
      </c>
      <c r="D199" s="7" t="s">
        <v>531</v>
      </c>
      <c r="E199" s="3">
        <v>125</v>
      </c>
      <c r="F199" s="8">
        <f>E199/(E199+E201)</f>
        <v>0.36873156342182889</v>
      </c>
    </row>
    <row r="200" spans="1:6">
      <c r="A200" s="106"/>
      <c r="B200" s="5" t="s">
        <v>213</v>
      </c>
      <c r="C200" s="6"/>
      <c r="D200" s="7" t="s">
        <v>532</v>
      </c>
    </row>
    <row r="201" spans="1:6">
      <c r="A201" s="106"/>
      <c r="B201" s="5" t="s">
        <v>220</v>
      </c>
      <c r="C201" s="40" t="s">
        <v>715</v>
      </c>
      <c r="D201" s="7" t="s">
        <v>533</v>
      </c>
      <c r="E201" s="3">
        <v>214</v>
      </c>
      <c r="F201" s="8">
        <f>E201/(E199+E201)</f>
        <v>0.63126843657817111</v>
      </c>
    </row>
    <row r="202" spans="1:6">
      <c r="A202" s="106"/>
      <c r="B202" s="5" t="s">
        <v>208</v>
      </c>
      <c r="C202" s="6"/>
      <c r="D202" s="7" t="s">
        <v>534</v>
      </c>
    </row>
    <row r="203" spans="1:6">
      <c r="A203" s="106"/>
      <c r="B203" s="5" t="s">
        <v>211</v>
      </c>
      <c r="C203" s="6"/>
      <c r="D203" s="7" t="s">
        <v>535</v>
      </c>
    </row>
    <row r="204" spans="1:6">
      <c r="A204" s="106"/>
      <c r="B204" s="5" t="s">
        <v>223</v>
      </c>
      <c r="C204" s="6"/>
      <c r="D204" s="7" t="s">
        <v>536</v>
      </c>
    </row>
    <row r="205" spans="1:6">
      <c r="A205" s="106"/>
      <c r="B205" s="5" t="s">
        <v>222</v>
      </c>
      <c r="C205" s="6"/>
      <c r="D205" s="7" t="s">
        <v>537</v>
      </c>
    </row>
    <row r="206" spans="1:6">
      <c r="A206" s="106"/>
      <c r="B206" s="5" t="s">
        <v>217</v>
      </c>
      <c r="C206" s="6"/>
      <c r="D206" s="7" t="s">
        <v>538</v>
      </c>
    </row>
    <row r="207" spans="1:6">
      <c r="A207" s="106"/>
      <c r="B207" s="5" t="s">
        <v>209</v>
      </c>
      <c r="C207" s="6"/>
      <c r="D207" s="7" t="s">
        <v>539</v>
      </c>
    </row>
    <row r="208" spans="1:6">
      <c r="A208" s="106"/>
      <c r="B208" s="5" t="s">
        <v>212</v>
      </c>
      <c r="C208" s="6"/>
      <c r="D208" s="7" t="s">
        <v>540</v>
      </c>
    </row>
    <row r="209" spans="1:6">
      <c r="A209" s="106"/>
      <c r="B209" s="5" t="s">
        <v>214</v>
      </c>
      <c r="C209" s="6"/>
      <c r="D209" s="7" t="s">
        <v>541</v>
      </c>
    </row>
    <row r="210" spans="1:6">
      <c r="A210" s="106"/>
      <c r="B210" s="5" t="s">
        <v>215</v>
      </c>
      <c r="D210" s="7" t="s">
        <v>542</v>
      </c>
    </row>
    <row r="211" spans="1:6">
      <c r="A211" s="106" t="s">
        <v>20</v>
      </c>
      <c r="B211" s="5" t="s">
        <v>226</v>
      </c>
      <c r="C211" s="6"/>
      <c r="D211" s="7" t="s">
        <v>543</v>
      </c>
    </row>
    <row r="212" spans="1:6">
      <c r="A212" s="106"/>
      <c r="B212" s="5" t="s">
        <v>225</v>
      </c>
      <c r="C212" s="6"/>
      <c r="D212" s="7" t="s">
        <v>544</v>
      </c>
    </row>
    <row r="213" spans="1:6">
      <c r="A213" s="106"/>
      <c r="B213" s="5" t="s">
        <v>228</v>
      </c>
      <c r="C213" s="6" t="s">
        <v>758</v>
      </c>
      <c r="D213" s="7" t="s">
        <v>545</v>
      </c>
      <c r="E213" s="3">
        <v>116</v>
      </c>
      <c r="F213" s="8">
        <f>E213/SUM($E$213:$E$214)</f>
        <v>0.81690140845070425</v>
      </c>
    </row>
    <row r="214" spans="1:6">
      <c r="A214" s="106"/>
      <c r="B214" s="5" t="s">
        <v>224</v>
      </c>
      <c r="C214" s="6" t="s">
        <v>757</v>
      </c>
      <c r="D214" s="7" t="s">
        <v>546</v>
      </c>
      <c r="E214" s="3">
        <v>26</v>
      </c>
      <c r="F214" s="8">
        <f>E214/SUM($E$213:$E$214)</f>
        <v>0.18309859154929578</v>
      </c>
    </row>
    <row r="215" spans="1:6">
      <c r="A215" s="106"/>
      <c r="B215" s="5" t="s">
        <v>227</v>
      </c>
      <c r="D215" s="7" t="s">
        <v>547</v>
      </c>
    </row>
    <row r="216" spans="1:6">
      <c r="A216" s="106"/>
      <c r="B216" s="5" t="s">
        <v>548</v>
      </c>
      <c r="C216" s="6"/>
      <c r="D216" s="7" t="s">
        <v>549</v>
      </c>
    </row>
    <row r="217" spans="1:6">
      <c r="A217" s="106"/>
      <c r="B217" s="5" t="s">
        <v>550</v>
      </c>
      <c r="C217" s="6"/>
      <c r="D217" s="7" t="s">
        <v>551</v>
      </c>
    </row>
    <row r="218" spans="1:6">
      <c r="A218" s="106" t="s">
        <v>21</v>
      </c>
      <c r="B218" s="5" t="s">
        <v>231</v>
      </c>
      <c r="C218" s="6"/>
      <c r="D218" s="7" t="s">
        <v>552</v>
      </c>
    </row>
    <row r="219" spans="1:6">
      <c r="A219" s="106"/>
      <c r="B219" s="5" t="s">
        <v>236</v>
      </c>
      <c r="C219" s="6"/>
      <c r="D219" s="7" t="s">
        <v>553</v>
      </c>
    </row>
    <row r="220" spans="1:6">
      <c r="A220" s="106"/>
      <c r="B220" s="5" t="s">
        <v>232</v>
      </c>
      <c r="C220" s="6" t="s">
        <v>756</v>
      </c>
      <c r="D220" s="7" t="s">
        <v>554</v>
      </c>
      <c r="E220" s="3">
        <v>93</v>
      </c>
      <c r="F220" s="8">
        <f t="shared" ref="F220" si="9">E220/SUM($E$220:$E$224)</f>
        <v>0.2421875</v>
      </c>
    </row>
    <row r="221" spans="1:6">
      <c r="A221" s="106"/>
      <c r="B221" s="5" t="s">
        <v>230</v>
      </c>
      <c r="C221" s="6"/>
      <c r="D221" s="7" t="s">
        <v>555</v>
      </c>
    </row>
    <row r="222" spans="1:6">
      <c r="A222" s="106"/>
      <c r="B222" s="5" t="s">
        <v>234</v>
      </c>
      <c r="C222" s="6"/>
      <c r="D222" s="7" t="s">
        <v>556</v>
      </c>
    </row>
    <row r="223" spans="1:6">
      <c r="A223" s="106"/>
      <c r="B223" s="5" t="s">
        <v>233</v>
      </c>
      <c r="C223" s="6"/>
      <c r="D223" s="7" t="s">
        <v>557</v>
      </c>
    </row>
    <row r="224" spans="1:6">
      <c r="A224" s="106"/>
      <c r="B224" s="5" t="s">
        <v>229</v>
      </c>
      <c r="C224" s="6" t="s">
        <v>755</v>
      </c>
      <c r="D224" s="7" t="s">
        <v>558</v>
      </c>
      <c r="E224" s="3">
        <v>291</v>
      </c>
      <c r="F224" s="8">
        <f>E224/SUM($E$220:$E$224)</f>
        <v>0.7578125</v>
      </c>
    </row>
    <row r="225" spans="1:6">
      <c r="A225" s="106"/>
      <c r="B225" s="5" t="s">
        <v>235</v>
      </c>
      <c r="C225" s="6"/>
      <c r="D225" s="7" t="s">
        <v>559</v>
      </c>
    </row>
    <row r="226" spans="1:6">
      <c r="A226" s="106" t="s">
        <v>22</v>
      </c>
      <c r="B226" s="5" t="s">
        <v>237</v>
      </c>
      <c r="C226" s="6" t="s">
        <v>753</v>
      </c>
      <c r="D226" s="7" t="s">
        <v>560</v>
      </c>
      <c r="E226" s="3">
        <v>16</v>
      </c>
      <c r="F226" s="8">
        <v>1</v>
      </c>
    </row>
    <row r="227" spans="1:6">
      <c r="A227" s="106"/>
      <c r="B227" s="5" t="s">
        <v>238</v>
      </c>
      <c r="C227" s="6"/>
      <c r="D227" s="7" t="s">
        <v>561</v>
      </c>
    </row>
    <row r="228" spans="1:6">
      <c r="A228" s="106" t="s">
        <v>23</v>
      </c>
      <c r="B228" s="5" t="s">
        <v>241</v>
      </c>
      <c r="C228" s="6"/>
      <c r="D228" s="7" t="s">
        <v>562</v>
      </c>
    </row>
    <row r="229" spans="1:6">
      <c r="A229" s="106"/>
      <c r="B229" s="5" t="s">
        <v>239</v>
      </c>
      <c r="C229" s="6" t="s">
        <v>754</v>
      </c>
      <c r="D229" s="7" t="s">
        <v>563</v>
      </c>
      <c r="E229" s="3">
        <v>76</v>
      </c>
      <c r="F229" s="8">
        <v>1</v>
      </c>
    </row>
    <row r="230" spans="1:6">
      <c r="A230" s="106"/>
      <c r="B230" s="5" t="s">
        <v>242</v>
      </c>
      <c r="C230" s="6"/>
      <c r="D230" s="7" t="s">
        <v>564</v>
      </c>
    </row>
    <row r="231" spans="1:6">
      <c r="A231" s="106"/>
      <c r="B231" s="5" t="s">
        <v>240</v>
      </c>
      <c r="C231" s="6"/>
      <c r="D231" s="7" t="s">
        <v>565</v>
      </c>
    </row>
    <row r="232" spans="1:6">
      <c r="A232" s="106" t="s">
        <v>24</v>
      </c>
      <c r="B232" s="5" t="s">
        <v>243</v>
      </c>
      <c r="C232" s="6"/>
      <c r="D232" s="7" t="s">
        <v>566</v>
      </c>
    </row>
    <row r="233" spans="1:6">
      <c r="A233" s="106"/>
      <c r="B233" s="5" t="s">
        <v>245</v>
      </c>
      <c r="C233" s="6"/>
      <c r="D233" s="7" t="s">
        <v>567</v>
      </c>
    </row>
    <row r="234" spans="1:6">
      <c r="A234" s="106"/>
      <c r="B234" s="5" t="s">
        <v>244</v>
      </c>
      <c r="C234" s="6" t="s">
        <v>792</v>
      </c>
      <c r="D234" s="7" t="s">
        <v>568</v>
      </c>
      <c r="E234" s="3">
        <v>75</v>
      </c>
      <c r="F234" s="8">
        <f>E234/(E234+E235)</f>
        <v>0.65217391304347827</v>
      </c>
    </row>
    <row r="235" spans="1:6">
      <c r="A235" s="106"/>
      <c r="B235" s="5" t="s">
        <v>246</v>
      </c>
      <c r="C235" s="6" t="s">
        <v>791</v>
      </c>
      <c r="D235" s="7" t="s">
        <v>569</v>
      </c>
      <c r="E235" s="3">
        <v>40</v>
      </c>
      <c r="F235" s="8">
        <f>E235/(E234+E235)</f>
        <v>0.34782608695652173</v>
      </c>
    </row>
    <row r="236" spans="1:6">
      <c r="A236" s="106"/>
      <c r="B236" s="5" t="s">
        <v>570</v>
      </c>
      <c r="C236" s="6"/>
      <c r="D236" s="7" t="s">
        <v>571</v>
      </c>
    </row>
    <row r="237" spans="1:6">
      <c r="A237" s="106" t="s">
        <v>25</v>
      </c>
      <c r="B237" s="5" t="s">
        <v>247</v>
      </c>
      <c r="C237" s="6"/>
      <c r="D237" s="7" t="s">
        <v>572</v>
      </c>
    </row>
    <row r="238" spans="1:6">
      <c r="A238" s="106"/>
      <c r="B238" s="5" t="s">
        <v>248</v>
      </c>
      <c r="C238" s="6"/>
      <c r="D238" s="7" t="s">
        <v>573</v>
      </c>
    </row>
    <row r="239" spans="1:6">
      <c r="A239" s="106"/>
      <c r="B239" s="5" t="s">
        <v>252</v>
      </c>
      <c r="C239" s="6"/>
      <c r="D239" s="7" t="s">
        <v>574</v>
      </c>
    </row>
    <row r="240" spans="1:6">
      <c r="A240" s="106"/>
      <c r="B240" s="5" t="s">
        <v>254</v>
      </c>
      <c r="C240" s="6"/>
      <c r="D240" s="7" t="s">
        <v>575</v>
      </c>
    </row>
    <row r="241" spans="1:6">
      <c r="A241" s="106"/>
      <c r="B241" s="5" t="s">
        <v>251</v>
      </c>
      <c r="C241" s="3" t="s">
        <v>667</v>
      </c>
      <c r="D241" s="7" t="s">
        <v>576</v>
      </c>
      <c r="E241" s="3">
        <v>120</v>
      </c>
      <c r="F241" s="8">
        <v>1</v>
      </c>
    </row>
    <row r="242" spans="1:6">
      <c r="A242" s="106"/>
      <c r="B242" s="5" t="s">
        <v>253</v>
      </c>
      <c r="C242" s="6"/>
      <c r="D242" s="7" t="s">
        <v>577</v>
      </c>
    </row>
    <row r="243" spans="1:6">
      <c r="A243" s="106"/>
      <c r="B243" s="5" t="s">
        <v>250</v>
      </c>
      <c r="C243" s="6"/>
      <c r="D243" s="7" t="s">
        <v>578</v>
      </c>
    </row>
    <row r="244" spans="1:6">
      <c r="A244" s="106"/>
      <c r="B244" s="5" t="s">
        <v>249</v>
      </c>
      <c r="C244" s="6"/>
      <c r="D244" s="7" t="s">
        <v>579</v>
      </c>
    </row>
    <row r="245" spans="1:6">
      <c r="A245" s="106" t="s">
        <v>26</v>
      </c>
      <c r="B245" s="5" t="s">
        <v>294</v>
      </c>
      <c r="D245" s="7" t="s">
        <v>580</v>
      </c>
    </row>
    <row r="246" spans="1:6">
      <c r="A246" s="106"/>
      <c r="B246" s="5" t="s">
        <v>268</v>
      </c>
      <c r="C246" s="6"/>
      <c r="D246" s="7" t="s">
        <v>581</v>
      </c>
    </row>
    <row r="247" spans="1:6">
      <c r="A247" s="106"/>
      <c r="B247" s="5" t="s">
        <v>280</v>
      </c>
      <c r="C247" s="6"/>
      <c r="D247" s="7" t="s">
        <v>582</v>
      </c>
    </row>
    <row r="248" spans="1:6">
      <c r="A248" s="106"/>
      <c r="B248" s="5" t="s">
        <v>270</v>
      </c>
      <c r="C248" s="6"/>
      <c r="D248" s="7" t="s">
        <v>583</v>
      </c>
    </row>
    <row r="249" spans="1:6">
      <c r="A249" s="106"/>
      <c r="B249" s="5" t="s">
        <v>285</v>
      </c>
      <c r="C249" s="6"/>
      <c r="D249" s="7" t="s">
        <v>584</v>
      </c>
    </row>
    <row r="250" spans="1:6">
      <c r="A250" s="106"/>
      <c r="B250" s="5" t="s">
        <v>264</v>
      </c>
      <c r="C250" s="6" t="s">
        <v>749</v>
      </c>
      <c r="D250" s="7" t="s">
        <v>585</v>
      </c>
      <c r="E250" s="3">
        <v>707</v>
      </c>
      <c r="F250" s="8">
        <f t="shared" ref="F250:F262" si="10">E250/SUM($E$250:$E$267)</f>
        <v>0.96982167352537718</v>
      </c>
    </row>
    <row r="251" spans="1:6">
      <c r="A251" s="106"/>
      <c r="B251" s="5" t="s">
        <v>269</v>
      </c>
      <c r="C251" s="6"/>
      <c r="D251" s="7" t="s">
        <v>586</v>
      </c>
    </row>
    <row r="252" spans="1:6" ht="30">
      <c r="A252" s="106"/>
      <c r="B252" s="5" t="s">
        <v>277</v>
      </c>
      <c r="C252" s="6"/>
      <c r="D252" s="7" t="s">
        <v>587</v>
      </c>
    </row>
    <row r="253" spans="1:6">
      <c r="A253" s="106"/>
      <c r="B253" s="5" t="s">
        <v>295</v>
      </c>
      <c r="C253" s="6"/>
      <c r="D253" s="7" t="s">
        <v>588</v>
      </c>
    </row>
    <row r="254" spans="1:6">
      <c r="A254" s="106"/>
      <c r="B254" s="5" t="s">
        <v>266</v>
      </c>
      <c r="C254" s="6"/>
      <c r="D254" s="7" t="s">
        <v>589</v>
      </c>
    </row>
    <row r="255" spans="1:6">
      <c r="A255" s="106"/>
      <c r="B255" s="5" t="s">
        <v>263</v>
      </c>
      <c r="C255" s="6"/>
      <c r="D255" s="7" t="s">
        <v>590</v>
      </c>
    </row>
    <row r="256" spans="1:6">
      <c r="A256" s="106"/>
      <c r="B256" s="5" t="s">
        <v>279</v>
      </c>
      <c r="C256" s="6"/>
      <c r="D256" s="7" t="s">
        <v>591</v>
      </c>
    </row>
    <row r="257" spans="1:6" ht="30">
      <c r="A257" s="106"/>
      <c r="B257" s="5" t="s">
        <v>272</v>
      </c>
      <c r="C257" s="6"/>
      <c r="D257" s="7" t="s">
        <v>592</v>
      </c>
    </row>
    <row r="258" spans="1:6">
      <c r="A258" s="106"/>
      <c r="B258" s="5" t="s">
        <v>271</v>
      </c>
      <c r="C258" s="6"/>
      <c r="D258" s="7" t="s">
        <v>593</v>
      </c>
    </row>
    <row r="259" spans="1:6" ht="30">
      <c r="A259" s="106"/>
      <c r="B259" s="5" t="s">
        <v>275</v>
      </c>
      <c r="C259" s="6"/>
      <c r="D259" s="7" t="s">
        <v>594</v>
      </c>
    </row>
    <row r="260" spans="1:6">
      <c r="A260" s="106"/>
      <c r="B260" s="5" t="s">
        <v>267</v>
      </c>
      <c r="C260" s="6"/>
      <c r="D260" s="7" t="s">
        <v>595</v>
      </c>
    </row>
    <row r="261" spans="1:6">
      <c r="A261" s="106"/>
      <c r="B261" s="5" t="s">
        <v>274</v>
      </c>
      <c r="C261" s="6"/>
      <c r="D261" s="7" t="s">
        <v>596</v>
      </c>
    </row>
    <row r="262" spans="1:6">
      <c r="A262" s="106"/>
      <c r="B262" s="5" t="s">
        <v>282</v>
      </c>
      <c r="C262" s="6" t="s">
        <v>750</v>
      </c>
      <c r="D262" s="7" t="s">
        <v>597</v>
      </c>
      <c r="E262" s="3">
        <v>7</v>
      </c>
      <c r="F262" s="8">
        <f t="shared" si="10"/>
        <v>9.6021947873799734E-3</v>
      </c>
    </row>
    <row r="263" spans="1:6">
      <c r="A263" s="106"/>
      <c r="B263" s="5" t="s">
        <v>287</v>
      </c>
      <c r="C263" s="6"/>
      <c r="D263" s="7" t="s">
        <v>598</v>
      </c>
    </row>
    <row r="264" spans="1:6">
      <c r="A264" s="106"/>
      <c r="B264" s="5" t="s">
        <v>265</v>
      </c>
      <c r="C264" s="6"/>
      <c r="D264" s="7" t="s">
        <v>599</v>
      </c>
    </row>
    <row r="265" spans="1:6">
      <c r="A265" s="106"/>
      <c r="B265" s="5" t="s">
        <v>293</v>
      </c>
      <c r="C265" s="6"/>
      <c r="D265" s="7" t="s">
        <v>600</v>
      </c>
    </row>
    <row r="266" spans="1:6">
      <c r="A266" s="106"/>
      <c r="B266" s="5" t="s">
        <v>292</v>
      </c>
      <c r="C266" s="6"/>
      <c r="D266" s="7" t="s">
        <v>601</v>
      </c>
    </row>
    <row r="267" spans="1:6">
      <c r="A267" s="106"/>
      <c r="B267" s="5" t="s">
        <v>291</v>
      </c>
      <c r="C267" s="6" t="s">
        <v>751</v>
      </c>
      <c r="D267" s="7" t="s">
        <v>602</v>
      </c>
      <c r="E267" s="3">
        <v>15</v>
      </c>
      <c r="F267" s="8">
        <f>E267/SUM($E$250:$E$267)</f>
        <v>2.0576131687242798E-2</v>
      </c>
    </row>
    <row r="268" spans="1:6">
      <c r="A268" s="106"/>
      <c r="B268" s="5" t="s">
        <v>290</v>
      </c>
      <c r="C268" s="6"/>
      <c r="D268" s="7" t="s">
        <v>603</v>
      </c>
    </row>
    <row r="269" spans="1:6" ht="30">
      <c r="A269" s="106"/>
      <c r="B269" s="5" t="s">
        <v>289</v>
      </c>
      <c r="C269" s="6"/>
      <c r="D269" s="7" t="s">
        <v>604</v>
      </c>
    </row>
    <row r="270" spans="1:6" ht="30">
      <c r="A270" s="106"/>
      <c r="B270" s="5" t="s">
        <v>286</v>
      </c>
      <c r="C270" s="6"/>
      <c r="D270" s="7" t="s">
        <v>605</v>
      </c>
    </row>
    <row r="271" spans="1:6">
      <c r="A271" s="106"/>
      <c r="B271" s="5" t="s">
        <v>283</v>
      </c>
      <c r="C271" s="6"/>
      <c r="D271" s="7" t="s">
        <v>606</v>
      </c>
    </row>
    <row r="272" spans="1:6">
      <c r="A272" s="106"/>
      <c r="B272" s="5" t="s">
        <v>276</v>
      </c>
      <c r="C272" s="6"/>
      <c r="D272" s="7" t="s">
        <v>607</v>
      </c>
    </row>
    <row r="273" spans="1:4">
      <c r="A273" s="106"/>
      <c r="B273" s="5" t="s">
        <v>273</v>
      </c>
      <c r="C273" s="6"/>
      <c r="D273" s="7" t="s">
        <v>608</v>
      </c>
    </row>
    <row r="274" spans="1:4" ht="30">
      <c r="A274" s="106"/>
      <c r="B274" s="5" t="s">
        <v>288</v>
      </c>
      <c r="C274" s="6"/>
      <c r="D274" s="7" t="s">
        <v>609</v>
      </c>
    </row>
    <row r="275" spans="1:4">
      <c r="A275" s="106"/>
      <c r="B275" s="5" t="s">
        <v>284</v>
      </c>
      <c r="C275" s="6"/>
      <c r="D275" s="7" t="s">
        <v>610</v>
      </c>
    </row>
    <row r="276" spans="1:4">
      <c r="A276" s="106"/>
      <c r="B276" s="5" t="s">
        <v>281</v>
      </c>
      <c r="C276" s="6"/>
      <c r="D276" s="7" t="s">
        <v>611</v>
      </c>
    </row>
    <row r="277" spans="1:4">
      <c r="A277" s="106"/>
      <c r="B277" s="5" t="s">
        <v>278</v>
      </c>
      <c r="C277" s="6"/>
      <c r="D277" s="7" t="s">
        <v>612</v>
      </c>
    </row>
    <row r="278" spans="1:4">
      <c r="A278" s="106"/>
      <c r="B278" s="5" t="s">
        <v>255</v>
      </c>
      <c r="C278" s="6"/>
      <c r="D278" s="7" t="s">
        <v>613</v>
      </c>
    </row>
    <row r="279" spans="1:4">
      <c r="A279" s="106"/>
      <c r="B279" s="5" t="s">
        <v>256</v>
      </c>
      <c r="C279" s="6"/>
      <c r="D279" s="7" t="s">
        <v>614</v>
      </c>
    </row>
    <row r="280" spans="1:4">
      <c r="A280" s="106"/>
      <c r="B280" s="5" t="s">
        <v>261</v>
      </c>
      <c r="C280" s="6"/>
      <c r="D280" s="7" t="s">
        <v>615</v>
      </c>
    </row>
    <row r="281" spans="1:4">
      <c r="A281" s="106"/>
      <c r="B281" s="5" t="s">
        <v>259</v>
      </c>
      <c r="C281" s="6"/>
      <c r="D281" s="7" t="s">
        <v>616</v>
      </c>
    </row>
    <row r="282" spans="1:4">
      <c r="A282" s="106"/>
      <c r="B282" s="5" t="s">
        <v>260</v>
      </c>
      <c r="C282" s="25"/>
      <c r="D282" s="7" t="s">
        <v>617</v>
      </c>
    </row>
    <row r="283" spans="1:4">
      <c r="A283" s="106"/>
      <c r="B283" s="5" t="s">
        <v>258</v>
      </c>
      <c r="C283" s="6"/>
      <c r="D283" s="7" t="s">
        <v>618</v>
      </c>
    </row>
    <row r="284" spans="1:4">
      <c r="A284" s="106"/>
      <c r="B284" s="5" t="s">
        <v>257</v>
      </c>
      <c r="C284" s="6"/>
      <c r="D284" s="7" t="s">
        <v>619</v>
      </c>
    </row>
    <row r="285" spans="1:4">
      <c r="A285" s="106"/>
      <c r="B285" s="5" t="s">
        <v>262</v>
      </c>
      <c r="C285" s="6"/>
      <c r="D285" s="7" t="s">
        <v>620</v>
      </c>
    </row>
    <row r="286" spans="1:4">
      <c r="A286" s="106" t="s">
        <v>27</v>
      </c>
      <c r="B286" s="12" t="s">
        <v>298</v>
      </c>
      <c r="D286" s="11" t="s">
        <v>628</v>
      </c>
    </row>
    <row r="287" spans="1:4">
      <c r="A287" s="106"/>
      <c r="B287" s="11" t="s">
        <v>297</v>
      </c>
      <c r="D287" s="11" t="s">
        <v>629</v>
      </c>
    </row>
    <row r="288" spans="1:4">
      <c r="A288" s="106"/>
      <c r="B288" s="11" t="s">
        <v>299</v>
      </c>
      <c r="D288" s="11" t="s">
        <v>630</v>
      </c>
    </row>
    <row r="289" spans="1:7">
      <c r="A289" s="106"/>
      <c r="B289" s="5" t="s">
        <v>624</v>
      </c>
      <c r="C289" s="3" t="s">
        <v>761</v>
      </c>
      <c r="D289" s="11" t="s">
        <v>631</v>
      </c>
      <c r="E289" s="3">
        <v>45</v>
      </c>
      <c r="F289" s="8">
        <f>E289/SUM($E$289:$E$291)</f>
        <v>0.14285714285714285</v>
      </c>
    </row>
    <row r="290" spans="1:7">
      <c r="A290" s="106"/>
      <c r="B290" s="12" t="s">
        <v>625</v>
      </c>
      <c r="C290" s="3" t="s">
        <v>763</v>
      </c>
      <c r="D290" s="11" t="s">
        <v>632</v>
      </c>
      <c r="E290" s="3">
        <v>260</v>
      </c>
      <c r="F290" s="8">
        <f t="shared" ref="F290:F291" si="11">E290/SUM($E$289:$E$291)</f>
        <v>0.82539682539682535</v>
      </c>
    </row>
    <row r="291" spans="1:7">
      <c r="A291" s="106"/>
      <c r="B291" s="12" t="s">
        <v>626</v>
      </c>
      <c r="C291" s="3" t="s">
        <v>762</v>
      </c>
      <c r="D291" s="11" t="s">
        <v>633</v>
      </c>
      <c r="E291" s="3">
        <v>10</v>
      </c>
      <c r="F291" s="8">
        <f t="shared" si="11"/>
        <v>3.1746031746031744E-2</v>
      </c>
    </row>
    <row r="292" spans="1:7">
      <c r="A292" s="106"/>
      <c r="B292" s="12" t="s">
        <v>627</v>
      </c>
      <c r="D292" s="11" t="s">
        <v>634</v>
      </c>
    </row>
    <row r="293" spans="1:7">
      <c r="A293" s="106"/>
      <c r="B293" s="12" t="s">
        <v>302</v>
      </c>
      <c r="D293" s="11"/>
      <c r="E293" s="8"/>
      <c r="F293" s="8">
        <f>F289*1.3/2.3</f>
        <v>8.0745341614906846E-2</v>
      </c>
    </row>
    <row r="294" spans="1:7">
      <c r="A294" s="106"/>
      <c r="B294" s="12" t="s">
        <v>301</v>
      </c>
      <c r="D294" s="11"/>
      <c r="E294" s="8"/>
      <c r="F294" s="8">
        <f>F289*1/2.3</f>
        <v>6.2111801242236024E-2</v>
      </c>
    </row>
    <row r="295" spans="1:7">
      <c r="A295" s="106"/>
      <c r="B295" s="12" t="s">
        <v>300</v>
      </c>
      <c r="D295" s="11"/>
      <c r="E295" s="8"/>
      <c r="F295" s="8">
        <f>F290</f>
        <v>0.82539682539682535</v>
      </c>
    </row>
    <row r="296" spans="1:7">
      <c r="A296" s="106"/>
      <c r="B296" s="12" t="s">
        <v>296</v>
      </c>
      <c r="D296" s="11"/>
      <c r="E296" s="8"/>
      <c r="F296" s="8">
        <f>F291</f>
        <v>3.1746031746031744E-2</v>
      </c>
    </row>
    <row r="297" spans="1:7">
      <c r="A297" s="106" t="s">
        <v>635</v>
      </c>
      <c r="B297" s="12" t="s">
        <v>305</v>
      </c>
      <c r="C297" s="13"/>
      <c r="D297" s="12" t="s">
        <v>636</v>
      </c>
    </row>
    <row r="298" spans="1:7">
      <c r="A298" s="106"/>
      <c r="B298" s="12" t="s">
        <v>307</v>
      </c>
      <c r="C298" s="13"/>
      <c r="D298" s="12" t="s">
        <v>637</v>
      </c>
    </row>
    <row r="299" spans="1:7">
      <c r="A299" s="106"/>
      <c r="B299" s="12" t="s">
        <v>309</v>
      </c>
      <c r="C299" s="13" t="s">
        <v>752</v>
      </c>
      <c r="D299" s="12" t="s">
        <v>638</v>
      </c>
      <c r="E299" s="3">
        <v>27</v>
      </c>
      <c r="F299" s="8">
        <v>1</v>
      </c>
    </row>
    <row r="300" spans="1:7">
      <c r="A300" s="106"/>
      <c r="B300" s="12" t="s">
        <v>303</v>
      </c>
      <c r="C300" s="13"/>
      <c r="D300" s="12" t="s">
        <v>639</v>
      </c>
    </row>
    <row r="301" spans="1:7">
      <c r="A301" s="106"/>
      <c r="B301" s="12" t="s">
        <v>308</v>
      </c>
      <c r="C301" s="13"/>
      <c r="D301" s="12" t="s">
        <v>640</v>
      </c>
    </row>
    <row r="302" spans="1:7">
      <c r="A302" s="106"/>
      <c r="B302" s="12" t="s">
        <v>304</v>
      </c>
      <c r="C302" s="13"/>
      <c r="D302" s="12" t="s">
        <v>641</v>
      </c>
    </row>
    <row r="303" spans="1:7">
      <c r="A303" s="106"/>
      <c r="B303" s="12" t="s">
        <v>306</v>
      </c>
      <c r="C303" s="13"/>
      <c r="D303" s="12" t="s">
        <v>642</v>
      </c>
    </row>
    <row r="304" spans="1:7">
      <c r="A304" s="26" t="s">
        <v>28</v>
      </c>
      <c r="B304" s="28" t="s">
        <v>310</v>
      </c>
      <c r="C304" s="27"/>
      <c r="D304" s="28" t="s">
        <v>643</v>
      </c>
      <c r="F304" s="8">
        <v>1</v>
      </c>
      <c r="G304" s="73" t="s">
        <v>925</v>
      </c>
    </row>
    <row r="305" spans="1:7">
      <c r="A305" s="24" t="s">
        <v>29</v>
      </c>
      <c r="B305" s="11" t="s">
        <v>311</v>
      </c>
      <c r="C305" s="7"/>
      <c r="D305" s="7" t="s">
        <v>644</v>
      </c>
      <c r="F305" s="8">
        <v>1</v>
      </c>
      <c r="G305" s="73" t="s">
        <v>925</v>
      </c>
    </row>
    <row r="306" spans="1:7">
      <c r="A306" s="106" t="s">
        <v>30</v>
      </c>
      <c r="B306" s="11" t="s">
        <v>33</v>
      </c>
      <c r="C306" s="7"/>
      <c r="D306" s="11" t="s">
        <v>645</v>
      </c>
      <c r="F306" s="8">
        <f t="shared" ref="F306:F307" si="12">1/3</f>
        <v>0.33333333333333331</v>
      </c>
      <c r="G306" s="73" t="s">
        <v>925</v>
      </c>
    </row>
    <row r="307" spans="1:7">
      <c r="A307" s="106"/>
      <c r="B307" s="11" t="s">
        <v>34</v>
      </c>
      <c r="C307" s="7"/>
      <c r="D307" s="11" t="s">
        <v>646</v>
      </c>
      <c r="F307" s="8">
        <f t="shared" si="12"/>
        <v>0.33333333333333331</v>
      </c>
      <c r="G307" s="73" t="s">
        <v>925</v>
      </c>
    </row>
    <row r="308" spans="1:7">
      <c r="A308" s="106"/>
      <c r="B308" s="11" t="s">
        <v>35</v>
      </c>
      <c r="C308" s="7"/>
      <c r="D308" s="11" t="s">
        <v>647</v>
      </c>
      <c r="F308" s="8">
        <f>1/3</f>
        <v>0.33333333333333331</v>
      </c>
      <c r="G308" s="73" t="s">
        <v>925</v>
      </c>
    </row>
    <row r="309" spans="1:7">
      <c r="A309" s="106" t="s">
        <v>31</v>
      </c>
      <c r="B309" s="11" t="s">
        <v>315</v>
      </c>
      <c r="C309" s="7"/>
      <c r="D309" s="11" t="s">
        <v>648</v>
      </c>
      <c r="F309" s="8">
        <f t="shared" ref="F309:F311" si="13">1/4</f>
        <v>0.25</v>
      </c>
      <c r="G309" s="73" t="s">
        <v>925</v>
      </c>
    </row>
    <row r="310" spans="1:7">
      <c r="A310" s="106"/>
      <c r="B310" s="11" t="s">
        <v>314</v>
      </c>
      <c r="C310" s="7"/>
      <c r="D310" s="11" t="s">
        <v>649</v>
      </c>
      <c r="F310" s="8">
        <f t="shared" si="13"/>
        <v>0.25</v>
      </c>
      <c r="G310" s="73" t="s">
        <v>925</v>
      </c>
    </row>
    <row r="311" spans="1:7">
      <c r="A311" s="106"/>
      <c r="B311" s="11" t="s">
        <v>313</v>
      </c>
      <c r="C311" s="7"/>
      <c r="D311" s="7" t="s">
        <v>650</v>
      </c>
      <c r="F311" s="8">
        <f t="shared" si="13"/>
        <v>0.25</v>
      </c>
      <c r="G311" s="73" t="s">
        <v>925</v>
      </c>
    </row>
    <row r="312" spans="1:7">
      <c r="A312" s="106"/>
      <c r="B312" s="11" t="s">
        <v>312</v>
      </c>
      <c r="C312" s="7"/>
      <c r="D312" s="7" t="s">
        <v>651</v>
      </c>
      <c r="F312" s="8">
        <f>1/4</f>
        <v>0.25</v>
      </c>
      <c r="G312" s="73" t="s">
        <v>925</v>
      </c>
    </row>
    <row r="313" spans="1:7">
      <c r="A313" s="26" t="s">
        <v>32</v>
      </c>
      <c r="B313" s="11" t="s">
        <v>1015</v>
      </c>
      <c r="F313" s="8">
        <v>1</v>
      </c>
      <c r="G313" s="73" t="s">
        <v>925</v>
      </c>
    </row>
    <row r="314" spans="1:7">
      <c r="A314" s="26" t="s">
        <v>1026</v>
      </c>
      <c r="B314" s="11" t="s">
        <v>654</v>
      </c>
      <c r="D314" s="3" t="s">
        <v>1026</v>
      </c>
      <c r="F314" s="8">
        <v>1</v>
      </c>
      <c r="G314" s="73" t="s">
        <v>925</v>
      </c>
    </row>
    <row r="315" spans="1:7">
      <c r="A315" s="26" t="s">
        <v>933</v>
      </c>
      <c r="B315" s="11" t="s">
        <v>653</v>
      </c>
      <c r="D315" s="3" t="s">
        <v>652</v>
      </c>
      <c r="F315" s="8">
        <v>1</v>
      </c>
      <c r="G315" s="7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5"/>
  <sheetViews>
    <sheetView topLeftCell="A68" workbookViewId="0">
      <selection activeCell="E9" sqref="E9"/>
    </sheetView>
    <sheetView workbookViewId="1"/>
  </sheetViews>
  <sheetFormatPr baseColWidth="10" defaultRowHeight="15.75"/>
  <cols>
    <col min="1" max="1" width="19" bestFit="1" customWidth="1"/>
    <col min="2" max="2" width="6.125" bestFit="1" customWidth="1"/>
    <col min="3" max="3" width="17.875" customWidth="1"/>
    <col min="4" max="4" width="20.625" bestFit="1" customWidth="1"/>
    <col min="5" max="5" width="22.375" bestFit="1" customWidth="1"/>
    <col min="6" max="6" width="10" style="67" bestFit="1" customWidth="1"/>
  </cols>
  <sheetData>
    <row r="1" spans="1:14">
      <c r="A1" s="46" t="s">
        <v>0</v>
      </c>
      <c r="B1" s="46" t="s">
        <v>1</v>
      </c>
      <c r="C1" s="46" t="s">
        <v>2</v>
      </c>
      <c r="D1" s="46" t="s">
        <v>655</v>
      </c>
      <c r="E1" s="46" t="s">
        <v>875</v>
      </c>
      <c r="F1" s="69" t="s">
        <v>876</v>
      </c>
      <c r="G1" s="2" t="s">
        <v>1106</v>
      </c>
      <c r="H1" s="2" t="s">
        <v>1109</v>
      </c>
      <c r="I1" s="2" t="s">
        <v>1110</v>
      </c>
      <c r="J1" s="47"/>
      <c r="K1" s="47"/>
      <c r="L1" s="47"/>
      <c r="M1" s="47"/>
      <c r="N1" s="47"/>
    </row>
    <row r="2" spans="1:14" ht="57.75">
      <c r="A2" s="107" t="s">
        <v>3</v>
      </c>
      <c r="B2" s="49" t="s">
        <v>36</v>
      </c>
      <c r="C2" s="37"/>
      <c r="D2" s="20" t="s">
        <v>621</v>
      </c>
      <c r="E2" s="47"/>
      <c r="F2" s="70"/>
      <c r="G2" s="47"/>
      <c r="H2" s="99">
        <f>365/1000</f>
        <v>0.36499999999999999</v>
      </c>
      <c r="I2" s="47"/>
      <c r="J2" s="50"/>
      <c r="K2" s="47"/>
      <c r="L2" s="47"/>
      <c r="M2" s="47"/>
      <c r="N2" s="47"/>
    </row>
    <row r="3" spans="1:14">
      <c r="A3" s="107"/>
      <c r="B3" s="49" t="s">
        <v>46</v>
      </c>
      <c r="C3" s="37" t="s">
        <v>656</v>
      </c>
      <c r="D3" s="20" t="s">
        <v>316</v>
      </c>
      <c r="E3" s="47">
        <f>1800*365/1000</f>
        <v>657</v>
      </c>
      <c r="F3" s="70">
        <f t="shared" ref="F3:F9" si="0">E3/SUM(E$2:E$12)</f>
        <v>0.6</v>
      </c>
      <c r="G3" s="47" t="s">
        <v>948</v>
      </c>
      <c r="H3" s="51"/>
      <c r="I3" s="47"/>
      <c r="J3" s="50"/>
      <c r="K3" s="47"/>
      <c r="L3" s="47"/>
      <c r="M3" s="47"/>
      <c r="N3" s="47"/>
    </row>
    <row r="4" spans="1:14">
      <c r="A4" s="107"/>
      <c r="B4" s="49" t="s">
        <v>40</v>
      </c>
      <c r="C4" s="37"/>
      <c r="D4" s="20" t="s">
        <v>317</v>
      </c>
      <c r="E4" s="47"/>
      <c r="F4" s="70"/>
      <c r="G4" s="47"/>
      <c r="H4" s="47"/>
      <c r="I4" s="47"/>
      <c r="J4" s="50"/>
      <c r="K4" s="47"/>
      <c r="L4" s="47"/>
      <c r="M4" s="47"/>
      <c r="N4" s="47"/>
    </row>
    <row r="5" spans="1:14">
      <c r="A5" s="107"/>
      <c r="B5" s="49" t="s">
        <v>44</v>
      </c>
      <c r="C5" s="37"/>
      <c r="D5" s="20" t="s">
        <v>318</v>
      </c>
      <c r="E5" s="47"/>
      <c r="F5" s="70"/>
      <c r="G5" s="47"/>
      <c r="H5" s="47"/>
      <c r="I5" s="47"/>
      <c r="J5" s="50"/>
      <c r="K5" s="47"/>
      <c r="L5" s="47"/>
      <c r="M5" s="47"/>
      <c r="N5" s="47"/>
    </row>
    <row r="6" spans="1:14">
      <c r="A6" s="107"/>
      <c r="B6" s="49" t="s">
        <v>45</v>
      </c>
      <c r="C6" s="37"/>
      <c r="D6" s="20" t="s">
        <v>319</v>
      </c>
      <c r="E6" s="47"/>
      <c r="F6" s="70"/>
      <c r="G6" s="47"/>
      <c r="H6" s="47"/>
      <c r="I6" s="47"/>
      <c r="J6" s="50"/>
      <c r="K6" s="47"/>
      <c r="L6" s="47"/>
      <c r="M6" s="47"/>
      <c r="N6" s="47"/>
    </row>
    <row r="7" spans="1:14">
      <c r="A7" s="107"/>
      <c r="B7" s="49" t="s">
        <v>37</v>
      </c>
      <c r="C7" s="37"/>
      <c r="D7" s="20" t="s">
        <v>320</v>
      </c>
      <c r="E7" s="47"/>
      <c r="F7" s="70"/>
      <c r="G7" s="47"/>
      <c r="H7" s="47"/>
      <c r="I7" s="47"/>
      <c r="J7" s="50"/>
      <c r="K7" s="47"/>
      <c r="L7" s="47"/>
      <c r="M7" s="47"/>
      <c r="N7" s="47"/>
    </row>
    <row r="8" spans="1:14">
      <c r="A8" s="107"/>
      <c r="B8" s="49" t="s">
        <v>43</v>
      </c>
      <c r="C8" s="37"/>
      <c r="D8" s="20" t="s">
        <v>321</v>
      </c>
      <c r="E8" s="47"/>
      <c r="F8" s="70"/>
      <c r="G8" s="47"/>
      <c r="H8" s="47"/>
      <c r="I8" s="47"/>
      <c r="J8" s="50"/>
      <c r="K8" s="47"/>
      <c r="L8" s="47"/>
      <c r="M8" s="47"/>
      <c r="N8" s="47"/>
    </row>
    <row r="9" spans="1:14">
      <c r="A9" s="107"/>
      <c r="B9" s="49" t="s">
        <v>42</v>
      </c>
      <c r="C9" s="37" t="s">
        <v>892</v>
      </c>
      <c r="D9" s="20" t="s">
        <v>322</v>
      </c>
      <c r="E9" s="47">
        <f>1200*365/1000</f>
        <v>438</v>
      </c>
      <c r="F9" s="70">
        <f t="shared" si="0"/>
        <v>0.4</v>
      </c>
      <c r="G9" s="47" t="s">
        <v>948</v>
      </c>
      <c r="H9" s="47"/>
      <c r="I9" s="47"/>
      <c r="J9" s="50"/>
      <c r="K9" s="47"/>
      <c r="L9" s="47"/>
      <c r="M9" s="47"/>
      <c r="N9" s="47"/>
    </row>
    <row r="10" spans="1:14">
      <c r="A10" s="107"/>
      <c r="B10" s="49" t="s">
        <v>41</v>
      </c>
      <c r="C10" s="37"/>
      <c r="D10" s="20" t="s">
        <v>323</v>
      </c>
      <c r="E10" s="47"/>
      <c r="F10" s="70"/>
      <c r="G10" s="47"/>
      <c r="H10" s="47"/>
      <c r="I10" s="47"/>
      <c r="J10" s="50"/>
      <c r="K10" s="47"/>
      <c r="L10" s="47"/>
      <c r="M10" s="47"/>
      <c r="N10" s="47"/>
    </row>
    <row r="11" spans="1:14">
      <c r="A11" s="107"/>
      <c r="B11" s="49" t="s">
        <v>39</v>
      </c>
      <c r="C11" s="37"/>
      <c r="D11" s="20" t="s">
        <v>324</v>
      </c>
      <c r="E11" s="47"/>
      <c r="F11" s="70"/>
      <c r="G11" s="47"/>
      <c r="H11" s="47"/>
      <c r="I11" s="47"/>
      <c r="J11" s="50"/>
      <c r="K11" s="47"/>
      <c r="L11" s="47"/>
      <c r="M11" s="47"/>
      <c r="N11" s="47"/>
    </row>
    <row r="12" spans="1:14">
      <c r="A12" s="107"/>
      <c r="B12" s="49" t="s">
        <v>38</v>
      </c>
      <c r="C12" s="37"/>
      <c r="D12" s="20" t="s">
        <v>325</v>
      </c>
      <c r="E12" s="47"/>
      <c r="F12" s="70"/>
      <c r="G12" s="47"/>
      <c r="H12" s="47"/>
      <c r="I12" s="47"/>
      <c r="J12" s="50"/>
      <c r="K12" s="47"/>
      <c r="L12" s="47"/>
      <c r="M12" s="47"/>
      <c r="N12" s="47"/>
    </row>
    <row r="13" spans="1:14">
      <c r="A13" s="107" t="s">
        <v>4</v>
      </c>
      <c r="B13" s="49" t="s">
        <v>47</v>
      </c>
      <c r="C13" s="37"/>
      <c r="D13" s="20" t="s">
        <v>326</v>
      </c>
      <c r="E13" s="47"/>
      <c r="F13" s="70"/>
      <c r="G13" s="47"/>
      <c r="H13" s="47"/>
      <c r="I13" s="47"/>
      <c r="J13" s="50"/>
      <c r="K13" s="47"/>
      <c r="L13" s="47"/>
      <c r="M13" s="47"/>
      <c r="N13" s="47"/>
    </row>
    <row r="14" spans="1:14">
      <c r="A14" s="107"/>
      <c r="B14" s="49" t="s">
        <v>49</v>
      </c>
      <c r="C14" s="37"/>
      <c r="D14" s="20" t="s">
        <v>327</v>
      </c>
      <c r="E14" s="47"/>
      <c r="F14" s="70"/>
      <c r="G14" s="47"/>
      <c r="H14" s="47"/>
      <c r="I14" s="47"/>
      <c r="J14" s="50"/>
      <c r="K14" s="47"/>
      <c r="L14" s="47"/>
      <c r="M14" s="47"/>
      <c r="N14" s="47"/>
    </row>
    <row r="15" spans="1:14">
      <c r="A15" s="107"/>
      <c r="B15" s="49" t="s">
        <v>50</v>
      </c>
      <c r="C15" s="37" t="s">
        <v>906</v>
      </c>
      <c r="D15" s="20" t="s">
        <v>328</v>
      </c>
      <c r="E15" s="47">
        <f>1118/3</f>
        <v>372.66666666666669</v>
      </c>
      <c r="F15" s="70">
        <f t="shared" ref="F15:F18" si="1">E15/SUM(E$13:E$18)</f>
        <v>0.33333333333333337</v>
      </c>
      <c r="G15" s="47" t="s">
        <v>1105</v>
      </c>
      <c r="H15" s="47"/>
      <c r="I15" s="47"/>
      <c r="J15" s="50"/>
      <c r="K15" s="47"/>
      <c r="L15" s="47"/>
      <c r="M15" s="47"/>
      <c r="N15" s="47"/>
    </row>
    <row r="16" spans="1:14">
      <c r="A16" s="107"/>
      <c r="B16" s="49" t="s">
        <v>51</v>
      </c>
      <c r="C16" s="37"/>
      <c r="D16" s="20" t="s">
        <v>329</v>
      </c>
      <c r="E16" s="47"/>
      <c r="F16" s="70"/>
      <c r="G16" s="47"/>
      <c r="H16" s="47"/>
      <c r="I16" s="47"/>
      <c r="J16" s="50"/>
      <c r="K16" s="47"/>
      <c r="L16" s="47"/>
      <c r="M16" s="47"/>
      <c r="N16" s="47"/>
    </row>
    <row r="17" spans="1:14">
      <c r="A17" s="107"/>
      <c r="B17" s="49" t="s">
        <v>52</v>
      </c>
      <c r="C17" s="37" t="s">
        <v>904</v>
      </c>
      <c r="D17" s="20" t="s">
        <v>330</v>
      </c>
      <c r="E17" s="47">
        <f>1118/3</f>
        <v>372.66666666666669</v>
      </c>
      <c r="F17" s="70">
        <f t="shared" si="1"/>
        <v>0.33333333333333337</v>
      </c>
      <c r="G17" s="47" t="s">
        <v>1105</v>
      </c>
      <c r="H17" s="47"/>
      <c r="I17" s="47"/>
      <c r="J17" s="50"/>
      <c r="K17" s="47"/>
      <c r="L17" s="47"/>
      <c r="M17" s="47"/>
      <c r="N17" s="47"/>
    </row>
    <row r="18" spans="1:14">
      <c r="A18" s="107"/>
      <c r="B18" s="49" t="s">
        <v>48</v>
      </c>
      <c r="C18" s="37" t="s">
        <v>905</v>
      </c>
      <c r="D18" s="20" t="s">
        <v>331</v>
      </c>
      <c r="E18" s="47">
        <f>1118/3</f>
        <v>372.66666666666669</v>
      </c>
      <c r="F18" s="70">
        <f t="shared" si="1"/>
        <v>0.33333333333333337</v>
      </c>
      <c r="G18" s="47" t="s">
        <v>1105</v>
      </c>
      <c r="H18" s="47"/>
      <c r="I18" s="47"/>
      <c r="J18" s="50"/>
      <c r="K18" s="47"/>
      <c r="L18" s="47"/>
      <c r="M18" s="47"/>
      <c r="N18" s="47"/>
    </row>
    <row r="19" spans="1:14">
      <c r="A19" s="107" t="s">
        <v>5</v>
      </c>
      <c r="B19" s="49" t="s">
        <v>54</v>
      </c>
      <c r="C19" s="37" t="s">
        <v>901</v>
      </c>
      <c r="D19" s="20" t="s">
        <v>332</v>
      </c>
      <c r="E19" s="47"/>
      <c r="G19" s="47"/>
      <c r="H19" s="47"/>
      <c r="I19" s="47"/>
      <c r="J19" s="50"/>
      <c r="K19" s="47"/>
      <c r="L19" s="47"/>
      <c r="M19" s="47"/>
      <c r="N19" s="47"/>
    </row>
    <row r="20" spans="1:14">
      <c r="A20" s="107"/>
      <c r="B20" s="49" t="s">
        <v>53</v>
      </c>
      <c r="C20" s="37"/>
      <c r="D20" s="20" t="s">
        <v>333</v>
      </c>
      <c r="E20" s="47"/>
      <c r="F20" s="70"/>
      <c r="G20" s="47"/>
      <c r="H20" s="47"/>
      <c r="I20" s="47"/>
      <c r="J20" s="50"/>
      <c r="K20" s="47"/>
      <c r="L20" s="47"/>
      <c r="M20" s="47"/>
      <c r="N20" s="47"/>
    </row>
    <row r="21" spans="1:14">
      <c r="A21" s="107"/>
      <c r="B21" s="49" t="s">
        <v>60</v>
      </c>
      <c r="C21" s="37"/>
      <c r="D21" s="20" t="s">
        <v>334</v>
      </c>
      <c r="E21" s="47"/>
      <c r="F21" s="70"/>
      <c r="G21" s="47"/>
      <c r="H21" s="47"/>
      <c r="I21" s="47"/>
      <c r="J21" s="50"/>
      <c r="K21" s="47"/>
      <c r="L21" s="47"/>
      <c r="M21" s="47"/>
      <c r="N21" s="47"/>
    </row>
    <row r="22" spans="1:14">
      <c r="A22" s="107"/>
      <c r="B22" s="49" t="s">
        <v>58</v>
      </c>
      <c r="C22" s="52" t="s">
        <v>658</v>
      </c>
      <c r="D22" s="20" t="s">
        <v>335</v>
      </c>
      <c r="E22" s="47">
        <f>1150*365/1000</f>
        <v>419.75</v>
      </c>
      <c r="F22" s="70">
        <v>1</v>
      </c>
      <c r="G22" s="47" t="s">
        <v>948</v>
      </c>
      <c r="H22" s="47"/>
      <c r="I22" s="47"/>
      <c r="J22" s="50"/>
      <c r="K22" s="47"/>
      <c r="L22" s="47"/>
      <c r="M22" s="47"/>
      <c r="N22" s="47"/>
    </row>
    <row r="23" spans="1:14">
      <c r="A23" s="107"/>
      <c r="B23" s="49" t="s">
        <v>57</v>
      </c>
      <c r="C23" s="37"/>
      <c r="D23" s="20" t="s">
        <v>336</v>
      </c>
      <c r="E23" s="47"/>
      <c r="F23" s="70"/>
      <c r="G23" s="47"/>
      <c r="H23" s="47"/>
      <c r="I23" s="47"/>
      <c r="J23" s="50"/>
      <c r="K23" s="47"/>
      <c r="L23" s="47"/>
      <c r="M23" s="47"/>
      <c r="N23" s="47"/>
    </row>
    <row r="24" spans="1:14">
      <c r="A24" s="107"/>
      <c r="B24" s="49" t="s">
        <v>59</v>
      </c>
      <c r="C24" s="37"/>
      <c r="D24" s="20" t="s">
        <v>337</v>
      </c>
      <c r="E24" s="47"/>
      <c r="F24" s="70"/>
      <c r="G24" s="47"/>
      <c r="H24" s="47"/>
      <c r="I24" s="47"/>
      <c r="J24" s="50"/>
      <c r="K24" s="47"/>
      <c r="L24" s="47"/>
      <c r="M24" s="47"/>
      <c r="N24" s="47"/>
    </row>
    <row r="25" spans="1:14">
      <c r="A25" s="107"/>
      <c r="B25" s="49" t="s">
        <v>55</v>
      </c>
      <c r="C25" s="37"/>
      <c r="D25" s="20" t="s">
        <v>338</v>
      </c>
      <c r="E25" s="47"/>
      <c r="F25" s="70"/>
      <c r="G25" s="47"/>
      <c r="H25" s="47"/>
      <c r="I25" s="47"/>
      <c r="J25" s="50"/>
      <c r="K25" s="47"/>
      <c r="L25" s="47"/>
      <c r="M25" s="47"/>
      <c r="N25" s="47"/>
    </row>
    <row r="26" spans="1:14">
      <c r="A26" s="107"/>
      <c r="B26" s="49" t="s">
        <v>56</v>
      </c>
      <c r="C26" s="37"/>
      <c r="D26" s="20" t="s">
        <v>339</v>
      </c>
      <c r="E26" s="47"/>
      <c r="F26" s="70"/>
      <c r="G26" s="47"/>
      <c r="H26" s="47"/>
      <c r="I26" s="47"/>
      <c r="J26" s="50"/>
      <c r="K26" s="47"/>
      <c r="L26" s="47"/>
      <c r="M26" s="47"/>
      <c r="N26" s="47"/>
    </row>
    <row r="27" spans="1:14">
      <c r="A27" s="107" t="s">
        <v>6</v>
      </c>
      <c r="B27" s="49" t="s">
        <v>64</v>
      </c>
      <c r="C27" s="37"/>
      <c r="D27" s="20" t="s">
        <v>340</v>
      </c>
      <c r="E27" s="47"/>
      <c r="F27" s="70">
        <f xml:space="preserve"> 1/ ROWS(B27:B31)</f>
        <v>0.2</v>
      </c>
      <c r="G27" s="47" t="s">
        <v>925</v>
      </c>
      <c r="H27" s="47"/>
      <c r="I27" s="47"/>
      <c r="J27" s="50"/>
      <c r="K27" s="47"/>
      <c r="L27" s="47"/>
      <c r="M27" s="47"/>
      <c r="N27" s="47"/>
    </row>
    <row r="28" spans="1:14">
      <c r="A28" s="107"/>
      <c r="B28" s="49" t="s">
        <v>61</v>
      </c>
      <c r="C28" s="37"/>
      <c r="D28" s="20" t="s">
        <v>341</v>
      </c>
      <c r="E28" s="47"/>
      <c r="F28" s="70">
        <f t="shared" ref="F28:F31" si="2" xml:space="preserve"> 1/ ROWS(B28:B32)</f>
        <v>0.2</v>
      </c>
      <c r="G28" s="47" t="s">
        <v>925</v>
      </c>
      <c r="H28" s="47"/>
      <c r="I28" s="47"/>
      <c r="J28" s="50"/>
      <c r="K28" s="47"/>
      <c r="L28" s="47"/>
      <c r="M28" s="47"/>
      <c r="N28" s="47"/>
    </row>
    <row r="29" spans="1:14">
      <c r="A29" s="107"/>
      <c r="B29" s="49" t="s">
        <v>63</v>
      </c>
      <c r="C29" s="37"/>
      <c r="D29" s="20" t="s">
        <v>342</v>
      </c>
      <c r="E29" s="47"/>
      <c r="F29" s="70">
        <f t="shared" si="2"/>
        <v>0.2</v>
      </c>
      <c r="G29" s="47" t="s">
        <v>925</v>
      </c>
      <c r="H29" s="47"/>
      <c r="I29" s="47"/>
      <c r="J29" s="50"/>
      <c r="K29" s="47"/>
      <c r="L29" s="47"/>
      <c r="M29" s="47"/>
      <c r="N29" s="47"/>
    </row>
    <row r="30" spans="1:14">
      <c r="A30" s="107"/>
      <c r="B30" s="49" t="s">
        <v>65</v>
      </c>
      <c r="C30" s="37"/>
      <c r="D30" s="20" t="s">
        <v>343</v>
      </c>
      <c r="E30" s="47"/>
      <c r="F30" s="70">
        <f t="shared" si="2"/>
        <v>0.2</v>
      </c>
      <c r="G30" s="47" t="s">
        <v>925</v>
      </c>
      <c r="H30" s="47"/>
      <c r="I30" s="47"/>
      <c r="J30" s="50"/>
      <c r="K30" s="47"/>
      <c r="L30" s="47"/>
      <c r="M30" s="47"/>
      <c r="N30" s="47"/>
    </row>
    <row r="31" spans="1:14">
      <c r="A31" s="107"/>
      <c r="B31" s="49" t="s">
        <v>62</v>
      </c>
      <c r="C31" s="37"/>
      <c r="D31" s="20" t="s">
        <v>344</v>
      </c>
      <c r="E31" s="47"/>
      <c r="F31" s="70">
        <f t="shared" si="2"/>
        <v>0.2</v>
      </c>
      <c r="G31" s="47" t="s">
        <v>925</v>
      </c>
      <c r="H31" s="47"/>
      <c r="I31" s="47"/>
      <c r="J31" s="50"/>
      <c r="K31" s="47"/>
      <c r="L31" s="47"/>
      <c r="M31" s="47"/>
      <c r="N31" s="47"/>
    </row>
    <row r="32" spans="1:14">
      <c r="A32" s="107" t="s">
        <v>7</v>
      </c>
      <c r="B32" s="49" t="s">
        <v>101</v>
      </c>
      <c r="C32" s="37"/>
      <c r="D32" s="20" t="s">
        <v>345</v>
      </c>
      <c r="E32" s="47"/>
      <c r="F32" s="70"/>
      <c r="G32" s="47"/>
      <c r="H32" s="47"/>
      <c r="I32" s="47"/>
      <c r="J32" s="50"/>
      <c r="K32" s="47"/>
      <c r="L32" s="47"/>
      <c r="M32" s="47"/>
      <c r="N32" s="47"/>
    </row>
    <row r="33" spans="1:14">
      <c r="A33" s="107"/>
      <c r="B33" s="49" t="s">
        <v>102</v>
      </c>
      <c r="C33" s="37"/>
      <c r="D33" s="20" t="s">
        <v>346</v>
      </c>
      <c r="E33" s="47"/>
      <c r="F33" s="70"/>
      <c r="G33" s="47"/>
      <c r="H33" s="47"/>
      <c r="I33" s="47"/>
      <c r="J33" s="50"/>
      <c r="K33" s="47"/>
      <c r="L33" s="47"/>
      <c r="M33" s="47"/>
      <c r="N33" s="47"/>
    </row>
    <row r="34" spans="1:14">
      <c r="A34" s="107"/>
      <c r="B34" s="49" t="s">
        <v>103</v>
      </c>
      <c r="C34" s="37"/>
      <c r="D34" s="20" t="s">
        <v>347</v>
      </c>
      <c r="E34" s="47"/>
      <c r="F34" s="70"/>
      <c r="G34" s="47"/>
      <c r="H34" s="47"/>
      <c r="I34" s="47"/>
      <c r="J34" s="50"/>
      <c r="K34" s="47"/>
      <c r="L34" s="47"/>
      <c r="M34" s="47"/>
      <c r="N34" s="47"/>
    </row>
    <row r="35" spans="1:14">
      <c r="A35" s="107"/>
      <c r="B35" s="49" t="s">
        <v>100</v>
      </c>
      <c r="C35" s="37"/>
      <c r="D35" s="20" t="s">
        <v>348</v>
      </c>
      <c r="E35" s="47"/>
      <c r="F35" s="70"/>
      <c r="G35" s="47"/>
      <c r="H35" s="47"/>
      <c r="I35" s="47"/>
      <c r="J35" s="50"/>
      <c r="K35" s="47"/>
      <c r="L35" s="47"/>
      <c r="M35" s="47"/>
      <c r="N35" s="47"/>
    </row>
    <row r="36" spans="1:14">
      <c r="A36" s="107"/>
      <c r="B36" s="49" t="s">
        <v>97</v>
      </c>
      <c r="C36" s="54"/>
      <c r="D36" s="20" t="s">
        <v>349</v>
      </c>
      <c r="E36" s="47"/>
      <c r="F36" s="70"/>
      <c r="G36" s="47"/>
      <c r="H36" s="47"/>
      <c r="I36" s="47"/>
      <c r="J36" s="50"/>
      <c r="K36" s="47"/>
      <c r="L36" s="47"/>
      <c r="M36" s="47"/>
      <c r="N36" s="47"/>
    </row>
    <row r="37" spans="1:14">
      <c r="A37" s="107"/>
      <c r="B37" s="49" t="s">
        <v>98</v>
      </c>
      <c r="C37" s="37"/>
      <c r="D37" s="20" t="s">
        <v>350</v>
      </c>
      <c r="E37" s="47"/>
      <c r="F37" s="70"/>
      <c r="G37" s="47"/>
      <c r="H37" s="47"/>
      <c r="I37" s="47"/>
      <c r="J37" s="50"/>
      <c r="K37" s="47"/>
      <c r="L37" s="47"/>
      <c r="M37" s="47"/>
      <c r="N37" s="47"/>
    </row>
    <row r="38" spans="1:14">
      <c r="A38" s="107"/>
      <c r="B38" s="49" t="s">
        <v>95</v>
      </c>
      <c r="C38" s="37"/>
      <c r="D38" s="20" t="s">
        <v>351</v>
      </c>
      <c r="E38" s="47"/>
      <c r="F38" s="70"/>
      <c r="G38" s="47"/>
      <c r="H38" s="47"/>
      <c r="I38" s="47"/>
      <c r="J38" s="50"/>
      <c r="K38" s="47"/>
      <c r="L38" s="47"/>
      <c r="M38" s="47"/>
      <c r="N38" s="47"/>
    </row>
    <row r="39" spans="1:14">
      <c r="A39" s="107"/>
      <c r="B39" s="49" t="s">
        <v>96</v>
      </c>
      <c r="C39" s="37"/>
      <c r="D39" s="20" t="s">
        <v>352</v>
      </c>
      <c r="E39" s="47"/>
      <c r="F39" s="70"/>
      <c r="G39" s="47"/>
      <c r="H39" s="47"/>
      <c r="I39" s="47"/>
      <c r="J39" s="50"/>
      <c r="K39" s="47"/>
      <c r="L39" s="47"/>
      <c r="M39" s="47"/>
      <c r="N39" s="47"/>
    </row>
    <row r="40" spans="1:14">
      <c r="A40" s="107"/>
      <c r="B40" s="49" t="s">
        <v>99</v>
      </c>
      <c r="C40" s="37"/>
      <c r="D40" s="20" t="s">
        <v>353</v>
      </c>
      <c r="E40" s="47"/>
      <c r="F40" s="70"/>
      <c r="G40" s="47"/>
      <c r="H40" s="47"/>
      <c r="I40" s="47"/>
      <c r="J40" s="50"/>
      <c r="K40" s="47"/>
      <c r="L40" s="47"/>
      <c r="M40" s="47"/>
      <c r="N40" s="47"/>
    </row>
    <row r="41" spans="1:14">
      <c r="A41" s="107"/>
      <c r="B41" s="49" t="s">
        <v>93</v>
      </c>
      <c r="C41" s="37"/>
      <c r="D41" s="20" t="s">
        <v>354</v>
      </c>
      <c r="E41" s="47"/>
      <c r="F41" s="70"/>
      <c r="G41" s="47"/>
      <c r="H41" s="47"/>
      <c r="I41" s="47"/>
      <c r="J41" s="50"/>
      <c r="K41" s="47"/>
      <c r="L41" s="47"/>
      <c r="M41" s="47"/>
      <c r="N41" s="47"/>
    </row>
    <row r="42" spans="1:14">
      <c r="A42" s="107"/>
      <c r="B42" s="49" t="s">
        <v>94</v>
      </c>
      <c r="C42" s="37"/>
      <c r="D42" s="20" t="s">
        <v>355</v>
      </c>
      <c r="E42" s="47"/>
      <c r="F42" s="70"/>
      <c r="G42" s="47"/>
      <c r="H42" s="47"/>
      <c r="I42" s="47"/>
      <c r="J42" s="50"/>
      <c r="K42" s="47"/>
      <c r="L42" s="47"/>
      <c r="M42" s="47"/>
      <c r="N42" s="47"/>
    </row>
    <row r="43" spans="1:14">
      <c r="A43" s="107"/>
      <c r="B43" s="49" t="s">
        <v>92</v>
      </c>
      <c r="C43" s="37"/>
      <c r="D43" s="20" t="s">
        <v>356</v>
      </c>
      <c r="E43" s="47"/>
      <c r="F43" s="70"/>
      <c r="G43" s="47"/>
      <c r="H43" s="47"/>
      <c r="I43" s="47"/>
      <c r="J43" s="50"/>
      <c r="K43" s="47"/>
      <c r="L43" s="47"/>
      <c r="M43" s="47"/>
      <c r="N43" s="47"/>
    </row>
    <row r="44" spans="1:14">
      <c r="A44" s="107"/>
      <c r="B44" s="49" t="s">
        <v>91</v>
      </c>
      <c r="C44" s="37"/>
      <c r="D44" s="20" t="s">
        <v>357</v>
      </c>
      <c r="E44" s="47"/>
      <c r="F44" s="70"/>
      <c r="G44" s="47"/>
      <c r="H44" s="47"/>
      <c r="I44" s="47"/>
      <c r="J44" s="50"/>
      <c r="K44" s="47"/>
      <c r="L44" s="47"/>
      <c r="M44" s="47"/>
      <c r="N44" s="47"/>
    </row>
    <row r="45" spans="1:14">
      <c r="A45" s="107"/>
      <c r="B45" s="49" t="s">
        <v>90</v>
      </c>
      <c r="C45" s="37"/>
      <c r="D45" s="20" t="s">
        <v>358</v>
      </c>
      <c r="E45" s="47"/>
      <c r="F45" s="70"/>
      <c r="G45" s="47"/>
      <c r="H45" s="47"/>
      <c r="I45" s="47"/>
      <c r="J45" s="50"/>
      <c r="K45" s="47"/>
      <c r="L45" s="47"/>
      <c r="M45" s="47"/>
      <c r="N45" s="47"/>
    </row>
    <row r="46" spans="1:14">
      <c r="A46" s="107"/>
      <c r="B46" s="49" t="s">
        <v>89</v>
      </c>
      <c r="C46" s="37"/>
      <c r="D46" s="20" t="s">
        <v>359</v>
      </c>
      <c r="E46" s="47"/>
      <c r="F46" s="70"/>
      <c r="G46" s="47"/>
      <c r="H46" s="47"/>
      <c r="I46" s="47"/>
      <c r="J46" s="50"/>
      <c r="K46" s="47"/>
      <c r="L46" s="47"/>
      <c r="M46" s="47"/>
      <c r="N46" s="47"/>
    </row>
    <row r="47" spans="1:14">
      <c r="A47" s="107"/>
      <c r="B47" s="49" t="s">
        <v>88</v>
      </c>
      <c r="C47" s="37"/>
      <c r="D47" s="20" t="s">
        <v>360</v>
      </c>
      <c r="E47" s="47"/>
      <c r="F47" s="70"/>
      <c r="G47" s="47"/>
      <c r="H47" s="47"/>
      <c r="I47" s="47"/>
      <c r="J47" s="50"/>
      <c r="K47" s="47"/>
      <c r="L47" s="47"/>
      <c r="M47" s="47"/>
      <c r="N47" s="47"/>
    </row>
    <row r="48" spans="1:14">
      <c r="A48" s="107"/>
      <c r="B48" s="49" t="s">
        <v>87</v>
      </c>
      <c r="C48" s="37"/>
      <c r="D48" s="20" t="s">
        <v>361</v>
      </c>
      <c r="E48" s="47"/>
      <c r="F48" s="70"/>
      <c r="G48" s="47"/>
      <c r="H48" s="47"/>
      <c r="I48" s="47"/>
      <c r="J48" s="50"/>
      <c r="K48" s="47"/>
      <c r="L48" s="47"/>
      <c r="M48" s="47"/>
      <c r="N48" s="47"/>
    </row>
    <row r="49" spans="1:14">
      <c r="A49" s="107"/>
      <c r="B49" s="49" t="s">
        <v>86</v>
      </c>
      <c r="C49" s="37"/>
      <c r="D49" s="20" t="s">
        <v>362</v>
      </c>
      <c r="E49" s="47"/>
      <c r="F49" s="70"/>
      <c r="G49" s="47"/>
      <c r="H49" s="47"/>
      <c r="I49" s="47"/>
      <c r="J49" s="50"/>
      <c r="K49" s="47"/>
      <c r="L49" s="47"/>
      <c r="M49" s="47"/>
      <c r="N49" s="47"/>
    </row>
    <row r="50" spans="1:14" ht="29.25">
      <c r="A50" s="107"/>
      <c r="B50" s="49" t="s">
        <v>85</v>
      </c>
      <c r="C50" s="37"/>
      <c r="D50" s="20" t="s">
        <v>363</v>
      </c>
      <c r="E50" s="47"/>
      <c r="F50" s="70"/>
      <c r="G50" s="47"/>
      <c r="H50" s="47"/>
      <c r="I50" s="47"/>
      <c r="J50" s="50"/>
      <c r="K50" s="47"/>
      <c r="L50" s="47"/>
      <c r="M50" s="47"/>
      <c r="N50" s="47"/>
    </row>
    <row r="51" spans="1:14">
      <c r="A51" s="107"/>
      <c r="B51" s="49" t="s">
        <v>84</v>
      </c>
      <c r="C51" s="37"/>
      <c r="D51" s="20" t="s">
        <v>364</v>
      </c>
      <c r="E51" s="47"/>
      <c r="F51" s="70"/>
      <c r="G51" s="47"/>
      <c r="H51" s="47"/>
      <c r="I51" s="47"/>
      <c r="J51" s="50"/>
      <c r="K51" s="47"/>
      <c r="L51" s="47"/>
      <c r="M51" s="47"/>
      <c r="N51" s="47"/>
    </row>
    <row r="52" spans="1:14">
      <c r="A52" s="107"/>
      <c r="B52" s="49" t="s">
        <v>83</v>
      </c>
      <c r="C52" s="37"/>
      <c r="D52" s="20" t="s">
        <v>365</v>
      </c>
      <c r="E52" s="47"/>
      <c r="F52" s="70"/>
      <c r="G52" s="47"/>
      <c r="H52" s="47"/>
      <c r="I52" s="47"/>
      <c r="J52" s="50"/>
      <c r="K52" s="47"/>
      <c r="L52" s="47"/>
      <c r="M52" s="47"/>
      <c r="N52" s="47"/>
    </row>
    <row r="53" spans="1:14">
      <c r="A53" s="107"/>
      <c r="B53" s="49" t="s">
        <v>82</v>
      </c>
      <c r="C53" s="37"/>
      <c r="D53" s="20" t="s">
        <v>366</v>
      </c>
      <c r="E53" s="47"/>
      <c r="F53" s="70"/>
      <c r="G53" s="47"/>
      <c r="H53" s="47"/>
      <c r="I53" s="47"/>
      <c r="J53" s="50"/>
      <c r="K53" s="47"/>
      <c r="L53" s="47"/>
      <c r="M53" s="47"/>
      <c r="N53" s="47"/>
    </row>
    <row r="54" spans="1:14">
      <c r="A54" s="107"/>
      <c r="B54" s="49" t="s">
        <v>81</v>
      </c>
      <c r="C54" s="37"/>
      <c r="D54" s="20" t="s">
        <v>367</v>
      </c>
      <c r="E54" s="47"/>
      <c r="F54" s="70"/>
      <c r="G54" s="47"/>
      <c r="H54" s="47"/>
      <c r="I54" s="47"/>
      <c r="J54" s="50"/>
      <c r="K54" s="47"/>
      <c r="L54" s="47"/>
      <c r="M54" s="47"/>
      <c r="N54" s="47"/>
    </row>
    <row r="55" spans="1:14">
      <c r="A55" s="107"/>
      <c r="B55" s="49" t="s">
        <v>78</v>
      </c>
      <c r="C55" s="53" t="s">
        <v>683</v>
      </c>
      <c r="D55" s="20" t="s">
        <v>368</v>
      </c>
      <c r="E55" s="47">
        <v>456.25</v>
      </c>
      <c r="F55" s="70">
        <f>E55/SUM(E$32:E$69)</f>
        <v>0.12676251996943808</v>
      </c>
      <c r="G55" s="47" t="s">
        <v>948</v>
      </c>
      <c r="H55" s="47"/>
      <c r="I55" s="47"/>
      <c r="J55" s="50"/>
      <c r="K55" s="47"/>
      <c r="L55" s="47"/>
      <c r="M55" s="47"/>
      <c r="N55" s="47"/>
    </row>
    <row r="56" spans="1:14">
      <c r="A56" s="107"/>
      <c r="B56" s="49" t="s">
        <v>77</v>
      </c>
      <c r="C56" s="54" t="s">
        <v>877</v>
      </c>
      <c r="D56" s="20" t="s">
        <v>369</v>
      </c>
      <c r="E56" s="47">
        <v>328.5</v>
      </c>
      <c r="F56" s="70">
        <f>E56/SUM(E$32:E$69)</f>
        <v>9.1269014377995422E-2</v>
      </c>
      <c r="G56" s="47" t="s">
        <v>948</v>
      </c>
      <c r="H56" s="47"/>
      <c r="I56" s="47"/>
      <c r="J56" s="50"/>
      <c r="K56" s="47"/>
      <c r="L56" s="47"/>
      <c r="M56" s="47"/>
      <c r="N56" s="47"/>
    </row>
    <row r="57" spans="1:14">
      <c r="A57" s="107"/>
      <c r="B57" s="49" t="s">
        <v>76</v>
      </c>
      <c r="C57" s="37"/>
      <c r="D57" s="20" t="s">
        <v>370</v>
      </c>
      <c r="E57" s="47"/>
      <c r="F57" s="70"/>
      <c r="G57" s="47"/>
      <c r="H57" s="47"/>
      <c r="I57" s="47"/>
      <c r="J57" s="50"/>
      <c r="K57" s="47"/>
      <c r="L57" s="47"/>
      <c r="M57" s="47"/>
      <c r="N57" s="47"/>
    </row>
    <row r="58" spans="1:14">
      <c r="A58" s="107"/>
      <c r="B58" s="49" t="s">
        <v>79</v>
      </c>
      <c r="C58" s="37"/>
      <c r="D58" s="20" t="s">
        <v>371</v>
      </c>
      <c r="E58" s="47"/>
      <c r="F58" s="70"/>
      <c r="G58" s="47"/>
      <c r="H58" s="47"/>
      <c r="I58" s="47"/>
      <c r="J58" s="50"/>
      <c r="K58" s="47"/>
      <c r="L58" s="47"/>
      <c r="M58" s="47"/>
      <c r="N58" s="47"/>
    </row>
    <row r="59" spans="1:14">
      <c r="A59" s="107"/>
      <c r="B59" s="49" t="s">
        <v>80</v>
      </c>
      <c r="C59" s="37"/>
      <c r="D59" s="20" t="s">
        <v>372</v>
      </c>
      <c r="E59" s="47"/>
      <c r="F59" s="70"/>
      <c r="G59" s="47"/>
      <c r="H59" s="47"/>
      <c r="I59" s="47"/>
      <c r="J59" s="50"/>
      <c r="K59" s="47"/>
      <c r="L59" s="47"/>
      <c r="M59" s="47"/>
      <c r="N59" s="47"/>
    </row>
    <row r="60" spans="1:14">
      <c r="A60" s="107"/>
      <c r="B60" s="49" t="s">
        <v>75</v>
      </c>
      <c r="C60" s="37"/>
      <c r="D60" s="20" t="s">
        <v>373</v>
      </c>
      <c r="E60" s="47"/>
      <c r="F60" s="70"/>
      <c r="G60" s="47"/>
      <c r="H60" s="47"/>
      <c r="I60" s="47"/>
      <c r="J60" s="50"/>
      <c r="K60" s="47"/>
      <c r="L60" s="47"/>
      <c r="M60" s="47"/>
      <c r="N60" s="47"/>
    </row>
    <row r="61" spans="1:14">
      <c r="A61" s="107"/>
      <c r="B61" s="49" t="s">
        <v>73</v>
      </c>
      <c r="C61" s="37"/>
      <c r="D61" s="20" t="s">
        <v>374</v>
      </c>
      <c r="E61" s="47"/>
      <c r="F61" s="70"/>
      <c r="G61" s="47"/>
      <c r="H61" s="47"/>
      <c r="I61" s="47"/>
      <c r="J61" s="50"/>
      <c r="K61" s="47"/>
      <c r="L61" s="47"/>
      <c r="M61" s="47"/>
      <c r="N61" s="47"/>
    </row>
    <row r="62" spans="1:14">
      <c r="A62" s="107"/>
      <c r="B62" s="49" t="s">
        <v>74</v>
      </c>
      <c r="C62" s="3" t="s">
        <v>685</v>
      </c>
      <c r="D62" s="20" t="s">
        <v>375</v>
      </c>
      <c r="E62" s="47">
        <v>880</v>
      </c>
      <c r="F62" s="70">
        <f>E62/SUM(E$32:E$69)</f>
        <v>0.24449538098214907</v>
      </c>
      <c r="G62" s="47" t="s">
        <v>1006</v>
      </c>
      <c r="H62" s="47"/>
      <c r="I62" s="47"/>
      <c r="J62" s="50"/>
      <c r="K62" s="47"/>
      <c r="L62" s="47"/>
      <c r="M62" s="47"/>
      <c r="N62" s="47"/>
    </row>
    <row r="63" spans="1:14">
      <c r="A63" s="107"/>
      <c r="B63" s="49" t="s">
        <v>72</v>
      </c>
      <c r="C63" s="37"/>
      <c r="D63" s="20" t="s">
        <v>376</v>
      </c>
      <c r="E63" s="47"/>
      <c r="F63" s="70"/>
      <c r="G63" s="47"/>
      <c r="H63" s="47"/>
      <c r="I63" s="47"/>
      <c r="J63" s="50"/>
      <c r="K63" s="47"/>
      <c r="L63" s="47"/>
      <c r="M63" s="47"/>
      <c r="N63" s="47"/>
    </row>
    <row r="64" spans="1:14">
      <c r="A64" s="107"/>
      <c r="B64" s="49" t="s">
        <v>69</v>
      </c>
      <c r="C64" s="37"/>
      <c r="D64" s="20" t="s">
        <v>377</v>
      </c>
      <c r="E64" s="47"/>
      <c r="F64" s="70"/>
      <c r="G64" s="47"/>
      <c r="H64" s="47"/>
      <c r="I64" s="47"/>
      <c r="J64" s="50"/>
      <c r="K64" s="47"/>
      <c r="L64" s="47"/>
      <c r="M64" s="47"/>
      <c r="N64" s="47"/>
    </row>
    <row r="65" spans="1:14">
      <c r="A65" s="107"/>
      <c r="B65" s="49" t="s">
        <v>70</v>
      </c>
      <c r="C65" s="37"/>
      <c r="D65" s="20" t="s">
        <v>378</v>
      </c>
      <c r="E65" s="47"/>
      <c r="F65" s="70"/>
      <c r="G65" s="47"/>
      <c r="H65" s="47"/>
      <c r="I65" s="47"/>
      <c r="J65" s="50"/>
      <c r="K65" s="47"/>
      <c r="L65" s="47"/>
      <c r="M65" s="47"/>
      <c r="N65" s="47"/>
    </row>
    <row r="66" spans="1:14">
      <c r="A66" s="107"/>
      <c r="B66" s="49" t="s">
        <v>68</v>
      </c>
      <c r="C66" s="53"/>
      <c r="D66" s="20" t="s">
        <v>379</v>
      </c>
      <c r="E66" s="47"/>
      <c r="F66" s="70"/>
      <c r="G66" s="47"/>
      <c r="H66" s="47"/>
      <c r="I66" s="47"/>
      <c r="J66" s="50"/>
      <c r="K66" s="47"/>
      <c r="L66" s="47"/>
      <c r="M66" s="47"/>
      <c r="N66" s="47"/>
    </row>
    <row r="67" spans="1:14" ht="29.25">
      <c r="A67" s="107"/>
      <c r="B67" s="49" t="s">
        <v>71</v>
      </c>
      <c r="C67" s="37" t="s">
        <v>899</v>
      </c>
      <c r="D67" s="20" t="s">
        <v>380</v>
      </c>
      <c r="E67" s="47">
        <v>1204.5</v>
      </c>
      <c r="F67" s="70">
        <f>E67/SUM(E$32:E$69)</f>
        <v>0.3346530527193165</v>
      </c>
      <c r="G67" s="47" t="s">
        <v>948</v>
      </c>
      <c r="H67" s="47"/>
      <c r="I67" s="47"/>
      <c r="J67" s="50"/>
      <c r="K67" s="47"/>
      <c r="L67" s="47"/>
      <c r="M67" s="47"/>
      <c r="N67" s="47"/>
    </row>
    <row r="68" spans="1:14">
      <c r="A68" s="107"/>
      <c r="B68" s="49" t="s">
        <v>67</v>
      </c>
      <c r="C68" s="53" t="s">
        <v>900</v>
      </c>
      <c r="D68" s="20" t="s">
        <v>381</v>
      </c>
      <c r="E68" s="47">
        <v>730</v>
      </c>
      <c r="F68" s="70">
        <f>E68/SUM(E$32:E$69)</f>
        <v>0.20282003195110093</v>
      </c>
      <c r="G68" s="47" t="s">
        <v>948</v>
      </c>
      <c r="H68" s="47"/>
      <c r="I68" s="47"/>
      <c r="J68" s="50"/>
      <c r="K68" s="47"/>
      <c r="L68" s="47"/>
      <c r="M68" s="47"/>
      <c r="N68" s="47"/>
    </row>
    <row r="69" spans="1:14">
      <c r="A69" s="107"/>
      <c r="B69" s="49" t="s">
        <v>66</v>
      </c>
      <c r="C69" s="37"/>
      <c r="D69" s="20" t="s">
        <v>382</v>
      </c>
      <c r="E69" s="47"/>
      <c r="F69" s="70"/>
      <c r="G69" s="47"/>
      <c r="H69" s="47"/>
      <c r="I69" s="47"/>
      <c r="J69" s="50"/>
      <c r="K69" s="47"/>
      <c r="L69" s="47"/>
      <c r="M69" s="47"/>
      <c r="N69" s="47"/>
    </row>
    <row r="70" spans="1:14">
      <c r="A70" s="48" t="s">
        <v>622</v>
      </c>
      <c r="B70" s="49" t="s">
        <v>383</v>
      </c>
      <c r="C70" s="37" t="s">
        <v>1116</v>
      </c>
      <c r="D70" s="20" t="s">
        <v>384</v>
      </c>
      <c r="E70" s="47">
        <f>500*$H$2</f>
        <v>182.5</v>
      </c>
      <c r="F70" s="70">
        <v>1</v>
      </c>
      <c r="G70" s="47" t="s">
        <v>948</v>
      </c>
      <c r="H70" s="47"/>
      <c r="I70" s="47"/>
      <c r="J70" s="50"/>
      <c r="K70" s="47"/>
      <c r="L70" s="47"/>
      <c r="M70" s="47"/>
      <c r="N70" s="47"/>
    </row>
    <row r="71" spans="1:14">
      <c r="A71" s="107" t="s">
        <v>8</v>
      </c>
      <c r="B71" s="49" t="s">
        <v>106</v>
      </c>
      <c r="C71" s="37"/>
      <c r="D71" s="20" t="s">
        <v>385</v>
      </c>
      <c r="E71" s="47"/>
      <c r="F71" s="70">
        <f xml:space="preserve"> 1/ ROWS(B71:B73)</f>
        <v>0.33333333333333331</v>
      </c>
      <c r="G71" s="47" t="s">
        <v>925</v>
      </c>
      <c r="H71" s="47"/>
      <c r="I71" s="47"/>
      <c r="J71" s="50"/>
      <c r="K71" s="47"/>
      <c r="L71" s="47"/>
      <c r="M71" s="47"/>
      <c r="N71" s="47"/>
    </row>
    <row r="72" spans="1:14">
      <c r="A72" s="107"/>
      <c r="B72" s="49" t="s">
        <v>105</v>
      </c>
      <c r="C72" s="37"/>
      <c r="D72" s="20" t="s">
        <v>386</v>
      </c>
      <c r="E72" s="47"/>
      <c r="F72" s="70">
        <f t="shared" ref="F72:F73" si="3" xml:space="preserve"> 1/ ROWS(B72:B74)</f>
        <v>0.33333333333333331</v>
      </c>
      <c r="G72" s="47" t="s">
        <v>925</v>
      </c>
      <c r="H72" s="47"/>
      <c r="I72" s="47"/>
      <c r="J72" s="50"/>
      <c r="K72" s="47"/>
      <c r="L72" s="47"/>
      <c r="M72" s="47"/>
      <c r="N72" s="47"/>
    </row>
    <row r="73" spans="1:14">
      <c r="A73" s="107"/>
      <c r="B73" s="49" t="s">
        <v>104</v>
      </c>
      <c r="C73" s="37"/>
      <c r="D73" s="20" t="s">
        <v>387</v>
      </c>
      <c r="E73" s="47"/>
      <c r="F73" s="70">
        <f t="shared" si="3"/>
        <v>0.33333333333333331</v>
      </c>
      <c r="G73" s="47" t="s">
        <v>925</v>
      </c>
      <c r="H73" s="47"/>
      <c r="I73" s="47"/>
      <c r="J73" s="50"/>
      <c r="K73" s="47"/>
      <c r="L73" s="47"/>
      <c r="M73" s="47"/>
      <c r="N73" s="47"/>
    </row>
    <row r="74" spans="1:14">
      <c r="A74" s="107" t="s">
        <v>9</v>
      </c>
      <c r="B74" s="49" t="s">
        <v>114</v>
      </c>
      <c r="C74" s="37"/>
      <c r="D74" s="20" t="s">
        <v>388</v>
      </c>
      <c r="E74" s="47"/>
      <c r="F74" s="70"/>
      <c r="G74" s="47"/>
      <c r="H74" s="47"/>
      <c r="I74" s="47"/>
      <c r="J74" s="50"/>
      <c r="K74" s="47"/>
      <c r="L74" s="47"/>
      <c r="M74" s="47"/>
      <c r="N74" s="47"/>
    </row>
    <row r="75" spans="1:14">
      <c r="A75" s="107"/>
      <c r="B75" s="49" t="s">
        <v>389</v>
      </c>
      <c r="C75" s="37"/>
      <c r="D75" s="20" t="s">
        <v>390</v>
      </c>
      <c r="E75" s="47"/>
      <c r="F75" s="70"/>
      <c r="G75" s="47"/>
      <c r="H75" s="47"/>
      <c r="I75" s="47"/>
      <c r="J75" s="50"/>
      <c r="K75" s="47"/>
      <c r="L75" s="47"/>
      <c r="M75" s="47"/>
      <c r="N75" s="47"/>
    </row>
    <row r="76" spans="1:14">
      <c r="A76" s="107"/>
      <c r="B76" s="49" t="s">
        <v>391</v>
      </c>
      <c r="C76" s="37"/>
      <c r="D76" s="20" t="s">
        <v>392</v>
      </c>
      <c r="E76" s="47"/>
      <c r="F76" s="70"/>
      <c r="G76" s="47"/>
      <c r="H76" s="47"/>
      <c r="I76" s="47"/>
      <c r="J76" s="47"/>
      <c r="K76" s="47"/>
      <c r="L76" s="47"/>
      <c r="M76" s="47"/>
      <c r="N76" s="47"/>
    </row>
    <row r="77" spans="1:14">
      <c r="A77" s="107"/>
      <c r="B77" s="49" t="s">
        <v>393</v>
      </c>
      <c r="C77" s="37"/>
      <c r="D77" s="20" t="s">
        <v>394</v>
      </c>
      <c r="E77" s="47"/>
      <c r="F77" s="70"/>
      <c r="G77" s="47"/>
      <c r="H77" s="47"/>
      <c r="I77" s="47"/>
      <c r="J77" s="47"/>
      <c r="K77" s="47"/>
      <c r="L77" s="47"/>
      <c r="M77" s="47"/>
      <c r="N77" s="47"/>
    </row>
    <row r="78" spans="1:14" ht="29.25">
      <c r="A78" s="107"/>
      <c r="B78" s="49" t="s">
        <v>115</v>
      </c>
      <c r="C78" s="37" t="s">
        <v>895</v>
      </c>
      <c r="D78" s="20" t="s">
        <v>395</v>
      </c>
      <c r="E78" s="47">
        <v>150</v>
      </c>
      <c r="F78" s="70">
        <v>1</v>
      </c>
      <c r="G78" s="47" t="s">
        <v>1014</v>
      </c>
      <c r="H78" s="47"/>
      <c r="I78" s="47"/>
      <c r="J78" s="47"/>
      <c r="K78" s="47"/>
      <c r="L78" s="47"/>
      <c r="M78" s="47"/>
      <c r="N78" s="47"/>
    </row>
    <row r="79" spans="1:14">
      <c r="A79" s="107"/>
      <c r="B79" s="49" t="s">
        <v>110</v>
      </c>
      <c r="C79" s="37"/>
      <c r="D79" s="20" t="s">
        <v>396</v>
      </c>
      <c r="E79" s="47"/>
      <c r="F79" s="70"/>
      <c r="G79" s="47"/>
      <c r="H79" s="47"/>
      <c r="I79" s="47"/>
      <c r="J79" s="47"/>
      <c r="K79" s="47"/>
      <c r="L79" s="47"/>
      <c r="M79" s="47"/>
      <c r="N79" s="47"/>
    </row>
    <row r="80" spans="1:14">
      <c r="A80" s="107"/>
      <c r="B80" s="49" t="s">
        <v>112</v>
      </c>
      <c r="C80" s="37"/>
      <c r="D80" s="20" t="s">
        <v>397</v>
      </c>
      <c r="E80" s="47"/>
      <c r="F80" s="70"/>
      <c r="G80" s="47"/>
      <c r="H80" s="47"/>
      <c r="I80" s="47"/>
      <c r="J80" s="47"/>
      <c r="K80" s="47"/>
      <c r="L80" s="47"/>
      <c r="M80" s="47"/>
      <c r="N80" s="47"/>
    </row>
    <row r="81" spans="1:14">
      <c r="A81" s="107"/>
      <c r="B81" s="49" t="s">
        <v>111</v>
      </c>
      <c r="C81" s="37"/>
      <c r="D81" s="20" t="s">
        <v>398</v>
      </c>
      <c r="E81" s="47"/>
      <c r="F81" s="70"/>
      <c r="G81" s="47"/>
      <c r="H81" s="47"/>
      <c r="I81" s="47"/>
      <c r="J81" s="47"/>
      <c r="K81" s="47"/>
      <c r="L81" s="47"/>
      <c r="M81" s="47"/>
      <c r="N81" s="47"/>
    </row>
    <row r="82" spans="1:14">
      <c r="A82" s="107"/>
      <c r="B82" s="49" t="s">
        <v>107</v>
      </c>
      <c r="C82" s="37"/>
      <c r="D82" s="20" t="s">
        <v>399</v>
      </c>
      <c r="E82" s="47"/>
      <c r="F82" s="70"/>
      <c r="G82" s="47"/>
      <c r="H82" s="47"/>
      <c r="I82" s="47"/>
      <c r="J82" s="47"/>
      <c r="K82" s="47"/>
      <c r="L82" s="47"/>
      <c r="M82" s="47"/>
      <c r="N82" s="47"/>
    </row>
    <row r="83" spans="1:14">
      <c r="A83" s="107"/>
      <c r="B83" s="49" t="s">
        <v>400</v>
      </c>
      <c r="C83" s="37"/>
      <c r="D83" s="20" t="s">
        <v>401</v>
      </c>
      <c r="E83" s="47"/>
      <c r="F83" s="70"/>
      <c r="G83" s="47"/>
      <c r="H83" s="47"/>
      <c r="I83" s="47"/>
      <c r="J83" s="47"/>
      <c r="K83" s="47"/>
      <c r="L83" s="47"/>
      <c r="M83" s="47"/>
      <c r="N83" s="47"/>
    </row>
    <row r="84" spans="1:14">
      <c r="A84" s="107"/>
      <c r="B84" s="49" t="s">
        <v>113</v>
      </c>
      <c r="C84" s="37"/>
      <c r="D84" s="20" t="s">
        <v>402</v>
      </c>
      <c r="E84" s="47"/>
      <c r="F84" s="70"/>
      <c r="G84" s="47"/>
      <c r="H84" s="47"/>
      <c r="I84" s="47"/>
      <c r="J84" s="47"/>
      <c r="K84" s="47"/>
      <c r="L84" s="47"/>
      <c r="M84" s="47"/>
      <c r="N84" s="47"/>
    </row>
    <row r="85" spans="1:14">
      <c r="A85" s="107"/>
      <c r="B85" s="49" t="s">
        <v>108</v>
      </c>
      <c r="C85" s="37"/>
      <c r="D85" s="20" t="s">
        <v>403</v>
      </c>
      <c r="E85" s="47"/>
      <c r="F85" s="70"/>
      <c r="G85" s="47"/>
      <c r="H85" s="47"/>
      <c r="I85" s="47"/>
      <c r="J85" s="47"/>
      <c r="K85" s="47"/>
      <c r="L85" s="47"/>
      <c r="M85" s="47"/>
      <c r="N85" s="47"/>
    </row>
    <row r="86" spans="1:14">
      <c r="A86" s="107"/>
      <c r="B86" s="49" t="s">
        <v>109</v>
      </c>
      <c r="C86" s="37"/>
      <c r="D86" s="20" t="s">
        <v>404</v>
      </c>
      <c r="E86" s="47"/>
      <c r="F86" s="70"/>
      <c r="G86" s="47"/>
      <c r="H86" s="47"/>
      <c r="I86" s="47"/>
      <c r="J86" s="47"/>
      <c r="K86" s="47"/>
      <c r="L86" s="47"/>
      <c r="M86" s="47"/>
      <c r="N86" s="47"/>
    </row>
    <row r="87" spans="1:14">
      <c r="A87" s="107" t="s">
        <v>10</v>
      </c>
      <c r="B87" s="49" t="s">
        <v>120</v>
      </c>
      <c r="C87" s="37"/>
      <c r="D87" s="20" t="s">
        <v>405</v>
      </c>
      <c r="E87" s="47"/>
      <c r="F87" s="70"/>
      <c r="G87" s="47"/>
      <c r="H87" s="47"/>
      <c r="I87" s="47"/>
      <c r="J87" s="47"/>
      <c r="K87" s="47"/>
      <c r="L87" s="47"/>
      <c r="M87" s="47"/>
      <c r="N87" s="47"/>
    </row>
    <row r="88" spans="1:14">
      <c r="A88" s="107"/>
      <c r="B88" s="49" t="s">
        <v>117</v>
      </c>
      <c r="C88" s="37"/>
      <c r="D88" s="20" t="s">
        <v>406</v>
      </c>
      <c r="E88" s="47"/>
      <c r="F88" s="70"/>
      <c r="G88" s="47"/>
      <c r="H88" s="47"/>
      <c r="I88" s="47"/>
      <c r="J88" s="47"/>
      <c r="K88" s="47"/>
      <c r="L88" s="47"/>
      <c r="M88" s="47"/>
      <c r="N88" s="47"/>
    </row>
    <row r="89" spans="1:14">
      <c r="A89" s="107"/>
      <c r="B89" s="49" t="s">
        <v>128</v>
      </c>
      <c r="C89" s="37"/>
      <c r="D89" s="20" t="s">
        <v>407</v>
      </c>
      <c r="E89" s="47"/>
      <c r="F89" s="70"/>
      <c r="G89" s="47"/>
      <c r="H89" s="47"/>
      <c r="I89" s="47"/>
      <c r="J89" s="47"/>
      <c r="K89" s="47"/>
      <c r="L89" s="47"/>
      <c r="M89" s="47"/>
      <c r="N89" s="47"/>
    </row>
    <row r="90" spans="1:14">
      <c r="A90" s="107"/>
      <c r="B90" s="49" t="s">
        <v>118</v>
      </c>
      <c r="C90" s="37"/>
      <c r="D90" s="20" t="s">
        <v>408</v>
      </c>
      <c r="E90" s="47"/>
      <c r="F90" s="70"/>
      <c r="G90" s="47"/>
      <c r="H90" s="47"/>
      <c r="I90" s="47"/>
      <c r="J90" s="47"/>
      <c r="K90" s="47"/>
      <c r="L90" s="47"/>
      <c r="M90" s="47"/>
      <c r="N90" s="47"/>
    </row>
    <row r="91" spans="1:14" ht="29.25">
      <c r="A91" s="107"/>
      <c r="B91" s="49" t="s">
        <v>123</v>
      </c>
      <c r="C91" s="37"/>
      <c r="D91" s="20" t="s">
        <v>409</v>
      </c>
      <c r="E91" s="47"/>
      <c r="F91" s="70"/>
      <c r="G91" s="47"/>
      <c r="H91" s="47"/>
      <c r="I91" s="47"/>
      <c r="J91" s="47"/>
      <c r="K91" s="47"/>
      <c r="L91" s="47"/>
      <c r="M91" s="47"/>
      <c r="N91" s="47"/>
    </row>
    <row r="92" spans="1:14">
      <c r="A92" s="107"/>
      <c r="B92" s="49" t="s">
        <v>119</v>
      </c>
      <c r="C92" s="37"/>
      <c r="D92" s="20" t="s">
        <v>410</v>
      </c>
      <c r="E92" s="47"/>
      <c r="F92" s="70"/>
      <c r="G92" s="47"/>
      <c r="H92" s="47"/>
      <c r="I92" s="47"/>
      <c r="J92" s="47"/>
      <c r="K92" s="47"/>
      <c r="L92" s="47"/>
      <c r="M92" s="47"/>
      <c r="N92" s="47"/>
    </row>
    <row r="93" spans="1:14">
      <c r="A93" s="107"/>
      <c r="B93" s="49" t="s">
        <v>129</v>
      </c>
      <c r="C93" s="37" t="s">
        <v>1127</v>
      </c>
      <c r="D93" s="20" t="s">
        <v>411</v>
      </c>
      <c r="E93" s="47">
        <v>14.6</v>
      </c>
      <c r="F93" s="70">
        <f>E93/SUM(E$87:E$105)</f>
        <v>2.2598870056497175E-2</v>
      </c>
      <c r="G93" s="47" t="s">
        <v>948</v>
      </c>
      <c r="H93" s="47"/>
      <c r="I93" s="47"/>
      <c r="J93" s="47"/>
      <c r="K93" s="47"/>
      <c r="L93" s="47"/>
      <c r="M93" s="47"/>
      <c r="N93" s="47"/>
    </row>
    <row r="94" spans="1:14">
      <c r="A94" s="107"/>
      <c r="B94" s="49" t="s">
        <v>124</v>
      </c>
      <c r="C94" s="37"/>
      <c r="D94" s="20" t="s">
        <v>412</v>
      </c>
      <c r="E94" s="47"/>
      <c r="F94" s="70"/>
      <c r="G94" s="47"/>
      <c r="H94" s="47"/>
      <c r="I94" s="47"/>
      <c r="J94" s="47"/>
      <c r="K94" s="47"/>
      <c r="L94" s="47"/>
      <c r="M94" s="47"/>
      <c r="N94" s="47"/>
    </row>
    <row r="95" spans="1:14">
      <c r="A95" s="107"/>
      <c r="B95" s="49" t="s">
        <v>126</v>
      </c>
      <c r="C95" s="37"/>
      <c r="D95" s="20" t="s">
        <v>413</v>
      </c>
      <c r="E95" s="47"/>
      <c r="F95" s="70"/>
      <c r="G95" s="47"/>
      <c r="H95" s="47"/>
      <c r="I95" s="47"/>
      <c r="J95" s="47"/>
      <c r="K95" s="47"/>
      <c r="L95" s="47"/>
      <c r="M95" s="47"/>
      <c r="N95" s="47"/>
    </row>
    <row r="96" spans="1:14">
      <c r="A96" s="107"/>
      <c r="B96" s="49" t="s">
        <v>127</v>
      </c>
      <c r="C96" s="37" t="s">
        <v>662</v>
      </c>
      <c r="D96" s="20" t="s">
        <v>414</v>
      </c>
      <c r="E96" s="47">
        <v>219</v>
      </c>
      <c r="F96" s="70">
        <f t="shared" ref="F96" si="4">E96/SUM(E$87:E$105)</f>
        <v>0.33898305084745767</v>
      </c>
      <c r="G96" s="47" t="s">
        <v>948</v>
      </c>
      <c r="H96" s="47"/>
      <c r="I96" s="47"/>
      <c r="J96" s="47"/>
      <c r="K96" s="47"/>
      <c r="L96" s="47"/>
      <c r="M96" s="47"/>
      <c r="N96" s="47"/>
    </row>
    <row r="97" spans="1:14">
      <c r="A97" s="107"/>
      <c r="B97" s="49" t="s">
        <v>121</v>
      </c>
      <c r="C97" s="37"/>
      <c r="D97" s="20" t="s">
        <v>415</v>
      </c>
      <c r="E97" s="47"/>
      <c r="F97" s="70"/>
      <c r="G97" s="47"/>
      <c r="H97" s="47"/>
      <c r="I97" s="47"/>
      <c r="J97" s="47"/>
      <c r="K97" s="47"/>
      <c r="L97" s="47"/>
      <c r="M97" s="47"/>
      <c r="N97" s="47"/>
    </row>
    <row r="98" spans="1:14">
      <c r="A98" s="107"/>
      <c r="B98" s="49" t="s">
        <v>125</v>
      </c>
      <c r="C98" s="37"/>
      <c r="D98" s="20" t="s">
        <v>416</v>
      </c>
      <c r="E98" s="47"/>
      <c r="F98" s="70"/>
      <c r="G98" s="47"/>
      <c r="H98" s="47"/>
      <c r="I98" s="47"/>
      <c r="J98" s="47"/>
      <c r="K98" s="47"/>
      <c r="L98" s="47"/>
      <c r="M98" s="47"/>
      <c r="N98" s="47"/>
    </row>
    <row r="99" spans="1:14">
      <c r="A99" s="107"/>
      <c r="B99" s="49" t="s">
        <v>122</v>
      </c>
      <c r="C99" s="37"/>
      <c r="D99" s="20" t="s">
        <v>417</v>
      </c>
      <c r="E99" s="47"/>
      <c r="F99" s="70"/>
      <c r="G99" s="47"/>
      <c r="H99" s="47"/>
      <c r="I99" s="47"/>
      <c r="J99" s="47"/>
      <c r="K99" s="47"/>
      <c r="L99" s="47"/>
      <c r="M99" s="47"/>
      <c r="N99" s="47"/>
    </row>
    <row r="100" spans="1:14">
      <c r="A100" s="107"/>
      <c r="B100" s="49" t="s">
        <v>418</v>
      </c>
      <c r="C100" s="37"/>
      <c r="D100" s="20" t="s">
        <v>419</v>
      </c>
      <c r="E100" s="47"/>
      <c r="F100" s="70"/>
      <c r="G100" s="47"/>
      <c r="H100" s="47"/>
      <c r="I100" s="47"/>
      <c r="J100" s="47"/>
      <c r="K100" s="47"/>
      <c r="L100" s="47"/>
      <c r="M100" s="47"/>
      <c r="N100" s="47"/>
    </row>
    <row r="101" spans="1:14">
      <c r="A101" s="107"/>
      <c r="B101" s="49" t="s">
        <v>130</v>
      </c>
      <c r="C101" t="s">
        <v>878</v>
      </c>
      <c r="D101" s="20" t="s">
        <v>420</v>
      </c>
      <c r="E101" s="47">
        <v>412.45</v>
      </c>
      <c r="F101" s="70">
        <f>E101/SUM(E$87:E$105)</f>
        <v>0.6384180790960452</v>
      </c>
      <c r="G101" s="47" t="s">
        <v>948</v>
      </c>
      <c r="H101" s="47"/>
      <c r="I101" s="47"/>
      <c r="J101" s="47"/>
      <c r="K101" s="47"/>
      <c r="L101" s="47"/>
      <c r="M101" s="47"/>
      <c r="N101" s="47"/>
    </row>
    <row r="102" spans="1:14">
      <c r="A102" s="107"/>
      <c r="B102" s="49" t="s">
        <v>116</v>
      </c>
      <c r="C102" s="37"/>
      <c r="D102" s="20" t="s">
        <v>421</v>
      </c>
      <c r="E102" s="47"/>
      <c r="F102" s="70"/>
      <c r="G102" s="47"/>
      <c r="H102" s="47"/>
      <c r="I102" s="47"/>
      <c r="J102" s="47"/>
      <c r="K102" s="47"/>
      <c r="L102" s="47"/>
      <c r="M102" s="47"/>
      <c r="N102" s="47"/>
    </row>
    <row r="103" spans="1:14">
      <c r="A103" s="107"/>
      <c r="B103" s="49" t="s">
        <v>422</v>
      </c>
      <c r="C103" s="37"/>
      <c r="D103" s="20" t="s">
        <v>423</v>
      </c>
      <c r="E103" s="47"/>
      <c r="F103" s="70"/>
      <c r="G103" s="47"/>
      <c r="H103" s="47"/>
      <c r="I103" s="47"/>
      <c r="J103" s="47"/>
      <c r="K103" s="47"/>
      <c r="L103" s="47"/>
      <c r="M103" s="47"/>
      <c r="N103" s="47"/>
    </row>
    <row r="104" spans="1:14">
      <c r="A104" s="107"/>
      <c r="B104" s="49" t="s">
        <v>424</v>
      </c>
      <c r="C104" s="37"/>
      <c r="D104" s="20" t="s">
        <v>425</v>
      </c>
      <c r="E104" s="47"/>
      <c r="F104" s="70"/>
      <c r="G104" s="47"/>
      <c r="H104" s="47"/>
      <c r="I104" s="47"/>
      <c r="J104" s="47"/>
      <c r="K104" s="47"/>
      <c r="L104" s="47"/>
      <c r="M104" s="47"/>
      <c r="N104" s="47"/>
    </row>
    <row r="105" spans="1:14">
      <c r="A105" s="107"/>
      <c r="B105" s="49" t="s">
        <v>426</v>
      </c>
      <c r="C105" s="37"/>
      <c r="D105" s="20" t="s">
        <v>427</v>
      </c>
      <c r="E105" s="47"/>
      <c r="F105" s="70"/>
      <c r="G105" s="47"/>
      <c r="H105" s="47"/>
      <c r="I105" s="47"/>
      <c r="J105" s="47"/>
      <c r="K105" s="47"/>
      <c r="L105" s="47"/>
      <c r="M105" s="47"/>
      <c r="N105" s="47"/>
    </row>
    <row r="106" spans="1:14">
      <c r="A106" s="107" t="s">
        <v>11</v>
      </c>
      <c r="B106" s="49" t="s">
        <v>132</v>
      </c>
      <c r="C106" s="37" t="s">
        <v>888</v>
      </c>
      <c r="D106" s="20" t="s">
        <v>428</v>
      </c>
      <c r="E106" s="47">
        <v>419.75</v>
      </c>
      <c r="F106" s="70">
        <f>E106/SUM(E$106:E$132)</f>
        <v>0.25274725274725274</v>
      </c>
      <c r="G106" s="47" t="s">
        <v>948</v>
      </c>
      <c r="H106" s="47"/>
      <c r="I106" s="47"/>
      <c r="J106" s="47"/>
      <c r="K106" s="47"/>
      <c r="L106" s="47"/>
      <c r="M106" s="47"/>
      <c r="N106" s="47"/>
    </row>
    <row r="107" spans="1:14">
      <c r="A107" s="107"/>
      <c r="B107" s="49" t="s">
        <v>143</v>
      </c>
      <c r="D107" s="20" t="s">
        <v>429</v>
      </c>
      <c r="J107" s="47"/>
      <c r="K107" s="47"/>
      <c r="L107" s="47"/>
      <c r="M107" s="47"/>
      <c r="N107" s="47"/>
    </row>
    <row r="108" spans="1:14">
      <c r="A108" s="107"/>
      <c r="B108" s="49" t="s">
        <v>141</v>
      </c>
      <c r="C108" s="37"/>
      <c r="D108" s="20" t="s">
        <v>430</v>
      </c>
      <c r="E108" s="47"/>
      <c r="F108" s="70"/>
      <c r="G108" s="47"/>
      <c r="H108" s="47"/>
      <c r="I108" s="47"/>
      <c r="J108" s="47"/>
      <c r="K108" s="47"/>
      <c r="L108" s="47"/>
      <c r="M108" s="47"/>
      <c r="N108" s="47"/>
    </row>
    <row r="109" spans="1:14">
      <c r="A109" s="107"/>
      <c r="B109" s="49" t="s">
        <v>138</v>
      </c>
      <c r="C109" s="37"/>
      <c r="D109" s="20" t="s">
        <v>431</v>
      </c>
      <c r="E109" s="47"/>
      <c r="F109" s="70"/>
      <c r="G109" s="47"/>
      <c r="H109" s="47"/>
      <c r="I109" s="47"/>
      <c r="J109" s="47"/>
      <c r="K109" s="47"/>
      <c r="L109" s="47"/>
      <c r="M109" s="47"/>
      <c r="N109" s="47"/>
    </row>
    <row r="110" spans="1:14" ht="43.5">
      <c r="A110" s="107"/>
      <c r="B110" s="55" t="s">
        <v>145</v>
      </c>
      <c r="C110" s="20" t="s">
        <v>1128</v>
      </c>
      <c r="D110" s="21" t="s">
        <v>432</v>
      </c>
      <c r="E110" s="47">
        <v>839.5</v>
      </c>
      <c r="F110" s="70">
        <f>E110/SUM(E$106:E$132)</f>
        <v>0.50549450549450547</v>
      </c>
      <c r="G110" s="47" t="s">
        <v>948</v>
      </c>
      <c r="H110" s="47"/>
      <c r="I110" s="47"/>
      <c r="J110" s="47"/>
      <c r="K110" s="47"/>
      <c r="L110" s="47"/>
      <c r="M110" s="47"/>
      <c r="N110" s="47"/>
    </row>
    <row r="111" spans="1:14">
      <c r="A111" s="107"/>
      <c r="B111" s="55" t="s">
        <v>137</v>
      </c>
      <c r="C111" s="54"/>
      <c r="D111" s="21" t="s">
        <v>433</v>
      </c>
      <c r="J111" s="47"/>
      <c r="K111" s="47"/>
      <c r="L111" s="47"/>
      <c r="M111" s="47"/>
      <c r="N111" s="47"/>
    </row>
    <row r="112" spans="1:14">
      <c r="A112" s="107"/>
      <c r="B112" s="49" t="s">
        <v>134</v>
      </c>
      <c r="C112" s="53"/>
      <c r="D112" s="20" t="s">
        <v>434</v>
      </c>
      <c r="E112" s="47"/>
      <c r="F112" s="70"/>
      <c r="G112" s="47"/>
      <c r="H112" s="47"/>
      <c r="I112" s="47"/>
      <c r="J112" s="47"/>
      <c r="K112" s="47"/>
      <c r="L112" s="47"/>
      <c r="M112" s="47"/>
      <c r="N112" s="47"/>
    </row>
    <row r="113" spans="1:14">
      <c r="A113" s="107"/>
      <c r="B113" s="49" t="s">
        <v>151</v>
      </c>
      <c r="C113" s="37"/>
      <c r="D113" s="20" t="s">
        <v>435</v>
      </c>
      <c r="E113" s="47"/>
      <c r="F113" s="70"/>
      <c r="G113" s="47"/>
      <c r="H113" s="47"/>
      <c r="I113" s="47"/>
      <c r="J113" s="47"/>
      <c r="K113" s="47"/>
      <c r="L113" s="47"/>
      <c r="M113" s="47"/>
      <c r="N113" s="47"/>
    </row>
    <row r="114" spans="1:14">
      <c r="A114" s="107"/>
      <c r="B114" s="49" t="s">
        <v>133</v>
      </c>
      <c r="C114" s="37" t="s">
        <v>889</v>
      </c>
      <c r="D114" s="20" t="s">
        <v>436</v>
      </c>
      <c r="E114" s="47">
        <v>237.25</v>
      </c>
      <c r="F114" s="70">
        <f>E114/SUM(E$106:E$132)</f>
        <v>0.14285714285714285</v>
      </c>
      <c r="G114" s="47" t="s">
        <v>948</v>
      </c>
      <c r="H114" s="47"/>
      <c r="I114" s="47"/>
      <c r="J114" s="47"/>
      <c r="K114" s="47"/>
      <c r="L114" s="47"/>
      <c r="M114" s="47"/>
      <c r="N114" s="47"/>
    </row>
    <row r="115" spans="1:14">
      <c r="A115" s="107"/>
      <c r="B115" s="49" t="s">
        <v>148</v>
      </c>
      <c r="C115" s="37"/>
      <c r="D115" s="20" t="s">
        <v>437</v>
      </c>
      <c r="E115" s="47"/>
      <c r="F115" s="70"/>
      <c r="G115" s="47"/>
      <c r="H115" s="47"/>
      <c r="I115" s="47"/>
      <c r="J115" s="47"/>
      <c r="K115" s="47"/>
      <c r="L115" s="47"/>
      <c r="M115" s="47"/>
      <c r="N115" s="47"/>
    </row>
    <row r="116" spans="1:14">
      <c r="A116" s="107"/>
      <c r="B116" s="49" t="s">
        <v>135</v>
      </c>
      <c r="C116" s="37"/>
      <c r="D116" s="20" t="s">
        <v>438</v>
      </c>
      <c r="E116" s="47"/>
      <c r="F116" s="70"/>
      <c r="G116" s="47"/>
      <c r="H116" s="47"/>
      <c r="I116" s="47"/>
      <c r="J116" s="47"/>
      <c r="K116" s="47"/>
      <c r="L116" s="47"/>
      <c r="M116" s="47"/>
      <c r="N116" s="47"/>
    </row>
    <row r="117" spans="1:14">
      <c r="A117" s="107"/>
      <c r="B117" s="49" t="s">
        <v>136</v>
      </c>
      <c r="C117" s="37"/>
      <c r="D117" s="20" t="s">
        <v>439</v>
      </c>
      <c r="E117" s="47"/>
      <c r="F117" s="70"/>
      <c r="G117" s="47"/>
      <c r="H117" s="47"/>
      <c r="I117" s="47"/>
      <c r="J117" s="47"/>
      <c r="K117" s="47"/>
      <c r="L117" s="47"/>
      <c r="M117" s="47"/>
      <c r="N117" s="47"/>
    </row>
    <row r="118" spans="1:14">
      <c r="A118" s="107"/>
      <c r="B118" s="49" t="s">
        <v>140</v>
      </c>
      <c r="C118" s="37"/>
      <c r="D118" s="20" t="s">
        <v>440</v>
      </c>
      <c r="E118" s="47"/>
      <c r="F118" s="70"/>
      <c r="G118" s="47"/>
      <c r="H118" s="47"/>
      <c r="I118" s="47"/>
      <c r="J118" s="47"/>
      <c r="K118" s="47"/>
      <c r="L118" s="47"/>
      <c r="M118" s="47"/>
      <c r="N118" s="47"/>
    </row>
    <row r="119" spans="1:14">
      <c r="A119" s="107"/>
      <c r="B119" s="49" t="s">
        <v>139</v>
      </c>
      <c r="C119" s="37" t="s">
        <v>890</v>
      </c>
      <c r="D119" s="20" t="s">
        <v>441</v>
      </c>
      <c r="E119" s="47">
        <v>164.25</v>
      </c>
      <c r="F119" s="70">
        <f>E119/SUM(E$106:E$132)</f>
        <v>9.8901098901098897E-2</v>
      </c>
      <c r="G119" s="47" t="s">
        <v>948</v>
      </c>
      <c r="H119" s="47"/>
      <c r="I119" s="47"/>
      <c r="J119" s="47"/>
      <c r="K119" s="47"/>
      <c r="L119" s="47"/>
      <c r="M119" s="47"/>
      <c r="N119" s="47"/>
    </row>
    <row r="120" spans="1:14">
      <c r="A120" s="107"/>
      <c r="B120" s="49" t="s">
        <v>142</v>
      </c>
      <c r="C120" s="37"/>
      <c r="D120" s="20" t="s">
        <v>442</v>
      </c>
      <c r="E120" s="47"/>
      <c r="F120" s="70"/>
      <c r="G120" s="47"/>
      <c r="H120" s="47"/>
      <c r="I120" s="47"/>
      <c r="J120" s="47"/>
      <c r="K120" s="47"/>
      <c r="L120" s="47"/>
      <c r="M120" s="47"/>
      <c r="N120" s="47"/>
    </row>
    <row r="121" spans="1:14">
      <c r="A121" s="107"/>
      <c r="B121" s="49" t="s">
        <v>144</v>
      </c>
      <c r="C121" s="37"/>
      <c r="D121" s="20" t="s">
        <v>443</v>
      </c>
      <c r="E121" s="47"/>
      <c r="F121" s="70"/>
      <c r="G121" s="47"/>
      <c r="H121" s="47"/>
      <c r="I121" s="47"/>
      <c r="J121" s="47"/>
      <c r="K121" s="47"/>
      <c r="L121" s="47"/>
      <c r="M121" s="47"/>
      <c r="N121" s="47"/>
    </row>
    <row r="122" spans="1:14">
      <c r="A122" s="107"/>
      <c r="B122" s="49" t="s">
        <v>146</v>
      </c>
      <c r="C122" s="37"/>
      <c r="D122" s="20" t="s">
        <v>444</v>
      </c>
      <c r="E122" s="47"/>
      <c r="F122" s="70"/>
      <c r="G122" s="47"/>
      <c r="H122" s="47"/>
      <c r="I122" s="47"/>
      <c r="J122" s="47"/>
      <c r="K122" s="47"/>
      <c r="L122" s="47"/>
      <c r="M122" s="47"/>
      <c r="N122" s="47"/>
    </row>
    <row r="123" spans="1:14">
      <c r="A123" s="107"/>
      <c r="B123" s="49" t="s">
        <v>147</v>
      </c>
      <c r="C123" s="37"/>
      <c r="D123" s="20" t="s">
        <v>445</v>
      </c>
      <c r="E123" s="47"/>
      <c r="F123" s="70"/>
      <c r="G123" s="47"/>
      <c r="H123" s="47"/>
      <c r="I123" s="47"/>
      <c r="J123" s="47"/>
      <c r="K123" s="47"/>
      <c r="L123" s="47"/>
      <c r="M123" s="47"/>
      <c r="N123" s="47"/>
    </row>
    <row r="124" spans="1:14">
      <c r="A124" s="107"/>
      <c r="B124" s="49" t="s">
        <v>150</v>
      </c>
      <c r="C124" s="37"/>
      <c r="D124" s="20" t="s">
        <v>446</v>
      </c>
      <c r="E124" s="47"/>
      <c r="F124" s="70"/>
      <c r="G124" s="47"/>
      <c r="H124" s="47"/>
      <c r="I124" s="47"/>
      <c r="J124" s="47"/>
      <c r="K124" s="47"/>
      <c r="L124" s="47"/>
      <c r="M124" s="47"/>
      <c r="N124" s="47"/>
    </row>
    <row r="125" spans="1:14">
      <c r="A125" s="107"/>
      <c r="B125" s="49" t="s">
        <v>152</v>
      </c>
      <c r="C125" s="37"/>
      <c r="D125" s="20" t="s">
        <v>447</v>
      </c>
      <c r="E125" s="47"/>
      <c r="F125" s="70"/>
      <c r="G125" s="47"/>
      <c r="H125" s="47"/>
      <c r="I125" s="47"/>
      <c r="J125" s="47"/>
      <c r="K125" s="47"/>
      <c r="L125" s="47"/>
      <c r="M125" s="47"/>
      <c r="N125" s="47"/>
    </row>
    <row r="126" spans="1:14" ht="29.25">
      <c r="A126" s="107"/>
      <c r="B126" s="49" t="s">
        <v>149</v>
      </c>
      <c r="C126" s="37"/>
      <c r="D126" s="20" t="s">
        <v>448</v>
      </c>
      <c r="E126" s="47"/>
      <c r="F126" s="70"/>
      <c r="G126" s="47"/>
      <c r="H126" s="47"/>
      <c r="I126" s="47"/>
      <c r="J126" s="47"/>
      <c r="K126" s="47"/>
      <c r="L126" s="47"/>
      <c r="M126" s="47"/>
      <c r="N126" s="47"/>
    </row>
    <row r="127" spans="1:14">
      <c r="A127" s="107"/>
      <c r="B127" s="49" t="s">
        <v>131</v>
      </c>
      <c r="C127" s="37"/>
      <c r="D127" s="20" t="s">
        <v>449</v>
      </c>
      <c r="E127" s="47"/>
      <c r="F127" s="70"/>
      <c r="G127" s="47"/>
      <c r="H127" s="47"/>
      <c r="I127" s="47"/>
      <c r="J127" s="47"/>
      <c r="K127" s="47"/>
      <c r="L127" s="47"/>
      <c r="M127" s="47"/>
      <c r="N127" s="47"/>
    </row>
    <row r="128" spans="1:14">
      <c r="A128" s="107"/>
      <c r="B128" s="49" t="s">
        <v>450</v>
      </c>
      <c r="C128" s="37"/>
      <c r="D128" s="20" t="s">
        <v>451</v>
      </c>
      <c r="E128" s="47"/>
      <c r="F128" s="70"/>
      <c r="G128" s="47"/>
      <c r="H128" s="47"/>
      <c r="I128" s="47"/>
      <c r="J128" s="47"/>
      <c r="K128" s="47"/>
      <c r="L128" s="47"/>
      <c r="M128" s="47"/>
      <c r="N128" s="47"/>
    </row>
    <row r="129" spans="1:14">
      <c r="A129" s="107"/>
      <c r="B129" s="49" t="s">
        <v>452</v>
      </c>
      <c r="C129" s="37"/>
      <c r="D129" s="20" t="s">
        <v>453</v>
      </c>
      <c r="E129" s="47"/>
      <c r="F129" s="70"/>
      <c r="G129" s="47"/>
      <c r="H129" s="47"/>
      <c r="I129" s="47"/>
      <c r="J129" s="47"/>
      <c r="K129" s="47"/>
      <c r="L129" s="47"/>
      <c r="M129" s="47"/>
      <c r="N129" s="47"/>
    </row>
    <row r="130" spans="1:14">
      <c r="A130" s="107"/>
      <c r="B130" s="49" t="s">
        <v>454</v>
      </c>
      <c r="C130" s="37"/>
      <c r="D130" s="20" t="s">
        <v>455</v>
      </c>
      <c r="E130" s="47"/>
      <c r="F130" s="70"/>
      <c r="G130" s="47"/>
      <c r="H130" s="47"/>
      <c r="I130" s="47"/>
      <c r="J130" s="47"/>
      <c r="K130" s="47"/>
      <c r="L130" s="47"/>
      <c r="M130" s="47"/>
      <c r="N130" s="47"/>
    </row>
    <row r="131" spans="1:14">
      <c r="A131" s="107"/>
      <c r="B131" s="49" t="s">
        <v>456</v>
      </c>
      <c r="C131" s="37"/>
      <c r="D131" s="20" t="s">
        <v>457</v>
      </c>
      <c r="E131" s="47"/>
      <c r="F131" s="70"/>
      <c r="G131" s="47"/>
      <c r="H131" s="47"/>
      <c r="I131" s="47"/>
      <c r="J131" s="47"/>
      <c r="K131" s="47"/>
      <c r="L131" s="47"/>
      <c r="M131" s="47"/>
      <c r="N131" s="47"/>
    </row>
    <row r="132" spans="1:14">
      <c r="A132" s="107"/>
      <c r="B132" s="49" t="s">
        <v>458</v>
      </c>
      <c r="C132" s="37"/>
      <c r="D132" s="20" t="s">
        <v>459</v>
      </c>
      <c r="E132" s="47"/>
      <c r="F132" s="70"/>
      <c r="G132" s="47"/>
      <c r="H132" s="47"/>
      <c r="I132" s="47"/>
      <c r="J132" s="47"/>
      <c r="K132" s="47"/>
      <c r="L132" s="47"/>
      <c r="M132" s="47"/>
      <c r="N132" s="47"/>
    </row>
    <row r="133" spans="1:14">
      <c r="A133" s="107" t="s">
        <v>12</v>
      </c>
      <c r="B133" s="21" t="s">
        <v>460</v>
      </c>
      <c r="C133" s="20"/>
      <c r="D133" s="21" t="s">
        <v>461</v>
      </c>
      <c r="E133" s="47"/>
      <c r="F133" s="70">
        <v>0.16666666666666666</v>
      </c>
      <c r="G133" s="47" t="s">
        <v>925</v>
      </c>
      <c r="H133" s="47"/>
      <c r="I133" s="47"/>
      <c r="J133" s="47"/>
      <c r="K133" s="47"/>
      <c r="L133" s="47"/>
      <c r="M133" s="47"/>
      <c r="N133" s="47"/>
    </row>
    <row r="134" spans="1:14">
      <c r="A134" s="107"/>
      <c r="B134" s="49" t="s">
        <v>154</v>
      </c>
      <c r="C134" s="37"/>
      <c r="D134" s="20" t="s">
        <v>462</v>
      </c>
      <c r="E134" s="47"/>
      <c r="F134" s="70">
        <v>0.5</v>
      </c>
      <c r="G134" s="47" t="s">
        <v>925</v>
      </c>
      <c r="H134" s="47"/>
      <c r="I134" s="47"/>
      <c r="J134" s="47"/>
      <c r="K134" s="47"/>
      <c r="L134" s="47"/>
      <c r="M134" s="47"/>
      <c r="N134" s="47"/>
    </row>
    <row r="135" spans="1:14">
      <c r="A135" s="107"/>
      <c r="B135" s="49" t="s">
        <v>153</v>
      </c>
      <c r="C135" s="37"/>
      <c r="D135" s="20"/>
      <c r="E135" s="47"/>
      <c r="F135" s="70">
        <v>0.5</v>
      </c>
      <c r="G135" s="47" t="s">
        <v>925</v>
      </c>
      <c r="H135" s="47"/>
      <c r="I135" s="47"/>
      <c r="J135" s="47"/>
      <c r="K135" s="47"/>
      <c r="L135" s="47"/>
      <c r="M135" s="47"/>
      <c r="N135" s="47"/>
    </row>
    <row r="136" spans="1:14">
      <c r="A136" s="107"/>
      <c r="B136" s="49" t="s">
        <v>463</v>
      </c>
      <c r="C136" s="37"/>
      <c r="D136" s="20" t="s">
        <v>464</v>
      </c>
      <c r="E136" s="47"/>
      <c r="F136" s="70">
        <v>0.16666666666666666</v>
      </c>
      <c r="G136" s="47" t="s">
        <v>925</v>
      </c>
      <c r="H136" s="47"/>
      <c r="I136" s="47"/>
      <c r="J136" s="47"/>
      <c r="K136" s="47"/>
      <c r="L136" s="47"/>
      <c r="M136" s="47"/>
      <c r="N136" s="47"/>
    </row>
    <row r="137" spans="1:14">
      <c r="A137" s="107"/>
      <c r="B137" s="49" t="s">
        <v>465</v>
      </c>
      <c r="C137" s="37"/>
      <c r="D137" s="20" t="s">
        <v>466</v>
      </c>
      <c r="E137" s="47"/>
      <c r="F137" s="70">
        <v>0.16666666666666666</v>
      </c>
      <c r="G137" s="47" t="s">
        <v>925</v>
      </c>
      <c r="H137" s="47"/>
      <c r="I137" s="47"/>
      <c r="J137" s="47"/>
      <c r="K137" s="47"/>
      <c r="L137" s="47"/>
      <c r="M137" s="47"/>
      <c r="N137" s="47"/>
    </row>
    <row r="138" spans="1:14">
      <c r="A138" s="107" t="s">
        <v>13</v>
      </c>
      <c r="B138" s="49" t="s">
        <v>163</v>
      </c>
      <c r="C138" s="37"/>
      <c r="D138" s="20" t="s">
        <v>467</v>
      </c>
      <c r="E138" s="47"/>
      <c r="F138" s="70"/>
      <c r="G138" s="47"/>
      <c r="H138" s="47"/>
      <c r="I138" s="47"/>
      <c r="J138" s="47"/>
      <c r="K138" s="47"/>
      <c r="L138" s="47"/>
      <c r="M138" s="47"/>
      <c r="N138" s="47"/>
    </row>
    <row r="139" spans="1:14" ht="29.25">
      <c r="A139" s="107"/>
      <c r="B139" s="49" t="s">
        <v>156</v>
      </c>
      <c r="C139" s="37"/>
      <c r="D139" s="20" t="s">
        <v>468</v>
      </c>
      <c r="E139" s="47"/>
      <c r="F139" s="70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107"/>
      <c r="B140" s="49" t="s">
        <v>167</v>
      </c>
      <c r="C140" s="37"/>
      <c r="D140" s="20" t="s">
        <v>469</v>
      </c>
      <c r="E140" s="47"/>
      <c r="F140" s="70"/>
      <c r="G140" s="47"/>
      <c r="H140" s="47"/>
      <c r="I140" s="47"/>
      <c r="J140" s="47"/>
      <c r="K140" s="47"/>
      <c r="L140" s="47"/>
      <c r="M140" s="47"/>
      <c r="N140" s="47"/>
    </row>
    <row r="141" spans="1:14">
      <c r="A141" s="107"/>
      <c r="B141" s="49" t="s">
        <v>166</v>
      </c>
      <c r="C141" s="37"/>
      <c r="D141" s="20" t="s">
        <v>470</v>
      </c>
      <c r="E141" s="47"/>
      <c r="F141" s="70"/>
      <c r="G141" s="47"/>
      <c r="H141" s="47"/>
      <c r="I141" s="47"/>
      <c r="J141" s="47"/>
      <c r="K141" s="47"/>
      <c r="L141" s="47"/>
      <c r="M141" s="47"/>
      <c r="N141" s="47"/>
    </row>
    <row r="142" spans="1:14">
      <c r="A142" s="107"/>
      <c r="B142" s="49" t="s">
        <v>175</v>
      </c>
      <c r="C142" s="37"/>
      <c r="D142" s="20" t="s">
        <v>471</v>
      </c>
      <c r="E142" s="47"/>
      <c r="F142" s="70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107"/>
      <c r="B143" s="49" t="s">
        <v>164</v>
      </c>
      <c r="C143" s="37"/>
      <c r="D143" s="20" t="s">
        <v>472</v>
      </c>
      <c r="E143" s="47"/>
      <c r="F143" s="70"/>
      <c r="G143" s="47"/>
      <c r="H143" s="47"/>
      <c r="I143" s="47"/>
      <c r="J143" s="47"/>
      <c r="K143" s="47"/>
      <c r="L143" s="47"/>
      <c r="M143" s="47"/>
      <c r="N143" s="47"/>
    </row>
    <row r="144" spans="1:14">
      <c r="A144" s="107"/>
      <c r="B144" s="49" t="s">
        <v>171</v>
      </c>
      <c r="C144" s="37"/>
      <c r="D144" s="20" t="s">
        <v>473</v>
      </c>
      <c r="E144" s="47"/>
      <c r="F144" s="70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107"/>
      <c r="B145" s="49" t="s">
        <v>174</v>
      </c>
      <c r="C145" s="53"/>
      <c r="D145" s="20" t="s">
        <v>474</v>
      </c>
      <c r="E145" s="47"/>
      <c r="F145" s="70"/>
      <c r="G145" s="47"/>
      <c r="H145" s="47"/>
      <c r="I145" s="47"/>
      <c r="J145" s="47"/>
      <c r="K145" s="47"/>
      <c r="L145" s="47"/>
      <c r="M145" s="47"/>
      <c r="N145" s="47"/>
    </row>
    <row r="146" spans="1:14">
      <c r="A146" s="107"/>
      <c r="B146" s="49" t="s">
        <v>173</v>
      </c>
      <c r="C146" s="37"/>
      <c r="D146" s="20" t="s">
        <v>475</v>
      </c>
      <c r="E146" s="47"/>
      <c r="F146" s="70"/>
      <c r="G146" s="47"/>
      <c r="H146" s="47"/>
      <c r="I146" s="47"/>
      <c r="J146" s="47"/>
      <c r="K146" s="47"/>
      <c r="L146" s="47"/>
      <c r="M146" s="47"/>
      <c r="N146" s="47"/>
    </row>
    <row r="147" spans="1:14">
      <c r="A147" s="107"/>
      <c r="B147" s="49" t="s">
        <v>172</v>
      </c>
      <c r="C147" s="37"/>
      <c r="D147" s="20" t="s">
        <v>476</v>
      </c>
      <c r="E147" s="47"/>
      <c r="F147" s="70"/>
      <c r="G147" s="47"/>
      <c r="H147" s="47"/>
      <c r="I147" s="47"/>
      <c r="J147" s="47"/>
      <c r="K147" s="47"/>
      <c r="L147" s="47"/>
      <c r="M147" s="47"/>
      <c r="N147" s="47"/>
    </row>
    <row r="148" spans="1:14">
      <c r="A148" s="107"/>
      <c r="B148" s="49" t="s">
        <v>161</v>
      </c>
      <c r="C148" s="53"/>
      <c r="D148" s="20" t="s">
        <v>477</v>
      </c>
      <c r="E148" s="47"/>
      <c r="F148" s="70"/>
      <c r="G148" s="47"/>
      <c r="H148" s="47"/>
      <c r="I148" s="47"/>
      <c r="J148" s="47"/>
      <c r="K148" s="47"/>
      <c r="L148" s="47"/>
      <c r="M148" s="47"/>
      <c r="N148" s="47"/>
    </row>
    <row r="149" spans="1:14">
      <c r="A149" s="107"/>
      <c r="B149" s="49" t="s">
        <v>162</v>
      </c>
      <c r="C149" s="37"/>
      <c r="D149" s="20" t="s">
        <v>478</v>
      </c>
      <c r="E149" s="47"/>
      <c r="F149" s="70"/>
      <c r="G149" s="47"/>
      <c r="H149" s="47"/>
      <c r="I149" s="47"/>
      <c r="J149" s="47"/>
      <c r="K149" s="47"/>
      <c r="L149" s="47"/>
      <c r="M149" s="47"/>
      <c r="N149" s="47"/>
    </row>
    <row r="150" spans="1:14" ht="29.25">
      <c r="A150" s="107"/>
      <c r="B150" s="49" t="s">
        <v>158</v>
      </c>
      <c r="C150" s="37"/>
      <c r="D150" s="20" t="s">
        <v>479</v>
      </c>
      <c r="E150" s="47"/>
      <c r="F150" s="70"/>
      <c r="G150" s="47"/>
      <c r="H150" s="47"/>
      <c r="I150" s="47"/>
      <c r="J150" s="47"/>
      <c r="K150" s="47"/>
      <c r="L150" s="47"/>
      <c r="M150" s="47"/>
      <c r="N150" s="47"/>
    </row>
    <row r="151" spans="1:14" ht="29.25">
      <c r="A151" s="107"/>
      <c r="B151" s="49" t="s">
        <v>159</v>
      </c>
      <c r="C151" s="37"/>
      <c r="D151" s="20" t="s">
        <v>480</v>
      </c>
      <c r="E151" s="47"/>
      <c r="F151" s="70"/>
      <c r="G151" s="47"/>
      <c r="H151" s="47"/>
      <c r="I151" s="47"/>
      <c r="J151" s="47"/>
      <c r="K151" s="47"/>
      <c r="L151" s="47"/>
      <c r="M151" s="47"/>
      <c r="N151" s="47"/>
    </row>
    <row r="152" spans="1:14">
      <c r="A152" s="107"/>
      <c r="B152" s="49" t="s">
        <v>155</v>
      </c>
      <c r="C152" s="53"/>
      <c r="D152" s="20" t="s">
        <v>481</v>
      </c>
      <c r="E152" s="47"/>
      <c r="F152" s="70"/>
      <c r="G152" s="47"/>
      <c r="H152" s="47"/>
      <c r="I152" s="47"/>
      <c r="J152" s="47"/>
      <c r="K152" s="47"/>
      <c r="L152" s="47"/>
      <c r="M152" s="47"/>
      <c r="N152" s="47"/>
    </row>
    <row r="153" spans="1:14">
      <c r="A153" s="107"/>
      <c r="B153" s="49" t="s">
        <v>169</v>
      </c>
      <c r="C153" s="37"/>
      <c r="D153" s="20" t="s">
        <v>482</v>
      </c>
      <c r="E153" s="47"/>
      <c r="F153" s="70"/>
      <c r="G153" s="47"/>
      <c r="H153" s="47"/>
      <c r="I153" s="47"/>
      <c r="J153" s="47"/>
      <c r="K153" s="47"/>
      <c r="L153" s="47"/>
      <c r="M153" s="47"/>
      <c r="N153" s="47"/>
    </row>
    <row r="154" spans="1:14">
      <c r="A154" s="107"/>
      <c r="B154" s="49" t="s">
        <v>170</v>
      </c>
      <c r="C154" s="37" t="s">
        <v>894</v>
      </c>
      <c r="D154" s="20" t="s">
        <v>483</v>
      </c>
      <c r="E154" s="47">
        <v>547.5</v>
      </c>
      <c r="F154" s="70">
        <f>E154/(E154+E156)</f>
        <v>0.78947368421052633</v>
      </c>
      <c r="G154" s="47" t="s">
        <v>948</v>
      </c>
      <c r="H154" s="47"/>
      <c r="I154" s="47"/>
      <c r="J154" s="47"/>
      <c r="K154" s="47"/>
      <c r="L154" s="47"/>
      <c r="M154" s="47"/>
      <c r="N154" s="47"/>
    </row>
    <row r="155" spans="1:14">
      <c r="A155" s="107"/>
      <c r="B155" s="49" t="s">
        <v>160</v>
      </c>
      <c r="C155" s="37"/>
      <c r="D155" s="20" t="s">
        <v>484</v>
      </c>
      <c r="E155" s="47"/>
      <c r="F155" s="70"/>
      <c r="G155" s="47"/>
      <c r="H155" s="47"/>
      <c r="I155" s="47"/>
      <c r="J155" s="47"/>
      <c r="K155" s="47"/>
      <c r="L155" s="47"/>
      <c r="M155" s="47"/>
      <c r="N155" s="47"/>
    </row>
    <row r="156" spans="1:14">
      <c r="A156" s="107"/>
      <c r="B156" s="49" t="s">
        <v>157</v>
      </c>
      <c r="C156" s="37" t="s">
        <v>988</v>
      </c>
      <c r="D156" s="20" t="s">
        <v>485</v>
      </c>
      <c r="E156" s="47">
        <v>146</v>
      </c>
      <c r="F156" s="70">
        <f>E156/(E154+E156)</f>
        <v>0.21052631578947367</v>
      </c>
      <c r="G156" s="47" t="s">
        <v>948</v>
      </c>
      <c r="I156" s="47"/>
      <c r="J156" s="47"/>
      <c r="K156" s="47"/>
      <c r="L156" s="47"/>
      <c r="M156" s="47"/>
      <c r="N156" s="47"/>
    </row>
    <row r="157" spans="1:14">
      <c r="A157" s="107"/>
      <c r="B157" s="49" t="s">
        <v>165</v>
      </c>
      <c r="C157" s="37"/>
      <c r="D157" s="20" t="s">
        <v>486</v>
      </c>
      <c r="E157" s="47"/>
      <c r="F157" s="70"/>
      <c r="G157" s="47"/>
      <c r="H157" s="47"/>
      <c r="I157" s="47"/>
      <c r="J157" s="47"/>
      <c r="K157" s="47"/>
      <c r="L157" s="47"/>
      <c r="M157" s="47"/>
      <c r="N157" s="47"/>
    </row>
    <row r="158" spans="1:14">
      <c r="A158" s="107"/>
      <c r="B158" s="49" t="s">
        <v>168</v>
      </c>
      <c r="C158" s="37"/>
      <c r="D158" s="20" t="s">
        <v>487</v>
      </c>
      <c r="E158" s="47"/>
      <c r="F158" s="70"/>
      <c r="G158" s="47"/>
      <c r="H158" s="47"/>
      <c r="I158" s="47"/>
      <c r="J158" s="47"/>
      <c r="K158" s="47"/>
      <c r="L158" s="47"/>
      <c r="M158" s="47"/>
      <c r="N158" s="47"/>
    </row>
    <row r="159" spans="1:14">
      <c r="A159" s="56" t="s">
        <v>623</v>
      </c>
      <c r="B159" s="49" t="s">
        <v>488</v>
      </c>
      <c r="C159" s="37"/>
      <c r="D159" s="20" t="s">
        <v>489</v>
      </c>
      <c r="E159" s="47"/>
      <c r="F159" s="70">
        <v>1</v>
      </c>
      <c r="G159" s="47" t="s">
        <v>925</v>
      </c>
      <c r="H159" s="47"/>
      <c r="I159" s="47"/>
      <c r="J159" s="47"/>
      <c r="K159" s="47"/>
      <c r="L159" s="47"/>
      <c r="M159" s="47"/>
      <c r="N159" s="47"/>
    </row>
    <row r="160" spans="1:14">
      <c r="A160" s="56" t="s">
        <v>14</v>
      </c>
      <c r="B160" s="49" t="s">
        <v>176</v>
      </c>
      <c r="C160" s="37" t="s">
        <v>1153</v>
      </c>
      <c r="D160" s="20" t="s">
        <v>490</v>
      </c>
      <c r="E160" s="47">
        <f>1770*$H$2</f>
        <v>646.04999999999995</v>
      </c>
      <c r="F160" s="70">
        <v>1</v>
      </c>
      <c r="G160" s="47" t="s">
        <v>948</v>
      </c>
      <c r="H160" s="47"/>
      <c r="I160" s="47"/>
      <c r="J160" s="47"/>
      <c r="K160" s="47"/>
      <c r="L160" s="47"/>
      <c r="M160" s="47"/>
      <c r="N160" s="47"/>
    </row>
    <row r="161" spans="1:14">
      <c r="A161" s="107" t="s">
        <v>1164</v>
      </c>
      <c r="B161" s="49" t="s">
        <v>491</v>
      </c>
      <c r="C161" s="37"/>
      <c r="D161" s="20" t="s">
        <v>492</v>
      </c>
      <c r="E161" s="47"/>
      <c r="F161" s="70"/>
      <c r="G161" s="47"/>
      <c r="H161" s="47"/>
      <c r="I161" s="47"/>
      <c r="J161" s="47"/>
      <c r="K161" s="47"/>
      <c r="L161" s="47"/>
      <c r="M161" s="47"/>
      <c r="N161" s="47"/>
    </row>
    <row r="162" spans="1:14" ht="29.25">
      <c r="A162" s="107"/>
      <c r="B162" s="49" t="s">
        <v>493</v>
      </c>
      <c r="C162" s="37" t="s">
        <v>726</v>
      </c>
      <c r="D162" s="20" t="s">
        <v>494</v>
      </c>
      <c r="E162" s="47">
        <f>1400*$H$2</f>
        <v>511</v>
      </c>
      <c r="F162" s="70">
        <v>1</v>
      </c>
      <c r="G162" s="47"/>
      <c r="H162" s="47"/>
      <c r="I162" s="47"/>
      <c r="J162" s="47"/>
      <c r="K162" s="47"/>
      <c r="L162" s="47"/>
      <c r="M162" s="47"/>
      <c r="N162" s="47"/>
    </row>
    <row r="163" spans="1:14">
      <c r="A163" s="56" t="s">
        <v>15</v>
      </c>
      <c r="B163" s="49" t="s">
        <v>177</v>
      </c>
      <c r="C163" s="37"/>
      <c r="D163" s="20" t="s">
        <v>15</v>
      </c>
      <c r="F163" s="70">
        <v>1</v>
      </c>
      <c r="G163" s="47" t="s">
        <v>925</v>
      </c>
      <c r="H163" s="47"/>
      <c r="I163" s="47"/>
      <c r="J163" s="47"/>
      <c r="K163" s="47"/>
      <c r="L163" s="47"/>
      <c r="M163" s="47"/>
      <c r="N163" s="47"/>
    </row>
    <row r="164" spans="1:14">
      <c r="A164" s="107" t="s">
        <v>16</v>
      </c>
      <c r="B164" s="49" t="s">
        <v>182</v>
      </c>
      <c r="C164" s="37"/>
      <c r="D164" s="20" t="s">
        <v>495</v>
      </c>
      <c r="E164" s="47"/>
      <c r="F164" s="70"/>
      <c r="G164" s="47"/>
      <c r="H164" s="47"/>
      <c r="I164" s="47"/>
      <c r="J164" s="47"/>
      <c r="K164" s="47"/>
      <c r="L164" s="47"/>
      <c r="M164" s="47"/>
      <c r="N164" s="47"/>
    </row>
    <row r="165" spans="1:14">
      <c r="A165" s="107"/>
      <c r="B165" s="49" t="s">
        <v>181</v>
      </c>
      <c r="C165" s="37" t="s">
        <v>902</v>
      </c>
      <c r="D165" s="20" t="s">
        <v>496</v>
      </c>
      <c r="E165" s="47">
        <v>0</v>
      </c>
      <c r="F165" s="70"/>
      <c r="G165" s="47"/>
      <c r="H165" s="47"/>
      <c r="I165" s="47"/>
      <c r="J165" s="47"/>
      <c r="K165" s="47"/>
      <c r="L165" s="47"/>
      <c r="M165" s="47"/>
      <c r="N165" s="47"/>
    </row>
    <row r="166" spans="1:14">
      <c r="A166" s="107"/>
      <c r="B166" s="49" t="s">
        <v>180</v>
      </c>
      <c r="C166" s="37" t="s">
        <v>903</v>
      </c>
      <c r="D166" s="20" t="s">
        <v>497</v>
      </c>
      <c r="E166" s="47">
        <v>0</v>
      </c>
      <c r="F166" s="70"/>
      <c r="G166" s="47"/>
      <c r="H166" s="47"/>
      <c r="I166" s="47"/>
      <c r="J166" s="47"/>
      <c r="K166" s="47"/>
      <c r="L166" s="47"/>
      <c r="M166" s="47"/>
      <c r="N166" s="47"/>
    </row>
    <row r="167" spans="1:14">
      <c r="A167" s="107"/>
      <c r="B167" s="49" t="s">
        <v>179</v>
      </c>
      <c r="C167" s="37"/>
      <c r="D167" s="20" t="s">
        <v>498</v>
      </c>
      <c r="E167" s="47"/>
      <c r="F167" s="70"/>
      <c r="G167" s="47"/>
      <c r="H167" s="47"/>
      <c r="I167" s="47"/>
      <c r="J167" s="47"/>
      <c r="K167" s="47"/>
      <c r="L167" s="47"/>
      <c r="M167" s="47"/>
      <c r="N167" s="47"/>
    </row>
    <row r="168" spans="1:14">
      <c r="A168" s="107"/>
      <c r="B168" s="49" t="s">
        <v>184</v>
      </c>
      <c r="C168" s="37"/>
      <c r="D168" s="20" t="s">
        <v>499</v>
      </c>
      <c r="E168" s="47"/>
      <c r="F168" s="70"/>
      <c r="G168" s="47"/>
      <c r="H168" s="47"/>
      <c r="I168" s="47"/>
      <c r="J168" s="47"/>
      <c r="K168" s="47"/>
      <c r="L168" s="47"/>
      <c r="M168" s="47"/>
      <c r="N168" s="47"/>
    </row>
    <row r="169" spans="1:14">
      <c r="A169" s="107"/>
      <c r="B169" s="49" t="s">
        <v>183</v>
      </c>
      <c r="C169" s="53" t="s">
        <v>1129</v>
      </c>
      <c r="D169" s="20" t="s">
        <v>500</v>
      </c>
      <c r="E169" s="47">
        <v>497</v>
      </c>
      <c r="F169" s="70">
        <f t="shared" ref="F169" si="5">E169/SUM(E$164:E$171)</f>
        <v>1</v>
      </c>
      <c r="G169" s="47" t="s">
        <v>1132</v>
      </c>
      <c r="H169" s="47"/>
      <c r="J169" s="47"/>
      <c r="K169" s="47"/>
      <c r="L169" s="47"/>
      <c r="M169" s="47"/>
      <c r="N169" s="47"/>
    </row>
    <row r="170" spans="1:14">
      <c r="A170" s="107"/>
      <c r="B170" s="49" t="s">
        <v>178</v>
      </c>
      <c r="C170" s="37"/>
      <c r="D170" s="20" t="s">
        <v>501</v>
      </c>
      <c r="E170" s="47"/>
      <c r="F170" s="70"/>
      <c r="G170" s="47"/>
      <c r="H170" s="47"/>
      <c r="I170" s="47"/>
      <c r="J170" s="47"/>
      <c r="K170" s="47"/>
      <c r="L170" s="47"/>
      <c r="M170" s="47"/>
      <c r="N170" s="47"/>
    </row>
    <row r="171" spans="1:14">
      <c r="A171" s="107"/>
      <c r="B171" s="49" t="s">
        <v>185</v>
      </c>
      <c r="C171" s="37"/>
      <c r="D171" s="20" t="s">
        <v>502</v>
      </c>
      <c r="E171" s="47"/>
      <c r="F171" s="70"/>
      <c r="G171" s="47"/>
      <c r="H171" s="47"/>
      <c r="I171" s="47"/>
      <c r="J171" s="47"/>
      <c r="K171" s="47"/>
      <c r="L171" s="47"/>
      <c r="M171" s="47"/>
      <c r="N171" s="47"/>
    </row>
    <row r="172" spans="1:14">
      <c r="A172" s="56" t="s">
        <v>504</v>
      </c>
      <c r="B172" s="49" t="s">
        <v>503</v>
      </c>
      <c r="C172" s="37"/>
      <c r="D172" s="20" t="s">
        <v>504</v>
      </c>
      <c r="E172" s="47"/>
      <c r="F172" s="70">
        <v>1</v>
      </c>
      <c r="G172" s="47" t="s">
        <v>925</v>
      </c>
      <c r="H172" s="47"/>
      <c r="I172" s="47"/>
      <c r="J172" s="47"/>
      <c r="K172" s="47"/>
      <c r="L172" s="47"/>
      <c r="M172" s="47"/>
      <c r="N172" s="47"/>
    </row>
    <row r="173" spans="1:14">
      <c r="A173" s="107" t="s">
        <v>17</v>
      </c>
      <c r="B173" s="49" t="s">
        <v>193</v>
      </c>
      <c r="C173" s="37"/>
      <c r="D173" s="20" t="s">
        <v>505</v>
      </c>
      <c r="E173" s="47"/>
      <c r="F173" s="70"/>
      <c r="G173" s="47"/>
      <c r="H173" s="47"/>
      <c r="I173" s="47"/>
      <c r="J173" s="47"/>
      <c r="K173" s="47"/>
      <c r="L173" s="47"/>
      <c r="M173" s="47"/>
      <c r="N173" s="47"/>
    </row>
    <row r="174" spans="1:14">
      <c r="A174" s="107"/>
      <c r="B174" s="49" t="s">
        <v>195</v>
      </c>
      <c r="C174" s="37"/>
      <c r="D174" s="20" t="s">
        <v>506</v>
      </c>
      <c r="E174" s="47"/>
      <c r="F174" s="70"/>
      <c r="G174" s="47"/>
      <c r="H174" s="47"/>
      <c r="I174" s="47"/>
      <c r="J174" s="47"/>
      <c r="K174" s="47"/>
      <c r="L174" s="47"/>
      <c r="M174" s="47"/>
      <c r="N174" s="47"/>
    </row>
    <row r="175" spans="1:14">
      <c r="A175" s="107"/>
      <c r="B175" s="49" t="s">
        <v>197</v>
      </c>
      <c r="C175" s="37"/>
      <c r="D175" s="20" t="s">
        <v>507</v>
      </c>
      <c r="E175" s="47"/>
      <c r="F175" s="70"/>
      <c r="G175" s="47"/>
      <c r="H175" s="47"/>
      <c r="I175" s="47"/>
      <c r="J175" s="47"/>
      <c r="K175" s="47"/>
      <c r="L175" s="47"/>
      <c r="M175" s="47"/>
      <c r="N175" s="47"/>
    </row>
    <row r="176" spans="1:14">
      <c r="A176" s="107"/>
      <c r="B176" s="49" t="s">
        <v>188</v>
      </c>
      <c r="C176" s="37"/>
      <c r="D176" s="20" t="s">
        <v>508</v>
      </c>
      <c r="E176" s="47"/>
      <c r="F176" s="70"/>
      <c r="G176" s="47"/>
      <c r="H176" s="47"/>
      <c r="I176" s="47"/>
      <c r="J176" s="47"/>
      <c r="K176" s="47"/>
      <c r="L176" s="47"/>
      <c r="M176" s="47"/>
      <c r="N176" s="47"/>
    </row>
    <row r="177" spans="1:14">
      <c r="A177" s="107"/>
      <c r="B177" s="49" t="s">
        <v>194</v>
      </c>
      <c r="C177" s="37"/>
      <c r="D177" s="20" t="s">
        <v>509</v>
      </c>
      <c r="E177" s="47"/>
      <c r="F177" s="70"/>
      <c r="G177" s="47"/>
      <c r="H177" s="47"/>
      <c r="I177" s="47"/>
      <c r="J177" s="47"/>
      <c r="K177" s="47"/>
      <c r="L177" s="47"/>
      <c r="M177" s="47"/>
      <c r="N177" s="47"/>
    </row>
    <row r="178" spans="1:14">
      <c r="A178" s="107"/>
      <c r="B178" s="49" t="s">
        <v>196</v>
      </c>
      <c r="C178" s="37"/>
      <c r="D178" s="20" t="s">
        <v>510</v>
      </c>
      <c r="E178" s="47"/>
      <c r="F178" s="70"/>
      <c r="G178" s="47"/>
      <c r="H178" s="47"/>
      <c r="I178" s="47"/>
      <c r="J178" s="47"/>
      <c r="K178" s="47"/>
      <c r="L178" s="47"/>
      <c r="M178" s="47"/>
      <c r="N178" s="47"/>
    </row>
    <row r="179" spans="1:14">
      <c r="A179" s="107"/>
      <c r="B179" s="49" t="s">
        <v>190</v>
      </c>
      <c r="C179" s="37"/>
      <c r="D179" s="20" t="s">
        <v>511</v>
      </c>
      <c r="E179" s="47"/>
      <c r="F179" s="70"/>
      <c r="G179" s="47"/>
      <c r="H179" s="47"/>
      <c r="I179" s="47"/>
      <c r="J179" s="47"/>
      <c r="K179" s="47"/>
      <c r="L179" s="47"/>
      <c r="M179" s="47"/>
      <c r="N179" s="47"/>
    </row>
    <row r="180" spans="1:14">
      <c r="A180" s="107"/>
      <c r="B180" s="49" t="s">
        <v>189</v>
      </c>
      <c r="C180" s="37"/>
      <c r="D180" s="20" t="s">
        <v>512</v>
      </c>
      <c r="E180" s="47"/>
      <c r="F180" s="70"/>
      <c r="G180" s="47"/>
      <c r="H180" s="47"/>
      <c r="I180" s="47"/>
      <c r="J180" s="47"/>
      <c r="K180" s="47"/>
      <c r="L180" s="47"/>
      <c r="M180" s="47"/>
      <c r="N180" s="47"/>
    </row>
    <row r="181" spans="1:14">
      <c r="A181" s="107"/>
      <c r="B181" s="49" t="s">
        <v>186</v>
      </c>
      <c r="C181" s="37"/>
      <c r="D181" s="20" t="s">
        <v>513</v>
      </c>
      <c r="E181" s="47"/>
      <c r="F181" s="70"/>
      <c r="G181" s="47"/>
      <c r="H181" s="47"/>
      <c r="I181" s="47"/>
      <c r="J181" s="47"/>
      <c r="K181" s="47"/>
      <c r="L181" s="47"/>
      <c r="M181" s="47"/>
      <c r="N181" s="47"/>
    </row>
    <row r="182" spans="1:14">
      <c r="A182" s="107"/>
      <c r="B182" s="49" t="s">
        <v>187</v>
      </c>
      <c r="C182" s="53" t="s">
        <v>891</v>
      </c>
      <c r="D182" s="20" t="s">
        <v>514</v>
      </c>
      <c r="E182" s="47">
        <f>(900+1500+1750)*$H$2</f>
        <v>1514.75</v>
      </c>
      <c r="F182" s="70">
        <f t="shared" ref="F182:F184" si="6">E182/SUM(E$173:E$184)</f>
        <v>0.75317604355716872</v>
      </c>
      <c r="G182" s="47" t="s">
        <v>948</v>
      </c>
      <c r="H182" s="47"/>
      <c r="I182" s="47"/>
      <c r="J182" s="47"/>
      <c r="K182" s="47"/>
      <c r="L182" s="47"/>
      <c r="M182" s="47"/>
      <c r="N182" s="47"/>
    </row>
    <row r="183" spans="1:14">
      <c r="A183" s="107"/>
      <c r="B183" s="49" t="s">
        <v>191</v>
      </c>
      <c r="C183" s="53"/>
      <c r="D183" s="20" t="s">
        <v>515</v>
      </c>
      <c r="E183" s="47"/>
      <c r="F183" s="70"/>
      <c r="G183" s="47"/>
      <c r="H183" s="47"/>
      <c r="I183" s="47"/>
      <c r="J183" s="47"/>
      <c r="K183" s="47"/>
      <c r="L183" s="47"/>
      <c r="M183" s="47"/>
      <c r="N183" s="47"/>
    </row>
    <row r="184" spans="1:14">
      <c r="A184" s="107"/>
      <c r="B184" s="49" t="s">
        <v>192</v>
      </c>
      <c r="C184" s="53" t="s">
        <v>674</v>
      </c>
      <c r="D184" s="20" t="s">
        <v>516</v>
      </c>
      <c r="E184" s="47">
        <f>1360*$H$2</f>
        <v>496.4</v>
      </c>
      <c r="F184" s="70">
        <f t="shared" si="6"/>
        <v>0.2468239564428312</v>
      </c>
      <c r="G184" s="47" t="s">
        <v>948</v>
      </c>
      <c r="H184" s="47"/>
      <c r="I184" s="47"/>
      <c r="J184" s="47"/>
      <c r="K184" s="47"/>
      <c r="L184" s="47"/>
      <c r="M184" s="47"/>
      <c r="N184" s="47"/>
    </row>
    <row r="185" spans="1:14">
      <c r="A185" s="107" t="s">
        <v>18</v>
      </c>
      <c r="B185" s="49" t="s">
        <v>206</v>
      </c>
      <c r="C185" s="37"/>
      <c r="D185" s="20" t="s">
        <v>517</v>
      </c>
      <c r="E185" s="47"/>
      <c r="F185" s="70"/>
      <c r="G185" s="47"/>
      <c r="H185" s="47"/>
      <c r="I185" s="47"/>
      <c r="J185" s="47"/>
      <c r="K185" s="47"/>
      <c r="L185" s="47"/>
      <c r="M185" s="47"/>
      <c r="N185" s="47"/>
    </row>
    <row r="186" spans="1:14">
      <c r="A186" s="107"/>
      <c r="B186" s="49" t="s">
        <v>204</v>
      </c>
      <c r="C186" s="37"/>
      <c r="D186" s="20" t="s">
        <v>518</v>
      </c>
      <c r="E186" s="47"/>
      <c r="F186" s="70"/>
      <c r="G186" s="47"/>
      <c r="H186" s="47"/>
      <c r="I186" s="47"/>
      <c r="J186" s="47"/>
      <c r="K186" s="47"/>
      <c r="L186" s="47"/>
      <c r="M186" s="47"/>
      <c r="N186" s="47"/>
    </row>
    <row r="187" spans="1:14">
      <c r="A187" s="107"/>
      <c r="B187" s="49" t="s">
        <v>203</v>
      </c>
      <c r="C187" s="37"/>
      <c r="D187" s="20" t="s">
        <v>519</v>
      </c>
      <c r="E187" s="47"/>
      <c r="F187" s="70"/>
      <c r="G187" s="47"/>
      <c r="H187" s="47"/>
      <c r="I187" s="47"/>
      <c r="J187" s="47"/>
      <c r="K187" s="47"/>
      <c r="L187" s="47"/>
      <c r="M187" s="47"/>
      <c r="N187" s="47"/>
    </row>
    <row r="188" spans="1:14">
      <c r="A188" s="107"/>
      <c r="B188" s="49" t="s">
        <v>205</v>
      </c>
      <c r="C188" s="37"/>
      <c r="D188" s="20" t="s">
        <v>520</v>
      </c>
      <c r="E188" s="47"/>
      <c r="F188" s="70"/>
      <c r="G188" s="47"/>
      <c r="H188" s="47"/>
      <c r="I188" s="47"/>
      <c r="J188" s="47"/>
      <c r="K188" s="47"/>
      <c r="L188" s="47"/>
      <c r="M188" s="47"/>
      <c r="N188" s="47"/>
    </row>
    <row r="189" spans="1:14">
      <c r="A189" s="107"/>
      <c r="B189" s="49" t="s">
        <v>200</v>
      </c>
      <c r="C189" s="37"/>
      <c r="D189" s="20" t="s">
        <v>521</v>
      </c>
      <c r="E189" s="47"/>
      <c r="F189" s="70"/>
      <c r="G189" s="47"/>
      <c r="H189" s="47"/>
      <c r="I189" s="47"/>
      <c r="J189" s="47"/>
      <c r="K189" s="47"/>
      <c r="L189" s="47"/>
      <c r="M189" s="47"/>
      <c r="N189" s="47"/>
    </row>
    <row r="190" spans="1:14">
      <c r="A190" s="107"/>
      <c r="B190" s="49" t="s">
        <v>202</v>
      </c>
      <c r="C190" s="37" t="s">
        <v>809</v>
      </c>
      <c r="D190" s="20" t="s">
        <v>522</v>
      </c>
      <c r="E190" s="47">
        <f>(1000+520)*$H$2</f>
        <v>554.79999999999995</v>
      </c>
      <c r="F190" s="70">
        <v>1</v>
      </c>
      <c r="G190" s="47" t="s">
        <v>948</v>
      </c>
      <c r="H190" s="47"/>
      <c r="I190" s="47"/>
      <c r="J190" s="47"/>
      <c r="K190" s="47"/>
      <c r="L190" s="47"/>
      <c r="M190" s="47"/>
      <c r="N190" s="47"/>
    </row>
    <row r="191" spans="1:14">
      <c r="A191" s="107"/>
      <c r="B191" s="49" t="s">
        <v>201</v>
      </c>
      <c r="C191" s="37"/>
      <c r="D191" s="20" t="s">
        <v>523</v>
      </c>
      <c r="E191" s="47"/>
      <c r="F191" s="70"/>
      <c r="G191" s="47"/>
      <c r="H191" s="47"/>
      <c r="I191" s="47"/>
      <c r="J191" s="47"/>
      <c r="K191" s="47"/>
      <c r="L191" s="47"/>
      <c r="M191" s="47"/>
      <c r="N191" s="47"/>
    </row>
    <row r="192" spans="1:14">
      <c r="A192" s="107"/>
      <c r="B192" s="49" t="s">
        <v>199</v>
      </c>
      <c r="C192" s="37"/>
      <c r="D192" s="20" t="s">
        <v>524</v>
      </c>
      <c r="E192" s="47"/>
      <c r="F192" s="70"/>
      <c r="G192" s="47"/>
      <c r="H192" s="47"/>
      <c r="I192" s="47"/>
      <c r="J192" s="47"/>
      <c r="K192" s="47"/>
      <c r="L192" s="47"/>
      <c r="M192" s="47"/>
      <c r="N192" s="47"/>
    </row>
    <row r="193" spans="1:14">
      <c r="A193" s="107"/>
      <c r="B193" s="49" t="s">
        <v>198</v>
      </c>
      <c r="C193" s="37"/>
      <c r="D193" s="20" t="s">
        <v>525</v>
      </c>
      <c r="E193" s="47"/>
      <c r="F193" s="70"/>
      <c r="G193" s="47"/>
      <c r="H193" s="47"/>
      <c r="I193" s="47"/>
      <c r="J193" s="47"/>
      <c r="K193" s="47"/>
      <c r="L193" s="47"/>
      <c r="M193" s="47"/>
      <c r="N193" s="47"/>
    </row>
    <row r="194" spans="1:14">
      <c r="A194" s="107" t="s">
        <v>19</v>
      </c>
      <c r="B194" s="49" t="s">
        <v>219</v>
      </c>
      <c r="C194" s="37" t="s">
        <v>1141</v>
      </c>
      <c r="D194" s="20" t="s">
        <v>526</v>
      </c>
      <c r="E194" s="47">
        <v>193.45</v>
      </c>
      <c r="F194" s="70">
        <f t="shared" ref="F194:F206" si="7">E194/SUM(E$194:E$210)</f>
        <v>7.1205531050813758E-2</v>
      </c>
      <c r="G194" s="47" t="s">
        <v>948</v>
      </c>
      <c r="H194" s="47"/>
      <c r="I194" s="47"/>
      <c r="J194" s="47"/>
      <c r="K194" s="47"/>
      <c r="L194" s="47"/>
      <c r="M194" s="47"/>
      <c r="N194" s="47"/>
    </row>
    <row r="195" spans="1:14">
      <c r="A195" s="107"/>
      <c r="B195" s="49" t="s">
        <v>210</v>
      </c>
      <c r="C195" s="37"/>
      <c r="D195" s="20" t="s">
        <v>527</v>
      </c>
      <c r="E195" s="47"/>
      <c r="F195" s="70"/>
      <c r="G195" s="47"/>
      <c r="H195" s="47"/>
      <c r="I195" s="47"/>
      <c r="J195" s="47"/>
      <c r="K195" s="47"/>
      <c r="L195" s="47"/>
      <c r="M195" s="47"/>
      <c r="N195" s="47"/>
    </row>
    <row r="196" spans="1:14">
      <c r="A196" s="107"/>
      <c r="B196" s="49" t="s">
        <v>221</v>
      </c>
      <c r="C196" s="37" t="s">
        <v>909</v>
      </c>
      <c r="D196" s="20" t="s">
        <v>528</v>
      </c>
      <c r="E196" s="47"/>
      <c r="F196" s="70"/>
      <c r="G196" s="47"/>
      <c r="H196" s="47"/>
      <c r="I196" s="47"/>
      <c r="J196" s="47"/>
      <c r="K196" s="47"/>
      <c r="L196" s="47"/>
      <c r="M196" s="47"/>
      <c r="N196" s="47"/>
    </row>
    <row r="197" spans="1:14">
      <c r="A197" s="107"/>
      <c r="B197" s="49" t="s">
        <v>207</v>
      </c>
      <c r="C197" s="37" t="s">
        <v>1138</v>
      </c>
      <c r="D197" s="20" t="s">
        <v>529</v>
      </c>
      <c r="E197" s="47">
        <v>547.5</v>
      </c>
      <c r="F197" s="70">
        <f t="shared" ref="F197" si="8">E197/SUM(E$194:E$210)</f>
        <v>0.20152508787966161</v>
      </c>
      <c r="G197" s="47" t="s">
        <v>948</v>
      </c>
      <c r="H197" s="47"/>
      <c r="I197" s="47"/>
      <c r="J197" s="47"/>
      <c r="K197" s="47"/>
      <c r="L197" s="47"/>
      <c r="M197" s="47"/>
      <c r="N197" s="47"/>
    </row>
    <row r="198" spans="1:14">
      <c r="A198" s="107"/>
      <c r="B198" s="49" t="s">
        <v>216</v>
      </c>
      <c r="C198" s="37"/>
      <c r="D198" s="20" t="s">
        <v>530</v>
      </c>
      <c r="E198" s="47"/>
      <c r="F198" s="70"/>
      <c r="G198" s="47"/>
      <c r="H198" s="47"/>
      <c r="I198" s="47"/>
      <c r="J198" s="47"/>
      <c r="K198" s="47"/>
      <c r="L198" s="47"/>
      <c r="M198" s="47"/>
      <c r="N198" s="47"/>
    </row>
    <row r="199" spans="1:14">
      <c r="A199" s="107"/>
      <c r="B199" s="49" t="s">
        <v>218</v>
      </c>
      <c r="C199" s="37"/>
      <c r="D199" s="20" t="s">
        <v>531</v>
      </c>
      <c r="E199" s="47"/>
      <c r="F199" s="70"/>
      <c r="G199" s="47"/>
      <c r="H199" s="47"/>
      <c r="I199" s="47"/>
      <c r="J199" s="47"/>
      <c r="K199" s="47"/>
      <c r="L199" s="47"/>
      <c r="M199" s="47"/>
      <c r="N199" s="47"/>
    </row>
    <row r="200" spans="1:14">
      <c r="A200" s="107"/>
      <c r="B200" s="49" t="s">
        <v>213</v>
      </c>
      <c r="C200" s="37" t="s">
        <v>1139</v>
      </c>
      <c r="D200" s="20" t="s">
        <v>532</v>
      </c>
      <c r="E200" s="47">
        <v>182.5</v>
      </c>
      <c r="F200" s="70">
        <f t="shared" ref="F200" si="9">E200/SUM(E$194:E$210)</f>
        <v>6.7175029293220542E-2</v>
      </c>
      <c r="G200" s="47" t="s">
        <v>948</v>
      </c>
      <c r="H200" s="47"/>
      <c r="I200" s="47"/>
      <c r="J200" s="47"/>
      <c r="K200" s="47"/>
      <c r="L200" s="47"/>
      <c r="M200" s="47"/>
      <c r="N200" s="47"/>
    </row>
    <row r="201" spans="1:14" ht="29.25">
      <c r="A201" s="107"/>
      <c r="B201" s="49" t="s">
        <v>220</v>
      </c>
      <c r="C201" s="37" t="s">
        <v>1140</v>
      </c>
      <c r="D201" s="20" t="s">
        <v>533</v>
      </c>
      <c r="E201" s="47">
        <f>1460/3*2</f>
        <v>973.33333333333337</v>
      </c>
      <c r="F201" s="70">
        <f t="shared" si="7"/>
        <v>0.35826682289717621</v>
      </c>
      <c r="G201" s="47" t="s">
        <v>1142</v>
      </c>
      <c r="H201" s="47"/>
      <c r="I201" s="47"/>
      <c r="J201" s="47"/>
      <c r="K201" s="47"/>
      <c r="L201" s="47"/>
      <c r="M201" s="47"/>
      <c r="N201" s="47"/>
    </row>
    <row r="202" spans="1:14">
      <c r="A202" s="107"/>
      <c r="B202" s="49" t="s">
        <v>208</v>
      </c>
      <c r="C202" s="37"/>
      <c r="D202" s="20" t="s">
        <v>534</v>
      </c>
      <c r="E202" s="47"/>
      <c r="F202" s="70"/>
      <c r="G202" s="47"/>
      <c r="H202" s="47"/>
      <c r="I202" s="47"/>
      <c r="J202" s="47"/>
      <c r="K202" s="47"/>
      <c r="L202" s="47"/>
      <c r="M202" s="47"/>
      <c r="N202" s="47"/>
    </row>
    <row r="203" spans="1:14">
      <c r="A203" s="107"/>
      <c r="B203" s="49" t="s">
        <v>211</v>
      </c>
      <c r="C203" s="37"/>
      <c r="D203" s="20" t="s">
        <v>535</v>
      </c>
      <c r="E203" s="47"/>
      <c r="F203" s="70"/>
      <c r="G203" s="47"/>
      <c r="H203" s="47"/>
      <c r="I203" s="47"/>
      <c r="J203" s="47"/>
      <c r="K203" s="47"/>
      <c r="L203" s="47"/>
      <c r="M203" s="47"/>
      <c r="N203" s="47"/>
    </row>
    <row r="204" spans="1:14">
      <c r="A204" s="107"/>
      <c r="B204" s="49" t="s">
        <v>223</v>
      </c>
      <c r="C204" s="37" t="s">
        <v>908</v>
      </c>
      <c r="D204" s="20" t="s">
        <v>536</v>
      </c>
      <c r="E204" s="47"/>
      <c r="F204" s="70"/>
      <c r="G204" s="47"/>
      <c r="H204" s="47"/>
      <c r="I204" s="47"/>
      <c r="J204" s="47"/>
      <c r="K204" s="47"/>
      <c r="L204" s="47"/>
      <c r="M204" s="47"/>
      <c r="N204" s="47"/>
    </row>
    <row r="205" spans="1:14">
      <c r="A205" s="107"/>
      <c r="B205" s="49" t="s">
        <v>222</v>
      </c>
      <c r="C205" s="37"/>
      <c r="D205" s="20" t="s">
        <v>537</v>
      </c>
      <c r="E205" s="47"/>
      <c r="F205" s="70"/>
      <c r="G205" s="47"/>
      <c r="H205" s="47"/>
      <c r="I205" s="47"/>
      <c r="J205" s="47"/>
      <c r="K205" s="47"/>
      <c r="L205" s="47"/>
      <c r="M205" s="47"/>
      <c r="N205" s="47"/>
    </row>
    <row r="206" spans="1:14">
      <c r="A206" s="107"/>
      <c r="B206" s="49" t="s">
        <v>217</v>
      </c>
      <c r="C206" s="37" t="s">
        <v>1137</v>
      </c>
      <c r="D206" s="20" t="s">
        <v>538</v>
      </c>
      <c r="E206" s="47">
        <v>820</v>
      </c>
      <c r="F206" s="70">
        <f t="shared" si="7"/>
        <v>0.30182752887912789</v>
      </c>
      <c r="G206" s="47" t="s">
        <v>1142</v>
      </c>
      <c r="H206" s="47"/>
      <c r="I206" s="47"/>
      <c r="J206" s="47"/>
      <c r="K206" s="47"/>
      <c r="L206" s="47"/>
      <c r="M206" s="47"/>
      <c r="N206" s="47"/>
    </row>
    <row r="207" spans="1:14">
      <c r="A207" s="107"/>
      <c r="B207" s="49" t="s">
        <v>209</v>
      </c>
      <c r="C207" s="37"/>
      <c r="D207" s="20" t="s">
        <v>539</v>
      </c>
      <c r="E207" s="47"/>
      <c r="F207" s="70"/>
      <c r="G207" s="47"/>
      <c r="H207" s="47"/>
      <c r="I207" s="47"/>
      <c r="J207" s="47"/>
      <c r="K207" s="47"/>
      <c r="L207" s="47"/>
      <c r="M207" s="47"/>
      <c r="N207" s="47"/>
    </row>
    <row r="208" spans="1:14">
      <c r="A208" s="107"/>
      <c r="B208" s="49" t="s">
        <v>212</v>
      </c>
      <c r="C208" s="37"/>
      <c r="D208" s="20" t="s">
        <v>540</v>
      </c>
      <c r="E208" s="47"/>
      <c r="F208" s="70"/>
      <c r="G208" s="47"/>
      <c r="H208" s="47"/>
      <c r="I208" s="47"/>
      <c r="J208" s="47"/>
      <c r="K208" s="47"/>
      <c r="L208" s="47"/>
      <c r="M208" s="47"/>
      <c r="N208" s="47"/>
    </row>
    <row r="209" spans="1:14">
      <c r="A209" s="107"/>
      <c r="B209" s="49" t="s">
        <v>214</v>
      </c>
      <c r="C209" s="37"/>
      <c r="D209" s="20" t="s">
        <v>541</v>
      </c>
      <c r="E209" s="47"/>
      <c r="F209" s="70"/>
      <c r="G209" s="47"/>
      <c r="H209" s="47"/>
      <c r="I209" s="47"/>
      <c r="J209" s="47"/>
      <c r="K209" s="47"/>
      <c r="L209" s="47"/>
      <c r="M209" s="47"/>
      <c r="N209" s="47"/>
    </row>
    <row r="210" spans="1:14">
      <c r="A210" s="107"/>
      <c r="B210" s="49" t="s">
        <v>215</v>
      </c>
      <c r="C210" s="53"/>
      <c r="D210" s="20" t="s">
        <v>542</v>
      </c>
      <c r="E210" s="47"/>
      <c r="F210" s="70"/>
      <c r="G210" s="47"/>
      <c r="H210" s="47"/>
      <c r="I210" s="47"/>
      <c r="J210" s="47"/>
      <c r="K210" s="47"/>
      <c r="L210" s="47"/>
      <c r="M210" s="47"/>
      <c r="N210" s="47"/>
    </row>
    <row r="211" spans="1:14">
      <c r="A211" s="107" t="s">
        <v>20</v>
      </c>
      <c r="B211" s="49" t="s">
        <v>226</v>
      </c>
      <c r="C211" s="37"/>
      <c r="D211" s="20" t="s">
        <v>543</v>
      </c>
      <c r="E211" s="47"/>
      <c r="F211" s="70"/>
      <c r="G211" s="47"/>
      <c r="H211" s="47"/>
      <c r="I211" s="47"/>
      <c r="J211" s="47"/>
      <c r="K211" s="47"/>
      <c r="L211" s="47"/>
      <c r="M211" s="47"/>
      <c r="N211" s="47"/>
    </row>
    <row r="212" spans="1:14">
      <c r="A212" s="107"/>
      <c r="B212" s="49" t="s">
        <v>225</v>
      </c>
      <c r="C212" s="37"/>
      <c r="D212" s="20" t="s">
        <v>544</v>
      </c>
      <c r="E212" s="47"/>
      <c r="F212" s="70"/>
      <c r="G212" s="47"/>
      <c r="H212" s="47"/>
      <c r="I212" s="47"/>
      <c r="J212" s="47"/>
      <c r="K212" s="47"/>
      <c r="L212" s="47"/>
      <c r="M212" s="47"/>
      <c r="N212" s="47"/>
    </row>
    <row r="213" spans="1:14">
      <c r="A213" s="107"/>
      <c r="B213" s="49" t="s">
        <v>228</v>
      </c>
      <c r="C213" s="37"/>
      <c r="D213" s="20" t="s">
        <v>545</v>
      </c>
      <c r="E213" s="47"/>
      <c r="F213" s="70"/>
      <c r="G213" s="47"/>
      <c r="H213" s="47"/>
      <c r="I213" s="47"/>
      <c r="J213" s="47"/>
      <c r="K213" s="47"/>
      <c r="L213" s="47"/>
      <c r="M213" s="47"/>
      <c r="N213" s="47"/>
    </row>
    <row r="214" spans="1:14" ht="29.25">
      <c r="A214" s="107"/>
      <c r="B214" s="49" t="s">
        <v>224</v>
      </c>
      <c r="C214" s="37" t="s">
        <v>879</v>
      </c>
      <c r="D214" s="20" t="s">
        <v>546</v>
      </c>
      <c r="E214" s="47">
        <f>900*$H$2</f>
        <v>328.5</v>
      </c>
      <c r="F214" s="70">
        <v>1</v>
      </c>
      <c r="G214" s="47" t="s">
        <v>948</v>
      </c>
      <c r="H214" s="47"/>
      <c r="I214" s="47"/>
      <c r="J214" s="47"/>
      <c r="K214" s="47"/>
      <c r="L214" s="47"/>
      <c r="M214" s="47"/>
      <c r="N214" s="47"/>
    </row>
    <row r="215" spans="1:14">
      <c r="A215" s="107"/>
      <c r="B215" s="49" t="s">
        <v>227</v>
      </c>
      <c r="C215" s="53"/>
      <c r="D215" s="20" t="s">
        <v>547</v>
      </c>
      <c r="E215" s="47"/>
      <c r="F215" s="70"/>
      <c r="G215" s="47"/>
      <c r="H215" s="47"/>
      <c r="I215" s="47"/>
      <c r="J215" s="47"/>
      <c r="K215" s="47"/>
      <c r="L215" s="47"/>
      <c r="M215" s="47"/>
      <c r="N215" s="47"/>
    </row>
    <row r="216" spans="1:14" ht="29.25">
      <c r="A216" s="107"/>
      <c r="B216" s="49" t="s">
        <v>548</v>
      </c>
      <c r="C216" s="37"/>
      <c r="D216" s="20" t="s">
        <v>549</v>
      </c>
      <c r="E216" s="47"/>
      <c r="F216" s="70"/>
      <c r="G216" s="47"/>
      <c r="H216" s="47"/>
      <c r="I216" s="47"/>
      <c r="J216" s="47"/>
      <c r="K216" s="47"/>
      <c r="L216" s="47"/>
      <c r="M216" s="47"/>
      <c r="N216" s="47"/>
    </row>
    <row r="217" spans="1:14" ht="29.25">
      <c r="A217" s="107"/>
      <c r="B217" s="49" t="s">
        <v>550</v>
      </c>
      <c r="C217" s="37"/>
      <c r="D217" s="20" t="s">
        <v>551</v>
      </c>
      <c r="E217" s="47"/>
      <c r="F217" s="70"/>
      <c r="G217" s="47"/>
      <c r="H217" s="47"/>
      <c r="I217" s="47"/>
      <c r="J217" s="47"/>
      <c r="K217" s="47"/>
      <c r="L217" s="47"/>
      <c r="M217" s="47"/>
      <c r="N217" s="47"/>
    </row>
    <row r="218" spans="1:14">
      <c r="A218" s="107" t="s">
        <v>21</v>
      </c>
      <c r="B218" s="49" t="s">
        <v>231</v>
      </c>
      <c r="C218" s="37"/>
      <c r="D218" s="20" t="s">
        <v>552</v>
      </c>
      <c r="E218" s="47"/>
      <c r="F218" s="70"/>
      <c r="G218" s="47"/>
      <c r="H218" s="47"/>
      <c r="I218" s="47"/>
      <c r="J218" s="47"/>
      <c r="K218" s="47"/>
      <c r="L218" s="47"/>
      <c r="M218" s="47"/>
      <c r="N218" s="47"/>
    </row>
    <row r="219" spans="1:14" ht="29.25">
      <c r="A219" s="107"/>
      <c r="B219" s="49" t="s">
        <v>236</v>
      </c>
      <c r="C219" s="37" t="s">
        <v>1147</v>
      </c>
      <c r="D219" s="20" t="s">
        <v>553</v>
      </c>
      <c r="E219" s="47">
        <v>1600</v>
      </c>
      <c r="F219" s="70">
        <f t="shared" ref="F219:F225" si="10">E219/SUM(E$218:E$225)</f>
        <v>1</v>
      </c>
      <c r="G219" s="47" t="s">
        <v>1148</v>
      </c>
      <c r="H219" s="47"/>
      <c r="I219" s="47"/>
      <c r="J219" s="47"/>
      <c r="K219" s="47"/>
      <c r="L219" s="47"/>
      <c r="M219" s="47"/>
      <c r="N219" s="47"/>
    </row>
    <row r="220" spans="1:14">
      <c r="A220" s="107"/>
      <c r="B220" s="49" t="s">
        <v>232</v>
      </c>
      <c r="C220" s="37"/>
      <c r="D220" s="20" t="s">
        <v>554</v>
      </c>
      <c r="E220" s="47"/>
      <c r="F220" s="70"/>
      <c r="G220" s="47"/>
      <c r="H220" s="47"/>
      <c r="I220" s="47"/>
      <c r="J220" s="47"/>
      <c r="K220" s="47"/>
      <c r="L220" s="47"/>
      <c r="M220" s="47"/>
      <c r="N220" s="47"/>
    </row>
    <row r="221" spans="1:14">
      <c r="A221" s="107"/>
      <c r="B221" s="49" t="s">
        <v>230</v>
      </c>
      <c r="C221" s="37" t="s">
        <v>717</v>
      </c>
      <c r="D221" s="20" t="s">
        <v>555</v>
      </c>
      <c r="E221" s="47"/>
      <c r="F221" s="70"/>
      <c r="G221" s="47"/>
      <c r="H221" s="47"/>
      <c r="I221" s="47"/>
      <c r="J221" s="47"/>
      <c r="K221" s="47"/>
      <c r="L221" s="47"/>
      <c r="M221" s="47"/>
      <c r="N221" s="47"/>
    </row>
    <row r="222" spans="1:14">
      <c r="A222" s="107"/>
      <c r="B222" s="49" t="s">
        <v>234</v>
      </c>
      <c r="C222" s="37"/>
      <c r="D222" s="20" t="s">
        <v>556</v>
      </c>
      <c r="E222" s="47"/>
      <c r="F222" s="70"/>
      <c r="G222" s="47"/>
      <c r="H222" s="47"/>
      <c r="I222" s="47"/>
      <c r="J222" s="47"/>
      <c r="K222" s="47"/>
      <c r="L222" s="47"/>
      <c r="M222" s="47"/>
      <c r="N222" s="47"/>
    </row>
    <row r="223" spans="1:14">
      <c r="A223" s="107"/>
      <c r="B223" s="49" t="s">
        <v>233</v>
      </c>
      <c r="C223" s="37" t="s">
        <v>907</v>
      </c>
      <c r="D223" s="20" t="s">
        <v>557</v>
      </c>
      <c r="E223" s="47"/>
      <c r="F223" s="70"/>
      <c r="G223" s="47"/>
      <c r="H223" s="47"/>
      <c r="I223" s="47"/>
      <c r="J223" s="47"/>
      <c r="K223" s="47"/>
      <c r="L223" s="47"/>
      <c r="M223" s="47"/>
      <c r="N223" s="47"/>
    </row>
    <row r="224" spans="1:14">
      <c r="A224" s="107"/>
      <c r="B224" s="49" t="s">
        <v>229</v>
      </c>
      <c r="C224" s="37"/>
      <c r="D224" s="20" t="s">
        <v>558</v>
      </c>
      <c r="E224" s="47"/>
      <c r="F224" s="70"/>
      <c r="G224" s="47"/>
      <c r="H224" s="47"/>
      <c r="I224" s="47"/>
      <c r="J224" s="47"/>
      <c r="K224" s="47"/>
      <c r="L224" s="47"/>
      <c r="M224" s="47"/>
      <c r="N224" s="47"/>
    </row>
    <row r="225" spans="1:14">
      <c r="A225" s="107"/>
      <c r="B225" s="49" t="s">
        <v>235</v>
      </c>
      <c r="C225" s="37"/>
      <c r="D225" s="20" t="s">
        <v>559</v>
      </c>
      <c r="E225" s="47"/>
      <c r="F225" s="70">
        <f t="shared" si="10"/>
        <v>0</v>
      </c>
      <c r="G225" s="47"/>
      <c r="H225" s="47"/>
      <c r="I225" s="47"/>
      <c r="J225" s="47"/>
      <c r="K225" s="47"/>
      <c r="L225" s="47"/>
      <c r="M225" s="47"/>
      <c r="N225" s="47"/>
    </row>
    <row r="226" spans="1:14">
      <c r="A226" s="107" t="s">
        <v>22</v>
      </c>
      <c r="B226" s="49" t="s">
        <v>237</v>
      </c>
      <c r="C226" s="37"/>
      <c r="D226" s="20" t="s">
        <v>560</v>
      </c>
      <c r="E226" s="47"/>
      <c r="F226" s="70">
        <v>0.5</v>
      </c>
      <c r="G226" s="47" t="s">
        <v>925</v>
      </c>
      <c r="H226" s="47"/>
      <c r="I226" s="47"/>
      <c r="J226" s="47"/>
      <c r="K226" s="47"/>
      <c r="L226" s="47"/>
      <c r="M226" s="47"/>
      <c r="N226" s="47"/>
    </row>
    <row r="227" spans="1:14">
      <c r="A227" s="107"/>
      <c r="B227" s="49" t="s">
        <v>238</v>
      </c>
      <c r="C227" s="37"/>
      <c r="D227" s="20" t="s">
        <v>561</v>
      </c>
      <c r="E227" s="47"/>
      <c r="F227" s="70">
        <v>0.5</v>
      </c>
      <c r="G227" s="47" t="s">
        <v>925</v>
      </c>
      <c r="H227" s="47"/>
      <c r="I227" s="47"/>
      <c r="J227" s="47"/>
      <c r="K227" s="47"/>
      <c r="L227" s="47"/>
      <c r="M227" s="47"/>
      <c r="N227" s="47"/>
    </row>
    <row r="228" spans="1:14">
      <c r="A228" s="107" t="s">
        <v>23</v>
      </c>
      <c r="B228" s="49" t="s">
        <v>241</v>
      </c>
      <c r="C228" s="37" t="s">
        <v>671</v>
      </c>
      <c r="D228" s="20" t="s">
        <v>562</v>
      </c>
      <c r="E228" s="47"/>
      <c r="G228" s="47"/>
      <c r="H228" s="47"/>
      <c r="I228" s="47"/>
      <c r="J228" s="47"/>
      <c r="K228" s="47"/>
      <c r="L228" s="47"/>
      <c r="M228" s="47"/>
      <c r="N228" s="47"/>
    </row>
    <row r="229" spans="1:14">
      <c r="A229" s="107"/>
      <c r="B229" s="49" t="s">
        <v>239</v>
      </c>
      <c r="C229" s="37" t="s">
        <v>1154</v>
      </c>
      <c r="D229" s="20" t="s">
        <v>563</v>
      </c>
      <c r="E229" s="47">
        <f>1070*$H$2</f>
        <v>390.55</v>
      </c>
      <c r="F229" s="70">
        <v>1</v>
      </c>
      <c r="G229" s="47"/>
      <c r="H229" s="47"/>
      <c r="I229" s="47"/>
      <c r="J229" s="47"/>
      <c r="K229" s="47"/>
      <c r="L229" s="47"/>
      <c r="M229" s="47"/>
      <c r="N229" s="47"/>
    </row>
    <row r="230" spans="1:14">
      <c r="A230" s="107"/>
      <c r="B230" s="49" t="s">
        <v>242</v>
      </c>
      <c r="C230" s="37"/>
      <c r="D230" s="20" t="s">
        <v>564</v>
      </c>
      <c r="E230" s="47"/>
      <c r="F230" s="70"/>
      <c r="G230" s="47"/>
      <c r="H230" s="47"/>
      <c r="I230" s="47"/>
      <c r="J230" s="47"/>
      <c r="K230" s="47"/>
      <c r="L230" s="47"/>
      <c r="M230" s="47"/>
      <c r="N230" s="47"/>
    </row>
    <row r="231" spans="1:14">
      <c r="A231" s="107"/>
      <c r="B231" s="49" t="s">
        <v>240</v>
      </c>
      <c r="C231" s="37"/>
      <c r="D231" s="20" t="s">
        <v>565</v>
      </c>
      <c r="E231" s="47"/>
      <c r="F231" s="70"/>
      <c r="G231" s="47"/>
      <c r="H231" s="47"/>
      <c r="I231" s="47"/>
      <c r="J231" s="47"/>
      <c r="K231" s="47"/>
      <c r="L231" s="47"/>
      <c r="M231" s="47"/>
      <c r="N231" s="47"/>
    </row>
    <row r="232" spans="1:14">
      <c r="A232" s="107" t="s">
        <v>24</v>
      </c>
      <c r="B232" s="49" t="s">
        <v>243</v>
      </c>
      <c r="C232" s="37"/>
      <c r="D232" s="20" t="s">
        <v>566</v>
      </c>
      <c r="E232" s="47"/>
      <c r="F232" s="70">
        <f xml:space="preserve"> 1/ROWS(B232:B236)</f>
        <v>0.2</v>
      </c>
      <c r="G232" s="47" t="s">
        <v>925</v>
      </c>
      <c r="H232" s="47"/>
      <c r="I232" s="47"/>
      <c r="J232" s="47"/>
      <c r="K232" s="47"/>
      <c r="L232" s="47"/>
      <c r="M232" s="47"/>
      <c r="N232" s="47"/>
    </row>
    <row r="233" spans="1:14">
      <c r="A233" s="107"/>
      <c r="B233" s="49" t="s">
        <v>245</v>
      </c>
      <c r="C233" s="37"/>
      <c r="D233" s="20" t="s">
        <v>567</v>
      </c>
      <c r="E233" s="47"/>
      <c r="F233" s="70">
        <f t="shared" ref="F233:F236" si="11" xml:space="preserve"> 1/ROWS(B233:B237)</f>
        <v>0.2</v>
      </c>
      <c r="G233" s="47" t="s">
        <v>925</v>
      </c>
      <c r="H233" s="47"/>
      <c r="I233" s="47"/>
      <c r="J233" s="47"/>
      <c r="K233" s="47"/>
      <c r="L233" s="47"/>
      <c r="M233" s="47"/>
      <c r="N233" s="47"/>
    </row>
    <row r="234" spans="1:14">
      <c r="A234" s="107"/>
      <c r="B234" s="49" t="s">
        <v>244</v>
      </c>
      <c r="C234" s="37"/>
      <c r="D234" s="20" t="s">
        <v>568</v>
      </c>
      <c r="E234" s="47"/>
      <c r="F234" s="70">
        <f t="shared" si="11"/>
        <v>0.2</v>
      </c>
      <c r="G234" s="47" t="s">
        <v>925</v>
      </c>
      <c r="H234" s="47"/>
      <c r="I234" s="47"/>
      <c r="J234" s="47"/>
      <c r="K234" s="47"/>
      <c r="L234" s="47"/>
      <c r="M234" s="47"/>
      <c r="N234" s="47"/>
    </row>
    <row r="235" spans="1:14">
      <c r="A235" s="107"/>
      <c r="B235" s="49" t="s">
        <v>246</v>
      </c>
      <c r="C235" s="37"/>
      <c r="D235" s="20" t="s">
        <v>569</v>
      </c>
      <c r="E235" s="47"/>
      <c r="F235" s="70">
        <f t="shared" si="11"/>
        <v>0.2</v>
      </c>
      <c r="G235" s="47" t="s">
        <v>925</v>
      </c>
      <c r="H235" s="47"/>
      <c r="I235" s="47"/>
      <c r="J235" s="47"/>
      <c r="K235" s="47"/>
      <c r="L235" s="47"/>
      <c r="M235" s="47"/>
      <c r="N235" s="47"/>
    </row>
    <row r="236" spans="1:14">
      <c r="A236" s="107"/>
      <c r="B236" s="49" t="s">
        <v>570</v>
      </c>
      <c r="C236" s="37"/>
      <c r="D236" s="20" t="s">
        <v>571</v>
      </c>
      <c r="E236" s="47"/>
      <c r="F236" s="70">
        <f t="shared" si="11"/>
        <v>0.2</v>
      </c>
      <c r="G236" s="47" t="s">
        <v>925</v>
      </c>
      <c r="H236" s="47"/>
      <c r="I236" s="47"/>
      <c r="J236" s="47"/>
      <c r="K236" s="47"/>
      <c r="L236" s="47"/>
      <c r="M236" s="47"/>
      <c r="N236" s="47"/>
    </row>
    <row r="237" spans="1:14">
      <c r="A237" s="107" t="s">
        <v>25</v>
      </c>
      <c r="B237" s="49" t="s">
        <v>247</v>
      </c>
      <c r="C237" s="37"/>
      <c r="D237" s="20" t="s">
        <v>572</v>
      </c>
      <c r="E237" s="47"/>
      <c r="F237" s="70">
        <f xml:space="preserve"> 1/ROWS(B237:B244)</f>
        <v>0.125</v>
      </c>
      <c r="G237" s="47" t="s">
        <v>925</v>
      </c>
      <c r="H237" s="47"/>
      <c r="I237" s="47"/>
      <c r="J237" s="47"/>
      <c r="K237" s="47"/>
      <c r="L237" s="47"/>
      <c r="M237" s="47"/>
      <c r="N237" s="47"/>
    </row>
    <row r="238" spans="1:14">
      <c r="A238" s="107"/>
      <c r="B238" s="49" t="s">
        <v>248</v>
      </c>
      <c r="C238" s="37"/>
      <c r="D238" s="20" t="s">
        <v>573</v>
      </c>
      <c r="E238" s="47"/>
      <c r="F238" s="70">
        <f t="shared" ref="F238:F244" si="12" xml:space="preserve"> 1/ROWS(B238:B245)</f>
        <v>0.125</v>
      </c>
      <c r="G238" s="47" t="s">
        <v>925</v>
      </c>
      <c r="H238" s="47"/>
      <c r="I238" s="47"/>
      <c r="J238" s="47"/>
      <c r="K238" s="47"/>
      <c r="L238" s="47"/>
      <c r="M238" s="47"/>
      <c r="N238" s="47"/>
    </row>
    <row r="239" spans="1:14">
      <c r="A239" s="107"/>
      <c r="B239" s="49" t="s">
        <v>252</v>
      </c>
      <c r="C239" s="37"/>
      <c r="D239" s="20" t="s">
        <v>574</v>
      </c>
      <c r="E239" s="47"/>
      <c r="F239" s="70">
        <f t="shared" si="12"/>
        <v>0.125</v>
      </c>
      <c r="G239" s="47" t="s">
        <v>925</v>
      </c>
      <c r="H239" s="47"/>
      <c r="I239" s="47"/>
      <c r="J239" s="47"/>
      <c r="K239" s="47"/>
      <c r="L239" s="47"/>
      <c r="M239" s="47"/>
      <c r="N239" s="47"/>
    </row>
    <row r="240" spans="1:14">
      <c r="A240" s="107"/>
      <c r="B240" s="49" t="s">
        <v>254</v>
      </c>
      <c r="C240" s="37"/>
      <c r="D240" s="20" t="s">
        <v>575</v>
      </c>
      <c r="E240" s="47"/>
      <c r="F240" s="70">
        <f t="shared" si="12"/>
        <v>0.125</v>
      </c>
      <c r="G240" s="47" t="s">
        <v>925</v>
      </c>
      <c r="H240" s="47"/>
      <c r="I240" s="47"/>
      <c r="J240" s="47"/>
      <c r="K240" s="47"/>
      <c r="L240" s="47"/>
      <c r="M240" s="47"/>
      <c r="N240" s="47"/>
    </row>
    <row r="241" spans="1:14">
      <c r="A241" s="107"/>
      <c r="B241" s="49" t="s">
        <v>251</v>
      </c>
      <c r="C241" s="53"/>
      <c r="D241" s="20" t="s">
        <v>576</v>
      </c>
      <c r="E241" s="47"/>
      <c r="F241" s="70">
        <f t="shared" si="12"/>
        <v>0.125</v>
      </c>
      <c r="G241" s="47" t="s">
        <v>925</v>
      </c>
      <c r="H241" s="47"/>
      <c r="I241" s="47"/>
      <c r="J241" s="47"/>
      <c r="K241" s="47"/>
      <c r="L241" s="47"/>
      <c r="M241" s="47"/>
      <c r="N241" s="47"/>
    </row>
    <row r="242" spans="1:14">
      <c r="A242" s="107"/>
      <c r="B242" s="49" t="s">
        <v>253</v>
      </c>
      <c r="C242" s="37"/>
      <c r="D242" s="20" t="s">
        <v>577</v>
      </c>
      <c r="E242" s="47"/>
      <c r="F242" s="70">
        <f t="shared" si="12"/>
        <v>0.125</v>
      </c>
      <c r="G242" s="47" t="s">
        <v>925</v>
      </c>
      <c r="H242" s="47"/>
      <c r="I242" s="47"/>
      <c r="J242" s="47"/>
      <c r="K242" s="47"/>
      <c r="L242" s="47"/>
      <c r="M242" s="47"/>
      <c r="N242" s="47"/>
    </row>
    <row r="243" spans="1:14">
      <c r="A243" s="107"/>
      <c r="B243" s="49" t="s">
        <v>250</v>
      </c>
      <c r="C243" s="37"/>
      <c r="D243" s="20" t="s">
        <v>578</v>
      </c>
      <c r="E243" s="47"/>
      <c r="F243" s="70">
        <f t="shared" si="12"/>
        <v>0.125</v>
      </c>
      <c r="G243" s="47" t="s">
        <v>925</v>
      </c>
      <c r="H243" s="47"/>
      <c r="I243" s="47"/>
      <c r="J243" s="47"/>
      <c r="K243" s="47"/>
      <c r="L243" s="47"/>
      <c r="M243" s="47"/>
      <c r="N243" s="47"/>
    </row>
    <row r="244" spans="1:14">
      <c r="A244" s="107"/>
      <c r="B244" s="49" t="s">
        <v>249</v>
      </c>
      <c r="C244" s="37"/>
      <c r="D244" s="20" t="s">
        <v>579</v>
      </c>
      <c r="E244" s="47"/>
      <c r="F244" s="70">
        <f t="shared" si="12"/>
        <v>0.125</v>
      </c>
      <c r="G244" s="47" t="s">
        <v>925</v>
      </c>
      <c r="H244" s="47"/>
      <c r="I244" s="47"/>
      <c r="J244" s="47"/>
      <c r="K244" s="47"/>
      <c r="L244" s="47"/>
      <c r="M244" s="47"/>
      <c r="N244" s="47"/>
    </row>
    <row r="245" spans="1:14" ht="29.25">
      <c r="A245" s="107" t="s">
        <v>26</v>
      </c>
      <c r="B245" s="49" t="s">
        <v>294</v>
      </c>
      <c r="C245" s="53" t="s">
        <v>896</v>
      </c>
      <c r="D245" s="20" t="s">
        <v>580</v>
      </c>
      <c r="E245" s="47">
        <f>1150*$H$2</f>
        <v>419.75</v>
      </c>
      <c r="F245" s="70">
        <f>E245/SUM(E$245:E$285)</f>
        <v>0.38142620232172475</v>
      </c>
      <c r="G245" s="47" t="s">
        <v>948</v>
      </c>
      <c r="H245" s="47"/>
      <c r="I245" s="47"/>
      <c r="J245" s="47"/>
      <c r="K245" s="47"/>
      <c r="L245" s="47"/>
      <c r="M245" s="47"/>
      <c r="N245" s="47"/>
    </row>
    <row r="246" spans="1:14" ht="29.25">
      <c r="A246" s="107"/>
      <c r="B246" s="49" t="s">
        <v>268</v>
      </c>
      <c r="C246" s="37"/>
      <c r="D246" s="20" t="s">
        <v>581</v>
      </c>
      <c r="E246" s="47"/>
      <c r="F246" s="70"/>
      <c r="G246" s="47"/>
      <c r="H246" s="47"/>
      <c r="I246" s="47"/>
      <c r="J246" s="47"/>
      <c r="K246" s="47"/>
      <c r="L246" s="47"/>
      <c r="M246" s="47"/>
      <c r="N246" s="47"/>
    </row>
    <row r="247" spans="1:14">
      <c r="A247" s="107"/>
      <c r="B247" s="49" t="s">
        <v>280</v>
      </c>
      <c r="C247" s="37"/>
      <c r="D247" s="20" t="s">
        <v>582</v>
      </c>
      <c r="E247" s="47"/>
      <c r="F247" s="70"/>
      <c r="G247" s="47"/>
      <c r="H247" s="47"/>
      <c r="I247" s="47"/>
      <c r="J247" s="47"/>
      <c r="K247" s="47"/>
      <c r="L247" s="47"/>
      <c r="M247" s="47"/>
      <c r="N247" s="47"/>
    </row>
    <row r="248" spans="1:14">
      <c r="A248" s="107"/>
      <c r="B248" s="49" t="s">
        <v>270</v>
      </c>
      <c r="C248" s="37"/>
      <c r="D248" s="20" t="s">
        <v>583</v>
      </c>
      <c r="E248" s="47"/>
      <c r="F248" s="70"/>
      <c r="G248" s="47"/>
      <c r="H248" s="47"/>
      <c r="I248" s="47"/>
      <c r="J248" s="47"/>
      <c r="K248" s="47"/>
      <c r="L248" s="47"/>
      <c r="M248" s="47"/>
      <c r="N248" s="47"/>
    </row>
    <row r="249" spans="1:14">
      <c r="A249" s="107"/>
      <c r="B249" s="49" t="s">
        <v>285</v>
      </c>
      <c r="C249" s="37"/>
      <c r="D249" s="20" t="s">
        <v>584</v>
      </c>
      <c r="E249" s="47"/>
      <c r="F249" s="70"/>
      <c r="G249" s="47"/>
      <c r="H249" s="47"/>
      <c r="I249" s="47"/>
      <c r="J249" s="47"/>
      <c r="K249" s="47"/>
      <c r="L249" s="47"/>
      <c r="M249" s="47"/>
      <c r="N249" s="47"/>
    </row>
    <row r="250" spans="1:14">
      <c r="A250" s="107"/>
      <c r="B250" s="49" t="s">
        <v>264</v>
      </c>
      <c r="C250" s="37" t="s">
        <v>897</v>
      </c>
      <c r="D250" s="20" t="s">
        <v>585</v>
      </c>
      <c r="E250" s="47">
        <f>1050*$H$2</f>
        <v>383.25</v>
      </c>
      <c r="F250" s="70">
        <f t="shared" ref="F250:F252" si="13">E250/SUM(E$245:E$285)</f>
        <v>0.34825870646766172</v>
      </c>
      <c r="G250" s="47" t="s">
        <v>948</v>
      </c>
      <c r="H250" s="47"/>
      <c r="I250" s="47"/>
      <c r="J250" s="47"/>
      <c r="K250" s="47"/>
      <c r="L250" s="47"/>
      <c r="M250" s="47"/>
      <c r="N250" s="47"/>
    </row>
    <row r="251" spans="1:14">
      <c r="A251" s="107"/>
      <c r="B251" s="49" t="s">
        <v>269</v>
      </c>
      <c r="C251" s="37"/>
      <c r="D251" s="20" t="s">
        <v>586</v>
      </c>
      <c r="E251" s="47"/>
      <c r="F251" s="70"/>
      <c r="G251" s="47"/>
      <c r="H251" s="47"/>
      <c r="I251" s="47"/>
      <c r="J251" s="47"/>
      <c r="K251" s="47"/>
      <c r="L251" s="47"/>
      <c r="M251" s="47"/>
      <c r="N251" s="47"/>
    </row>
    <row r="252" spans="1:14" ht="29.25">
      <c r="A252" s="107"/>
      <c r="B252" s="49" t="s">
        <v>277</v>
      </c>
      <c r="C252" s="37" t="s">
        <v>898</v>
      </c>
      <c r="D252" s="20" t="s">
        <v>587</v>
      </c>
      <c r="E252" s="47">
        <f>815*$H$2</f>
        <v>297.47499999999997</v>
      </c>
      <c r="F252" s="70">
        <f t="shared" si="13"/>
        <v>0.27031509121061359</v>
      </c>
      <c r="G252" s="47" t="s">
        <v>948</v>
      </c>
      <c r="H252" s="47"/>
      <c r="I252" s="47"/>
      <c r="J252" s="47"/>
      <c r="K252" s="47"/>
      <c r="L252" s="47"/>
      <c r="M252" s="47"/>
      <c r="N252" s="47"/>
    </row>
    <row r="253" spans="1:14">
      <c r="A253" s="107"/>
      <c r="B253" s="49" t="s">
        <v>295</v>
      </c>
      <c r="C253" s="37"/>
      <c r="D253" s="20" t="s">
        <v>588</v>
      </c>
      <c r="E253" s="47"/>
      <c r="F253" s="70"/>
      <c r="G253" s="47"/>
      <c r="H253" s="47"/>
      <c r="I253" s="47"/>
      <c r="J253" s="47"/>
      <c r="K253" s="47"/>
      <c r="L253" s="47"/>
      <c r="M253" s="47"/>
      <c r="N253" s="47"/>
    </row>
    <row r="254" spans="1:14">
      <c r="A254" s="107"/>
      <c r="B254" s="49" t="s">
        <v>266</v>
      </c>
      <c r="C254" s="37"/>
      <c r="D254" s="20" t="s">
        <v>589</v>
      </c>
      <c r="E254" s="47"/>
      <c r="F254" s="70"/>
      <c r="G254" s="47"/>
      <c r="H254" s="47"/>
      <c r="I254" s="47"/>
      <c r="J254" s="47"/>
      <c r="K254" s="47"/>
      <c r="L254" s="47"/>
      <c r="M254" s="47"/>
      <c r="N254" s="47"/>
    </row>
    <row r="255" spans="1:14">
      <c r="A255" s="107"/>
      <c r="B255" s="49" t="s">
        <v>263</v>
      </c>
      <c r="C255" s="37"/>
      <c r="D255" s="20" t="s">
        <v>590</v>
      </c>
      <c r="E255" s="47"/>
      <c r="F255" s="70"/>
      <c r="G255" s="47"/>
      <c r="H255" s="47"/>
      <c r="I255" s="47"/>
      <c r="J255" s="47"/>
      <c r="K255" s="47"/>
      <c r="L255" s="47"/>
      <c r="M255" s="47"/>
      <c r="N255" s="47"/>
    </row>
    <row r="256" spans="1:14" ht="29.25">
      <c r="A256" s="107"/>
      <c r="B256" s="49" t="s">
        <v>279</v>
      </c>
      <c r="C256" s="37"/>
      <c r="D256" s="20" t="s">
        <v>591</v>
      </c>
      <c r="E256" s="47"/>
      <c r="F256" s="70"/>
      <c r="G256" s="47"/>
      <c r="H256" s="47"/>
      <c r="I256" s="47"/>
      <c r="J256" s="47"/>
      <c r="K256" s="47"/>
      <c r="L256" s="47"/>
      <c r="M256" s="47"/>
      <c r="N256" s="47"/>
    </row>
    <row r="257" spans="1:14" ht="29.25">
      <c r="A257" s="107"/>
      <c r="B257" s="49" t="s">
        <v>272</v>
      </c>
      <c r="C257" s="37"/>
      <c r="D257" s="20" t="s">
        <v>592</v>
      </c>
      <c r="E257" s="47"/>
      <c r="F257" s="70"/>
      <c r="G257" s="47"/>
      <c r="H257" s="47"/>
      <c r="I257" s="47"/>
      <c r="J257" s="47"/>
      <c r="K257" s="47"/>
      <c r="L257" s="47"/>
      <c r="M257" s="47"/>
      <c r="N257" s="47"/>
    </row>
    <row r="258" spans="1:14">
      <c r="A258" s="107"/>
      <c r="B258" s="49" t="s">
        <v>271</v>
      </c>
      <c r="C258" s="37"/>
      <c r="D258" s="20" t="s">
        <v>593</v>
      </c>
      <c r="E258" s="47"/>
      <c r="F258" s="70"/>
      <c r="G258" s="47"/>
      <c r="H258" s="47"/>
      <c r="I258" s="47"/>
      <c r="J258" s="47"/>
      <c r="K258" s="47"/>
      <c r="L258" s="47"/>
      <c r="M258" s="47"/>
      <c r="N258" s="47"/>
    </row>
    <row r="259" spans="1:14" ht="43.5">
      <c r="A259" s="107"/>
      <c r="B259" s="49" t="s">
        <v>275</v>
      </c>
      <c r="C259" s="37"/>
      <c r="D259" s="20" t="s">
        <v>594</v>
      </c>
      <c r="E259" s="47"/>
      <c r="F259" s="70"/>
      <c r="G259" s="47"/>
      <c r="H259" s="47"/>
      <c r="I259" s="47"/>
      <c r="J259" s="47"/>
      <c r="K259" s="47"/>
      <c r="L259" s="47"/>
      <c r="M259" s="47"/>
      <c r="N259" s="47"/>
    </row>
    <row r="260" spans="1:14" ht="29.25">
      <c r="A260" s="107"/>
      <c r="B260" s="49" t="s">
        <v>267</v>
      </c>
      <c r="C260" s="37"/>
      <c r="D260" s="20" t="s">
        <v>595</v>
      </c>
      <c r="E260" s="47"/>
      <c r="F260" s="70"/>
      <c r="G260" s="47"/>
      <c r="H260" s="47"/>
      <c r="I260" s="47"/>
      <c r="J260" s="47"/>
      <c r="K260" s="47"/>
      <c r="L260" s="47"/>
      <c r="M260" s="47"/>
      <c r="N260" s="47"/>
    </row>
    <row r="261" spans="1:14">
      <c r="A261" s="107"/>
      <c r="B261" s="49" t="s">
        <v>274</v>
      </c>
      <c r="C261" s="37"/>
      <c r="D261" s="20" t="s">
        <v>596</v>
      </c>
      <c r="E261" s="47"/>
      <c r="F261" s="70"/>
      <c r="G261" s="47"/>
      <c r="H261" s="47"/>
      <c r="I261" s="47"/>
      <c r="J261" s="47"/>
      <c r="K261" s="47"/>
      <c r="L261" s="47"/>
      <c r="M261" s="47"/>
      <c r="N261" s="47"/>
    </row>
    <row r="262" spans="1:14">
      <c r="A262" s="107"/>
      <c r="B262" s="49" t="s">
        <v>282</v>
      </c>
      <c r="C262" s="37"/>
      <c r="D262" s="20" t="s">
        <v>597</v>
      </c>
      <c r="E262" s="47"/>
      <c r="F262" s="70"/>
      <c r="G262" s="47"/>
      <c r="H262" s="47"/>
      <c r="I262" s="47"/>
      <c r="J262" s="47"/>
      <c r="K262" s="47"/>
      <c r="L262" s="47"/>
      <c r="M262" s="47"/>
      <c r="N262" s="47"/>
    </row>
    <row r="263" spans="1:14" ht="29.25">
      <c r="A263" s="107"/>
      <c r="B263" s="49" t="s">
        <v>287</v>
      </c>
      <c r="C263" s="37"/>
      <c r="D263" s="20" t="s">
        <v>598</v>
      </c>
      <c r="E263" s="47"/>
      <c r="F263" s="70"/>
      <c r="G263" s="47"/>
      <c r="H263" s="47"/>
      <c r="I263" s="47"/>
      <c r="J263" s="47"/>
      <c r="K263" s="47"/>
      <c r="L263" s="47"/>
      <c r="M263" s="47"/>
      <c r="N263" s="47"/>
    </row>
    <row r="264" spans="1:14">
      <c r="A264" s="107"/>
      <c r="B264" s="49" t="s">
        <v>265</v>
      </c>
      <c r="C264" s="37"/>
      <c r="D264" s="20" t="s">
        <v>599</v>
      </c>
      <c r="E264" s="47"/>
      <c r="F264" s="70"/>
      <c r="G264" s="47"/>
      <c r="H264" s="47"/>
      <c r="I264" s="47"/>
      <c r="J264" s="47"/>
      <c r="K264" s="47"/>
      <c r="L264" s="47"/>
      <c r="M264" s="47"/>
      <c r="N264" s="47"/>
    </row>
    <row r="265" spans="1:14">
      <c r="A265" s="107"/>
      <c r="B265" s="49" t="s">
        <v>293</v>
      </c>
      <c r="C265" s="37"/>
      <c r="D265" s="20" t="s">
        <v>600</v>
      </c>
      <c r="E265" s="47"/>
      <c r="F265" s="70"/>
      <c r="G265" s="47"/>
      <c r="H265" s="47"/>
      <c r="I265" s="47"/>
      <c r="J265" s="47"/>
      <c r="K265" s="47"/>
      <c r="L265" s="47"/>
      <c r="M265" s="47"/>
      <c r="N265" s="47"/>
    </row>
    <row r="266" spans="1:14">
      <c r="A266" s="107"/>
      <c r="B266" s="49" t="s">
        <v>292</v>
      </c>
      <c r="C266" s="37"/>
      <c r="D266" s="20" t="s">
        <v>601</v>
      </c>
      <c r="E266" s="47"/>
      <c r="F266" s="70"/>
      <c r="G266" s="47"/>
      <c r="H266" s="47"/>
      <c r="I266" s="47"/>
      <c r="J266" s="47"/>
      <c r="K266" s="47"/>
      <c r="L266" s="47"/>
      <c r="M266" s="47"/>
      <c r="N266" s="47"/>
    </row>
    <row r="267" spans="1:14" ht="29.25">
      <c r="A267" s="107"/>
      <c r="B267" s="49" t="s">
        <v>291</v>
      </c>
      <c r="C267" s="37"/>
      <c r="D267" s="20" t="s">
        <v>602</v>
      </c>
      <c r="E267" s="47"/>
      <c r="F267" s="70"/>
      <c r="G267" s="47"/>
      <c r="H267" s="47"/>
      <c r="I267" s="47"/>
      <c r="J267" s="47"/>
      <c r="K267" s="47"/>
      <c r="L267" s="47"/>
      <c r="M267" s="47"/>
      <c r="N267" s="47"/>
    </row>
    <row r="268" spans="1:14">
      <c r="A268" s="107"/>
      <c r="B268" s="49" t="s">
        <v>290</v>
      </c>
      <c r="C268" s="37"/>
      <c r="D268" s="20" t="s">
        <v>603</v>
      </c>
      <c r="E268" s="47"/>
      <c r="F268" s="70"/>
      <c r="G268" s="47"/>
      <c r="H268" s="47"/>
      <c r="I268" s="47"/>
      <c r="J268" s="47"/>
      <c r="K268" s="47"/>
      <c r="L268" s="47"/>
      <c r="M268" s="47"/>
      <c r="N268" s="47"/>
    </row>
    <row r="269" spans="1:14" ht="29.25">
      <c r="A269" s="107"/>
      <c r="B269" s="49" t="s">
        <v>289</v>
      </c>
      <c r="C269" s="37"/>
      <c r="D269" s="20" t="s">
        <v>604</v>
      </c>
      <c r="E269" s="47"/>
      <c r="F269" s="70"/>
      <c r="G269" s="47"/>
      <c r="H269" s="47"/>
      <c r="I269" s="47"/>
      <c r="J269" s="47"/>
      <c r="K269" s="47"/>
      <c r="L269" s="47"/>
      <c r="M269" s="47"/>
      <c r="N269" s="47"/>
    </row>
    <row r="270" spans="1:14" ht="43.5">
      <c r="A270" s="107"/>
      <c r="B270" s="49" t="s">
        <v>286</v>
      </c>
      <c r="C270" s="37"/>
      <c r="D270" s="20" t="s">
        <v>605</v>
      </c>
      <c r="E270" s="47"/>
      <c r="F270" s="70"/>
      <c r="G270" s="47"/>
      <c r="H270" s="47"/>
      <c r="I270" s="47"/>
      <c r="J270" s="47"/>
      <c r="K270" s="47"/>
      <c r="L270" s="47"/>
      <c r="M270" s="47"/>
      <c r="N270" s="47"/>
    </row>
    <row r="271" spans="1:14" ht="29.25">
      <c r="A271" s="107"/>
      <c r="B271" s="49" t="s">
        <v>283</v>
      </c>
      <c r="C271" s="37"/>
      <c r="D271" s="20" t="s">
        <v>606</v>
      </c>
      <c r="E271" s="47"/>
      <c r="F271" s="70"/>
      <c r="G271" s="47"/>
      <c r="H271" s="47"/>
      <c r="I271" s="47"/>
      <c r="J271" s="47"/>
      <c r="K271" s="47"/>
      <c r="L271" s="47"/>
      <c r="M271" s="47"/>
      <c r="N271" s="47"/>
    </row>
    <row r="272" spans="1:14" ht="29.25">
      <c r="A272" s="107"/>
      <c r="B272" s="49" t="s">
        <v>276</v>
      </c>
      <c r="C272" s="37"/>
      <c r="D272" s="20" t="s">
        <v>607</v>
      </c>
      <c r="E272" s="47"/>
      <c r="F272" s="70"/>
      <c r="G272" s="47"/>
      <c r="H272" s="47"/>
      <c r="I272" s="47"/>
      <c r="J272" s="47"/>
      <c r="K272" s="47"/>
      <c r="L272" s="47"/>
      <c r="M272" s="47"/>
      <c r="N272" s="47"/>
    </row>
    <row r="273" spans="1:14">
      <c r="A273" s="107"/>
      <c r="B273" s="49" t="s">
        <v>273</v>
      </c>
      <c r="C273" s="37"/>
      <c r="D273" s="20" t="s">
        <v>608</v>
      </c>
      <c r="E273" s="47"/>
      <c r="F273" s="70"/>
      <c r="G273" s="47"/>
      <c r="H273" s="47"/>
      <c r="I273" s="47"/>
      <c r="J273" s="47"/>
      <c r="K273" s="47"/>
      <c r="L273" s="47"/>
      <c r="M273" s="47"/>
      <c r="N273" s="47"/>
    </row>
    <row r="274" spans="1:14" ht="43.5">
      <c r="A274" s="107"/>
      <c r="B274" s="49" t="s">
        <v>288</v>
      </c>
      <c r="C274" s="37"/>
      <c r="D274" s="20" t="s">
        <v>609</v>
      </c>
      <c r="E274" s="47"/>
      <c r="F274" s="70"/>
      <c r="G274" s="47"/>
      <c r="H274" s="47"/>
      <c r="I274" s="47"/>
      <c r="J274" s="47"/>
      <c r="K274" s="47"/>
      <c r="L274" s="47"/>
      <c r="M274" s="47"/>
      <c r="N274" s="47"/>
    </row>
    <row r="275" spans="1:14">
      <c r="A275" s="107"/>
      <c r="B275" s="49" t="s">
        <v>284</v>
      </c>
      <c r="C275" s="37"/>
      <c r="D275" s="20" t="s">
        <v>610</v>
      </c>
      <c r="E275" s="47"/>
      <c r="F275" s="70"/>
      <c r="G275" s="47"/>
      <c r="H275" s="47"/>
      <c r="I275" s="47"/>
      <c r="J275" s="47"/>
      <c r="K275" s="47"/>
      <c r="L275" s="47"/>
      <c r="M275" s="47"/>
      <c r="N275" s="47"/>
    </row>
    <row r="276" spans="1:14" ht="29.25">
      <c r="A276" s="107"/>
      <c r="B276" s="49" t="s">
        <v>281</v>
      </c>
      <c r="C276" s="37"/>
      <c r="D276" s="20" t="s">
        <v>611</v>
      </c>
      <c r="E276" s="47"/>
      <c r="F276" s="70"/>
      <c r="G276" s="47"/>
      <c r="H276" s="47"/>
      <c r="I276" s="47"/>
      <c r="J276" s="47"/>
      <c r="K276" s="47"/>
      <c r="L276" s="47"/>
      <c r="M276" s="47"/>
      <c r="N276" s="47"/>
    </row>
    <row r="277" spans="1:14">
      <c r="A277" s="107"/>
      <c r="B277" s="49" t="s">
        <v>278</v>
      </c>
      <c r="C277" s="37"/>
      <c r="D277" s="20" t="s">
        <v>612</v>
      </c>
      <c r="E277" s="47"/>
      <c r="F277" s="70"/>
      <c r="G277" s="47"/>
      <c r="H277" s="47"/>
      <c r="I277" s="47"/>
      <c r="J277" s="47"/>
      <c r="K277" s="47"/>
      <c r="L277" s="47"/>
      <c r="M277" s="47"/>
      <c r="N277" s="47"/>
    </row>
    <row r="278" spans="1:14" ht="29.25">
      <c r="A278" s="107"/>
      <c r="B278" s="49" t="s">
        <v>255</v>
      </c>
      <c r="C278" s="37"/>
      <c r="D278" s="20" t="s">
        <v>613</v>
      </c>
      <c r="E278" s="47"/>
      <c r="F278" s="70"/>
      <c r="G278" s="47"/>
      <c r="H278" s="47"/>
      <c r="I278" s="47"/>
      <c r="J278" s="47"/>
      <c r="K278" s="47"/>
      <c r="L278" s="47"/>
      <c r="M278" s="47"/>
      <c r="N278" s="47"/>
    </row>
    <row r="279" spans="1:14">
      <c r="A279" s="107"/>
      <c r="B279" s="49" t="s">
        <v>256</v>
      </c>
      <c r="C279" s="37"/>
      <c r="D279" s="20" t="s">
        <v>614</v>
      </c>
      <c r="E279" s="47"/>
      <c r="F279" s="70"/>
      <c r="G279" s="47"/>
      <c r="H279" s="47"/>
      <c r="I279" s="47"/>
      <c r="J279" s="47"/>
      <c r="K279" s="47"/>
      <c r="L279" s="47"/>
      <c r="M279" s="47"/>
      <c r="N279" s="47"/>
    </row>
    <row r="280" spans="1:14">
      <c r="A280" s="107"/>
      <c r="B280" s="49" t="s">
        <v>261</v>
      </c>
      <c r="C280" s="37"/>
      <c r="D280" s="20" t="s">
        <v>615</v>
      </c>
      <c r="E280" s="47"/>
      <c r="F280" s="70"/>
      <c r="G280" s="47"/>
      <c r="H280" s="47"/>
      <c r="I280" s="47"/>
      <c r="J280" s="47"/>
      <c r="K280" s="47"/>
      <c r="L280" s="47"/>
      <c r="M280" s="47"/>
      <c r="N280" s="47"/>
    </row>
    <row r="281" spans="1:14">
      <c r="A281" s="107"/>
      <c r="B281" s="49" t="s">
        <v>259</v>
      </c>
      <c r="C281" s="37"/>
      <c r="D281" s="20" t="s">
        <v>616</v>
      </c>
      <c r="E281" s="47"/>
      <c r="F281" s="70"/>
      <c r="G281" s="47"/>
      <c r="H281" s="47"/>
      <c r="I281" s="47"/>
      <c r="J281" s="47"/>
      <c r="K281" s="47"/>
      <c r="L281" s="47"/>
      <c r="M281" s="47"/>
      <c r="N281" s="47"/>
    </row>
    <row r="282" spans="1:14">
      <c r="A282" s="107"/>
      <c r="B282" s="49" t="s">
        <v>260</v>
      </c>
      <c r="C282" s="54"/>
      <c r="D282" s="20" t="s">
        <v>617</v>
      </c>
      <c r="E282" s="47"/>
      <c r="F282" s="70"/>
      <c r="G282" s="47"/>
      <c r="H282" s="47"/>
      <c r="I282" s="47"/>
      <c r="J282" s="47"/>
      <c r="K282" s="47"/>
      <c r="L282" s="47"/>
      <c r="M282" s="47"/>
      <c r="N282" s="47"/>
    </row>
    <row r="283" spans="1:14">
      <c r="A283" s="107"/>
      <c r="B283" s="49" t="s">
        <v>258</v>
      </c>
      <c r="C283" s="37"/>
      <c r="D283" s="20" t="s">
        <v>618</v>
      </c>
      <c r="E283" s="47"/>
      <c r="F283" s="70"/>
      <c r="G283" s="47"/>
      <c r="H283" s="47"/>
      <c r="I283" s="47"/>
      <c r="J283" s="47"/>
      <c r="K283" s="47"/>
      <c r="L283" s="47"/>
      <c r="M283" s="47"/>
      <c r="N283" s="47"/>
    </row>
    <row r="284" spans="1:14">
      <c r="A284" s="107"/>
      <c r="B284" s="49" t="s">
        <v>257</v>
      </c>
      <c r="C284" s="37"/>
      <c r="D284" s="20" t="s">
        <v>619</v>
      </c>
      <c r="E284" s="47"/>
      <c r="F284" s="70"/>
      <c r="G284" s="47"/>
      <c r="H284" s="47"/>
      <c r="I284" s="47"/>
      <c r="J284" s="47"/>
      <c r="K284" s="47"/>
      <c r="L284" s="47"/>
      <c r="M284" s="47"/>
      <c r="N284" s="47"/>
    </row>
    <row r="285" spans="1:14">
      <c r="A285" s="107"/>
      <c r="B285" s="49" t="s">
        <v>262</v>
      </c>
      <c r="C285" s="37"/>
      <c r="D285" s="20" t="s">
        <v>620</v>
      </c>
      <c r="E285" s="47"/>
      <c r="F285" s="70"/>
      <c r="G285" s="47"/>
      <c r="H285" s="47"/>
      <c r="I285" s="47"/>
      <c r="J285" s="47"/>
      <c r="K285" s="47"/>
      <c r="L285" s="47"/>
      <c r="M285" s="47"/>
      <c r="N285" s="47"/>
    </row>
    <row r="286" spans="1:14">
      <c r="A286" s="107" t="s">
        <v>27</v>
      </c>
      <c r="B286" s="21" t="s">
        <v>298</v>
      </c>
      <c r="C286" s="47"/>
      <c r="D286" s="21" t="s">
        <v>628</v>
      </c>
      <c r="E286" s="47"/>
      <c r="F286" s="70"/>
      <c r="G286" s="47"/>
      <c r="H286" s="47"/>
      <c r="I286" s="47"/>
      <c r="J286" s="47"/>
      <c r="K286" s="47"/>
      <c r="L286" s="47"/>
      <c r="M286" s="47"/>
      <c r="N286" s="47"/>
    </row>
    <row r="287" spans="1:14">
      <c r="A287" s="107"/>
      <c r="B287" s="21" t="s">
        <v>297</v>
      </c>
      <c r="C287" s="47"/>
      <c r="D287" s="21" t="s">
        <v>629</v>
      </c>
      <c r="E287" s="47"/>
      <c r="F287" s="70"/>
      <c r="G287" s="47"/>
      <c r="H287" s="47"/>
      <c r="I287" s="47"/>
      <c r="J287" s="47"/>
      <c r="K287" s="47"/>
      <c r="L287" s="47"/>
      <c r="M287" s="47"/>
      <c r="N287" s="47"/>
    </row>
    <row r="288" spans="1:14">
      <c r="A288" s="107"/>
      <c r="B288" s="21" t="s">
        <v>299</v>
      </c>
      <c r="C288" s="47"/>
      <c r="D288" s="21" t="s">
        <v>630</v>
      </c>
      <c r="E288" s="47"/>
      <c r="F288" s="70"/>
      <c r="G288" s="47"/>
      <c r="H288" s="47"/>
      <c r="I288" s="47"/>
      <c r="J288" s="47"/>
      <c r="K288" s="47"/>
      <c r="L288" s="47"/>
      <c r="M288" s="47"/>
      <c r="N288" s="47"/>
    </row>
    <row r="289" spans="1:14">
      <c r="A289" s="107"/>
      <c r="B289" s="49" t="s">
        <v>624</v>
      </c>
      <c r="C289" s="47"/>
      <c r="D289" s="21" t="s">
        <v>631</v>
      </c>
      <c r="E289" s="47"/>
      <c r="F289" s="70"/>
      <c r="G289" s="47"/>
      <c r="H289" s="47"/>
      <c r="I289" s="47"/>
      <c r="J289" s="47"/>
      <c r="K289" s="47"/>
      <c r="L289" s="47"/>
      <c r="M289" s="47"/>
      <c r="N289" s="47"/>
    </row>
    <row r="290" spans="1:14">
      <c r="A290" s="107"/>
      <c r="B290" s="21" t="s">
        <v>625</v>
      </c>
      <c r="C290" s="47" t="s">
        <v>893</v>
      </c>
      <c r="D290" s="21" t="s">
        <v>632</v>
      </c>
      <c r="E290" s="47">
        <v>500</v>
      </c>
      <c r="F290" s="70">
        <v>1</v>
      </c>
      <c r="G290" s="47" t="s">
        <v>1158</v>
      </c>
      <c r="H290" s="47"/>
      <c r="I290" s="47"/>
      <c r="J290" s="47"/>
      <c r="K290" s="47"/>
      <c r="L290" s="47"/>
      <c r="M290" s="47"/>
      <c r="N290" s="47"/>
    </row>
    <row r="291" spans="1:14">
      <c r="A291" s="107"/>
      <c r="B291" s="21" t="s">
        <v>626</v>
      </c>
      <c r="C291" s="47"/>
      <c r="D291" s="21" t="s">
        <v>633</v>
      </c>
      <c r="E291" s="47"/>
      <c r="F291" s="70"/>
      <c r="G291" s="47"/>
      <c r="H291" s="47"/>
      <c r="I291" s="47"/>
      <c r="J291" s="47"/>
      <c r="K291" s="47"/>
      <c r="L291" s="47"/>
      <c r="M291" s="47"/>
      <c r="N291" s="47"/>
    </row>
    <row r="292" spans="1:14">
      <c r="A292" s="107"/>
      <c r="B292" s="21" t="s">
        <v>627</v>
      </c>
      <c r="C292" s="47"/>
      <c r="D292" s="21" t="s">
        <v>634</v>
      </c>
      <c r="E292" s="47"/>
      <c r="F292" s="70"/>
      <c r="G292" s="47"/>
      <c r="H292" s="47"/>
      <c r="I292" s="47"/>
      <c r="J292" s="47"/>
      <c r="K292" s="47"/>
      <c r="L292" s="47"/>
      <c r="M292" s="47"/>
      <c r="N292" s="47"/>
    </row>
    <row r="293" spans="1:14">
      <c r="A293" s="107"/>
      <c r="B293" s="12" t="s">
        <v>302</v>
      </c>
      <c r="C293" s="47"/>
      <c r="D293" s="21"/>
      <c r="E293" s="47"/>
      <c r="F293" s="8">
        <f>F289*1.3/2.3</f>
        <v>0</v>
      </c>
      <c r="G293" s="47"/>
      <c r="H293" s="47"/>
      <c r="I293" s="47"/>
      <c r="J293" s="47"/>
      <c r="K293" s="47"/>
      <c r="L293" s="47"/>
      <c r="M293" s="47"/>
      <c r="N293" s="47"/>
    </row>
    <row r="294" spans="1:14">
      <c r="A294" s="107"/>
      <c r="B294" s="12" t="s">
        <v>301</v>
      </c>
      <c r="C294" s="47"/>
      <c r="D294" s="21"/>
      <c r="E294" s="47"/>
      <c r="F294" s="8">
        <f>F289*1/2.3</f>
        <v>0</v>
      </c>
      <c r="G294" s="47"/>
      <c r="H294" s="47"/>
      <c r="I294" s="47"/>
      <c r="J294" s="47"/>
      <c r="K294" s="47"/>
      <c r="L294" s="47"/>
      <c r="M294" s="47"/>
      <c r="N294" s="47"/>
    </row>
    <row r="295" spans="1:14">
      <c r="A295" s="107"/>
      <c r="B295" s="12" t="s">
        <v>300</v>
      </c>
      <c r="C295" s="47"/>
      <c r="D295" s="21"/>
      <c r="E295" s="47"/>
      <c r="F295" s="8">
        <f>F290</f>
        <v>1</v>
      </c>
      <c r="G295" s="47"/>
      <c r="H295" s="47"/>
      <c r="I295" s="47"/>
      <c r="J295" s="47"/>
      <c r="K295" s="47"/>
      <c r="L295" s="47"/>
      <c r="M295" s="47"/>
      <c r="N295" s="47"/>
    </row>
    <row r="296" spans="1:14">
      <c r="A296" s="107"/>
      <c r="B296" s="12" t="s">
        <v>296</v>
      </c>
      <c r="C296" s="47"/>
      <c r="D296" s="21"/>
      <c r="E296" s="47"/>
      <c r="F296" s="8">
        <f>F291</f>
        <v>0</v>
      </c>
      <c r="G296" s="47"/>
      <c r="H296" s="47"/>
      <c r="I296" s="47"/>
      <c r="J296" s="47"/>
      <c r="K296" s="47"/>
      <c r="L296" s="47"/>
      <c r="M296" s="47"/>
      <c r="N296" s="47"/>
    </row>
    <row r="297" spans="1:14">
      <c r="A297" s="107" t="s">
        <v>635</v>
      </c>
      <c r="B297" s="21" t="s">
        <v>305</v>
      </c>
      <c r="C297" s="20"/>
      <c r="D297" s="21" t="s">
        <v>636</v>
      </c>
      <c r="E297" s="47"/>
      <c r="F297" s="70">
        <f xml:space="preserve"> 1/ ROWS(B297:B303)</f>
        <v>0.14285714285714285</v>
      </c>
      <c r="G297" s="47" t="s">
        <v>925</v>
      </c>
      <c r="H297" s="47"/>
      <c r="I297" s="47"/>
      <c r="J297" s="47"/>
      <c r="K297" s="47"/>
      <c r="L297" s="47"/>
      <c r="M297" s="47"/>
      <c r="N297" s="47"/>
    </row>
    <row r="298" spans="1:14">
      <c r="A298" s="107"/>
      <c r="B298" s="21" t="s">
        <v>307</v>
      </c>
      <c r="C298" s="20"/>
      <c r="D298" s="21" t="s">
        <v>637</v>
      </c>
      <c r="E298" s="47"/>
      <c r="F298" s="70">
        <f t="shared" ref="F298:F303" si="14" xml:space="preserve"> 1/ ROWS(B298:B304)</f>
        <v>0.14285714285714285</v>
      </c>
      <c r="G298" s="47" t="s">
        <v>925</v>
      </c>
      <c r="H298" s="47"/>
      <c r="I298" s="47"/>
      <c r="J298" s="47"/>
      <c r="K298" s="47"/>
      <c r="L298" s="47"/>
      <c r="M298" s="47"/>
      <c r="N298" s="47"/>
    </row>
    <row r="299" spans="1:14">
      <c r="A299" s="107"/>
      <c r="B299" s="21" t="s">
        <v>309</v>
      </c>
      <c r="C299" s="20"/>
      <c r="D299" s="21" t="s">
        <v>638</v>
      </c>
      <c r="E299" s="47"/>
      <c r="F299" s="70">
        <f t="shared" si="14"/>
        <v>0.14285714285714285</v>
      </c>
      <c r="G299" s="47" t="s">
        <v>925</v>
      </c>
      <c r="H299" s="47"/>
      <c r="I299" s="47"/>
      <c r="J299" s="47"/>
      <c r="K299" s="47"/>
      <c r="L299" s="47"/>
      <c r="M299" s="47"/>
      <c r="N299" s="47"/>
    </row>
    <row r="300" spans="1:14">
      <c r="A300" s="107"/>
      <c r="B300" s="21" t="s">
        <v>303</v>
      </c>
      <c r="C300" s="20"/>
      <c r="D300" s="21" t="s">
        <v>639</v>
      </c>
      <c r="E300" s="47"/>
      <c r="F300" s="70">
        <f t="shared" si="14"/>
        <v>0.14285714285714285</v>
      </c>
      <c r="G300" s="47" t="s">
        <v>925</v>
      </c>
      <c r="H300" s="47"/>
      <c r="I300" s="47"/>
      <c r="J300" s="47"/>
      <c r="K300" s="47"/>
      <c r="L300" s="47"/>
      <c r="M300" s="47"/>
      <c r="N300" s="47"/>
    </row>
    <row r="301" spans="1:14">
      <c r="A301" s="107"/>
      <c r="B301" s="21" t="s">
        <v>308</v>
      </c>
      <c r="C301" s="20"/>
      <c r="D301" s="21" t="s">
        <v>640</v>
      </c>
      <c r="E301" s="47"/>
      <c r="F301" s="70">
        <f t="shared" si="14"/>
        <v>0.14285714285714285</v>
      </c>
      <c r="G301" s="47" t="s">
        <v>925</v>
      </c>
      <c r="H301" s="47"/>
      <c r="I301" s="47"/>
      <c r="J301" s="47"/>
      <c r="K301" s="47"/>
      <c r="L301" s="47"/>
      <c r="M301" s="47"/>
      <c r="N301" s="47"/>
    </row>
    <row r="302" spans="1:14">
      <c r="A302" s="107"/>
      <c r="B302" s="21" t="s">
        <v>304</v>
      </c>
      <c r="C302" s="20"/>
      <c r="D302" s="21" t="s">
        <v>641</v>
      </c>
      <c r="E302" s="47"/>
      <c r="F302" s="70">
        <f t="shared" si="14"/>
        <v>0.14285714285714285</v>
      </c>
      <c r="G302" s="47" t="s">
        <v>925</v>
      </c>
      <c r="H302" s="47"/>
      <c r="I302" s="47"/>
      <c r="J302" s="47"/>
      <c r="K302" s="47"/>
      <c r="L302" s="47"/>
      <c r="M302" s="47"/>
      <c r="N302" s="47"/>
    </row>
    <row r="303" spans="1:14">
      <c r="A303" s="107"/>
      <c r="B303" s="21" t="s">
        <v>306</v>
      </c>
      <c r="C303" s="20"/>
      <c r="D303" s="21" t="s">
        <v>642</v>
      </c>
      <c r="E303" s="47"/>
      <c r="F303" s="70">
        <f t="shared" si="14"/>
        <v>0.14285714285714285</v>
      </c>
      <c r="G303" s="47" t="s">
        <v>925</v>
      </c>
      <c r="H303" s="47"/>
      <c r="I303" s="47"/>
      <c r="J303" s="47"/>
      <c r="K303" s="47"/>
      <c r="L303" s="47"/>
      <c r="M303" s="47"/>
      <c r="N303" s="47"/>
    </row>
    <row r="304" spans="1:14">
      <c r="A304" s="56" t="s">
        <v>28</v>
      </c>
      <c r="B304" s="57" t="s">
        <v>310</v>
      </c>
      <c r="C304" s="58"/>
      <c r="D304" s="57" t="s">
        <v>643</v>
      </c>
      <c r="E304" s="47"/>
      <c r="F304" s="70">
        <v>1</v>
      </c>
      <c r="G304" s="47" t="s">
        <v>925</v>
      </c>
      <c r="H304" s="47"/>
      <c r="I304" s="47"/>
      <c r="J304" s="47"/>
      <c r="K304" s="47"/>
      <c r="L304" s="47"/>
      <c r="M304" s="47"/>
      <c r="N304" s="47"/>
    </row>
    <row r="305" spans="1:14">
      <c r="A305" s="48" t="s">
        <v>29</v>
      </c>
      <c r="B305" s="21" t="s">
        <v>311</v>
      </c>
      <c r="C305" s="20"/>
      <c r="D305" s="20" t="s">
        <v>644</v>
      </c>
      <c r="E305" s="47"/>
      <c r="F305" s="70">
        <v>1</v>
      </c>
      <c r="G305" s="47" t="s">
        <v>925</v>
      </c>
      <c r="H305" s="47"/>
      <c r="I305" s="47"/>
      <c r="J305" s="47"/>
      <c r="K305" s="47"/>
      <c r="L305" s="47"/>
      <c r="M305" s="47"/>
      <c r="N305" s="47"/>
    </row>
    <row r="306" spans="1:14">
      <c r="A306" s="107" t="s">
        <v>30</v>
      </c>
      <c r="B306" s="21" t="s">
        <v>33</v>
      </c>
      <c r="C306" s="20"/>
      <c r="D306" s="21" t="s">
        <v>645</v>
      </c>
      <c r="E306" s="47"/>
      <c r="F306" s="70">
        <f xml:space="preserve"> 1/ ROWS(B306:B308)</f>
        <v>0.33333333333333331</v>
      </c>
      <c r="G306" s="47" t="s">
        <v>925</v>
      </c>
      <c r="H306" s="47"/>
      <c r="I306" s="47"/>
      <c r="J306" s="47"/>
      <c r="K306" s="47"/>
      <c r="L306" s="47"/>
      <c r="M306" s="47"/>
      <c r="N306" s="47"/>
    </row>
    <row r="307" spans="1:14">
      <c r="A307" s="107"/>
      <c r="B307" s="21" t="s">
        <v>34</v>
      </c>
      <c r="C307" s="20"/>
      <c r="D307" s="21" t="s">
        <v>646</v>
      </c>
      <c r="E307" s="47"/>
      <c r="F307" s="70">
        <f t="shared" ref="F307:F308" si="15" xml:space="preserve"> 1/ ROWS(B307:B309)</f>
        <v>0.33333333333333331</v>
      </c>
      <c r="G307" s="47" t="s">
        <v>925</v>
      </c>
      <c r="H307" s="47"/>
      <c r="I307" s="47"/>
      <c r="J307" s="47"/>
      <c r="K307" s="47"/>
      <c r="L307" s="47"/>
      <c r="M307" s="47"/>
      <c r="N307" s="47"/>
    </row>
    <row r="308" spans="1:14">
      <c r="A308" s="107"/>
      <c r="B308" s="21" t="s">
        <v>35</v>
      </c>
      <c r="C308" s="20"/>
      <c r="D308" s="21" t="s">
        <v>647</v>
      </c>
      <c r="E308" s="47"/>
      <c r="F308" s="70">
        <f t="shared" si="15"/>
        <v>0.33333333333333331</v>
      </c>
      <c r="G308" s="47" t="s">
        <v>925</v>
      </c>
      <c r="H308" s="47"/>
      <c r="I308" s="47"/>
      <c r="J308" s="47"/>
      <c r="K308" s="47"/>
      <c r="L308" s="47"/>
      <c r="M308" s="47"/>
      <c r="N308" s="47"/>
    </row>
    <row r="309" spans="1:14">
      <c r="A309" s="107" t="s">
        <v>31</v>
      </c>
      <c r="B309" s="21" t="s">
        <v>315</v>
      </c>
      <c r="C309" s="20"/>
      <c r="D309" s="21" t="s">
        <v>648</v>
      </c>
      <c r="E309" s="47"/>
      <c r="F309" s="70">
        <f xml:space="preserve"> 1/ ROWS(B309:B312)</f>
        <v>0.25</v>
      </c>
      <c r="G309" s="47" t="s">
        <v>925</v>
      </c>
      <c r="H309" s="47"/>
      <c r="I309" s="47"/>
      <c r="J309" s="47"/>
      <c r="K309" s="47"/>
      <c r="L309" s="47"/>
      <c r="M309" s="47"/>
      <c r="N309" s="47"/>
    </row>
    <row r="310" spans="1:14">
      <c r="A310" s="107"/>
      <c r="B310" s="21" t="s">
        <v>314</v>
      </c>
      <c r="C310" s="20"/>
      <c r="D310" s="21" t="s">
        <v>649</v>
      </c>
      <c r="E310" s="47"/>
      <c r="F310" s="70">
        <f t="shared" ref="F310:F312" si="16" xml:space="preserve"> 1/ ROWS(B310:B313)</f>
        <v>0.25</v>
      </c>
      <c r="G310" s="47" t="s">
        <v>925</v>
      </c>
      <c r="H310" s="47"/>
      <c r="I310" s="47"/>
      <c r="J310" s="47"/>
      <c r="K310" s="47"/>
      <c r="L310" s="47"/>
      <c r="M310" s="47"/>
      <c r="N310" s="47"/>
    </row>
    <row r="311" spans="1:14" ht="29.25">
      <c r="A311" s="107"/>
      <c r="B311" s="21" t="s">
        <v>313</v>
      </c>
      <c r="C311" s="20"/>
      <c r="D311" s="20" t="s">
        <v>650</v>
      </c>
      <c r="E311" s="47"/>
      <c r="F311" s="70">
        <f t="shared" si="16"/>
        <v>0.25</v>
      </c>
      <c r="G311" s="47" t="s">
        <v>925</v>
      </c>
      <c r="H311" s="47"/>
      <c r="I311" s="47"/>
      <c r="J311" s="47"/>
      <c r="K311" s="47"/>
      <c r="L311" s="47"/>
      <c r="M311" s="47"/>
      <c r="N311" s="47"/>
    </row>
    <row r="312" spans="1:14" ht="29.25">
      <c r="A312" s="107"/>
      <c r="B312" s="21" t="s">
        <v>312</v>
      </c>
      <c r="C312" s="20"/>
      <c r="D312" s="20" t="s">
        <v>651</v>
      </c>
      <c r="E312" s="47"/>
      <c r="F312" s="70">
        <f t="shared" si="16"/>
        <v>0.25</v>
      </c>
      <c r="G312" s="47" t="s">
        <v>925</v>
      </c>
      <c r="H312" s="47"/>
      <c r="I312" s="47"/>
      <c r="J312" s="47"/>
      <c r="K312" s="47"/>
      <c r="L312" s="47"/>
      <c r="M312" s="47"/>
      <c r="N312" s="47"/>
    </row>
    <row r="313" spans="1:14">
      <c r="A313" s="56" t="s">
        <v>32</v>
      </c>
      <c r="B313" s="21" t="s">
        <v>1015</v>
      </c>
      <c r="C313" s="47"/>
      <c r="D313" s="47"/>
      <c r="E313" s="47"/>
      <c r="F313" s="70">
        <v>1</v>
      </c>
      <c r="G313" s="47" t="s">
        <v>925</v>
      </c>
      <c r="H313" s="47"/>
      <c r="I313" s="47"/>
      <c r="J313" s="47"/>
      <c r="K313" s="47"/>
      <c r="L313" s="47"/>
      <c r="M313" s="47"/>
      <c r="N313" s="47"/>
    </row>
    <row r="314" spans="1:14">
      <c r="A314" s="56" t="s">
        <v>1026</v>
      </c>
      <c r="B314" s="21" t="s">
        <v>654</v>
      </c>
      <c r="C314" s="47"/>
      <c r="D314" s="47" t="s">
        <v>1026</v>
      </c>
      <c r="E314" s="47"/>
      <c r="F314" s="70">
        <v>1</v>
      </c>
      <c r="G314" s="47" t="s">
        <v>925</v>
      </c>
      <c r="H314" s="47"/>
      <c r="I314" s="47"/>
      <c r="J314" s="47"/>
      <c r="K314" s="47"/>
      <c r="L314" s="47"/>
      <c r="M314" s="47"/>
      <c r="N314" s="47"/>
    </row>
    <row r="315" spans="1:14">
      <c r="A315" s="56" t="s">
        <v>933</v>
      </c>
      <c r="B315" s="21" t="s">
        <v>653</v>
      </c>
      <c r="C315" s="47"/>
      <c r="D315" s="47" t="s">
        <v>652</v>
      </c>
      <c r="E315" s="47"/>
      <c r="F315" s="70">
        <v>1</v>
      </c>
      <c r="G315" s="47" t="s">
        <v>925</v>
      </c>
      <c r="H315" s="47"/>
      <c r="I315" s="47"/>
      <c r="J315" s="47"/>
      <c r="K315" s="47"/>
      <c r="L315" s="47"/>
      <c r="M315" s="47"/>
      <c r="N315" s="47"/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5"/>
  <sheetViews>
    <sheetView topLeftCell="A24" workbookViewId="0"/>
    <sheetView workbookViewId="1"/>
  </sheetViews>
  <sheetFormatPr baseColWidth="10" defaultColWidth="10.875" defaultRowHeight="15"/>
  <cols>
    <col min="1" max="1" width="19" style="3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655</v>
      </c>
      <c r="E1" s="22" t="s">
        <v>719</v>
      </c>
      <c r="F1" s="23" t="s">
        <v>720</v>
      </c>
      <c r="G1" s="1" t="s">
        <v>927</v>
      </c>
      <c r="H1" s="1"/>
      <c r="I1" s="1"/>
    </row>
    <row r="2" spans="1:10" ht="29.25">
      <c r="A2" s="106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925</v>
      </c>
      <c r="J2" s="14"/>
    </row>
    <row r="3" spans="1:10">
      <c r="A3" s="106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925</v>
      </c>
      <c r="H3" s="17"/>
      <c r="J3" s="14"/>
    </row>
    <row r="4" spans="1:10">
      <c r="A4" s="106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925</v>
      </c>
      <c r="J4" s="14"/>
    </row>
    <row r="5" spans="1:10">
      <c r="A5" s="106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925</v>
      </c>
      <c r="J5" s="14"/>
    </row>
    <row r="6" spans="1:10">
      <c r="A6" s="106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925</v>
      </c>
      <c r="J6" s="14"/>
    </row>
    <row r="7" spans="1:10">
      <c r="A7" s="106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925</v>
      </c>
      <c r="J7" s="14"/>
    </row>
    <row r="8" spans="1:10">
      <c r="A8" s="106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925</v>
      </c>
      <c r="J8" s="14"/>
    </row>
    <row r="9" spans="1:10">
      <c r="A9" s="106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925</v>
      </c>
      <c r="J9" s="14"/>
    </row>
    <row r="10" spans="1:10">
      <c r="A10" s="106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925</v>
      </c>
      <c r="J10" s="14"/>
    </row>
    <row r="11" spans="1:10">
      <c r="A11" s="106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925</v>
      </c>
      <c r="J11" s="14"/>
    </row>
    <row r="12" spans="1:10">
      <c r="A12" s="106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925</v>
      </c>
      <c r="J12" s="14"/>
    </row>
    <row r="13" spans="1:10">
      <c r="A13" s="106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925</v>
      </c>
      <c r="J13" s="14"/>
    </row>
    <row r="14" spans="1:10">
      <c r="A14" s="106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925</v>
      </c>
      <c r="J14" s="14"/>
    </row>
    <row r="15" spans="1:10">
      <c r="A15" s="106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925</v>
      </c>
      <c r="J15" s="14"/>
    </row>
    <row r="16" spans="1:10">
      <c r="A16" s="106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925</v>
      </c>
      <c r="J16" s="14"/>
    </row>
    <row r="17" spans="1:10">
      <c r="A17" s="106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925</v>
      </c>
      <c r="J17" s="14"/>
    </row>
    <row r="18" spans="1:10">
      <c r="A18" s="106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925</v>
      </c>
      <c r="J18" s="14"/>
    </row>
    <row r="19" spans="1:10">
      <c r="A19" s="106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925</v>
      </c>
      <c r="J19" s="14"/>
    </row>
    <row r="20" spans="1:10">
      <c r="A20" s="106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925</v>
      </c>
      <c r="J20" s="14"/>
    </row>
    <row r="21" spans="1:10">
      <c r="A21" s="106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925</v>
      </c>
      <c r="J21" s="14"/>
    </row>
    <row r="22" spans="1:10">
      <c r="A22" s="106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925</v>
      </c>
      <c r="J22" s="14"/>
    </row>
    <row r="23" spans="1:10">
      <c r="A23" s="106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925</v>
      </c>
      <c r="J23" s="14"/>
    </row>
    <row r="24" spans="1:10">
      <c r="A24" s="106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925</v>
      </c>
      <c r="J24" s="14"/>
    </row>
    <row r="25" spans="1:10">
      <c r="A25" s="106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925</v>
      </c>
      <c r="J25" s="14"/>
    </row>
    <row r="26" spans="1:10">
      <c r="A26" s="106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925</v>
      </c>
      <c r="J26" s="14"/>
    </row>
    <row r="27" spans="1:10">
      <c r="A27" s="106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925</v>
      </c>
      <c r="J27" s="14"/>
    </row>
    <row r="28" spans="1:10">
      <c r="A28" s="106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925</v>
      </c>
      <c r="J28" s="14"/>
    </row>
    <row r="29" spans="1:10">
      <c r="A29" s="106"/>
      <c r="B29" s="29" t="s">
        <v>63</v>
      </c>
      <c r="C29" s="15"/>
      <c r="D29" s="16" t="s">
        <v>342</v>
      </c>
      <c r="F29" s="8">
        <f t="shared" si="3"/>
        <v>0.2</v>
      </c>
      <c r="G29" s="73" t="s">
        <v>925</v>
      </c>
      <c r="J29" s="14"/>
    </row>
    <row r="30" spans="1:10">
      <c r="A30" s="106"/>
      <c r="B30" s="29" t="s">
        <v>65</v>
      </c>
      <c r="C30" s="15"/>
      <c r="D30" s="16" t="s">
        <v>343</v>
      </c>
      <c r="F30" s="8">
        <f t="shared" si="3"/>
        <v>0.2</v>
      </c>
      <c r="G30" s="73" t="s">
        <v>925</v>
      </c>
      <c r="J30" s="14"/>
    </row>
    <row r="31" spans="1:10">
      <c r="A31" s="106"/>
      <c r="B31" s="29" t="s">
        <v>62</v>
      </c>
      <c r="C31" s="15"/>
      <c r="D31" s="16" t="s">
        <v>344</v>
      </c>
      <c r="F31" s="8">
        <f t="shared" si="3"/>
        <v>0.2</v>
      </c>
      <c r="G31" s="73" t="s">
        <v>925</v>
      </c>
      <c r="J31" s="14"/>
    </row>
    <row r="32" spans="1:10">
      <c r="A32" s="106" t="s">
        <v>7</v>
      </c>
      <c r="B32" s="29" t="s">
        <v>101</v>
      </c>
      <c r="C32" s="15"/>
      <c r="D32" s="16" t="s">
        <v>345</v>
      </c>
      <c r="J32" s="14"/>
    </row>
    <row r="33" spans="1:10">
      <c r="A33" s="106"/>
      <c r="B33" s="29" t="s">
        <v>102</v>
      </c>
      <c r="C33" s="15"/>
      <c r="D33" s="16" t="s">
        <v>346</v>
      </c>
      <c r="J33" s="14"/>
    </row>
    <row r="34" spans="1:10">
      <c r="A34" s="106"/>
      <c r="B34" s="29" t="s">
        <v>103</v>
      </c>
      <c r="C34" s="15"/>
      <c r="D34" s="16" t="s">
        <v>347</v>
      </c>
      <c r="J34" s="14"/>
    </row>
    <row r="35" spans="1:10">
      <c r="A35" s="106"/>
      <c r="B35" s="29" t="s">
        <v>100</v>
      </c>
      <c r="C35" s="15"/>
      <c r="D35" s="16" t="s">
        <v>348</v>
      </c>
      <c r="J35" s="14"/>
    </row>
    <row r="36" spans="1:10">
      <c r="A36" s="106"/>
      <c r="B36" s="29" t="s">
        <v>97</v>
      </c>
      <c r="C36" s="31"/>
      <c r="D36" s="16" t="s">
        <v>349</v>
      </c>
      <c r="J36" s="14"/>
    </row>
    <row r="37" spans="1:10">
      <c r="A37" s="106"/>
      <c r="B37" s="29" t="s">
        <v>98</v>
      </c>
      <c r="C37" s="15"/>
      <c r="D37" s="16" t="s">
        <v>350</v>
      </c>
      <c r="J37" s="14"/>
    </row>
    <row r="38" spans="1:10">
      <c r="A38" s="106"/>
      <c r="B38" s="29" t="s">
        <v>95</v>
      </c>
      <c r="C38" s="15"/>
      <c r="D38" s="16" t="s">
        <v>351</v>
      </c>
      <c r="J38" s="14"/>
    </row>
    <row r="39" spans="1:10">
      <c r="A39" s="106"/>
      <c r="B39" s="29" t="s">
        <v>96</v>
      </c>
      <c r="C39" s="15"/>
      <c r="D39" s="16" t="s">
        <v>352</v>
      </c>
      <c r="J39" s="14"/>
    </row>
    <row r="40" spans="1:10">
      <c r="A40" s="106"/>
      <c r="B40" s="29" t="s">
        <v>99</v>
      </c>
      <c r="C40" s="15"/>
      <c r="D40" s="16" t="s">
        <v>353</v>
      </c>
      <c r="J40" s="14"/>
    </row>
    <row r="41" spans="1:10">
      <c r="A41" s="106"/>
      <c r="B41" s="29" t="s">
        <v>93</v>
      </c>
      <c r="C41" s="15"/>
      <c r="D41" s="16" t="s">
        <v>354</v>
      </c>
      <c r="J41" s="14"/>
    </row>
    <row r="42" spans="1:10">
      <c r="A42" s="106"/>
      <c r="B42" s="29" t="s">
        <v>94</v>
      </c>
      <c r="C42" s="15"/>
      <c r="D42" s="16" t="s">
        <v>355</v>
      </c>
      <c r="J42" s="14"/>
    </row>
    <row r="43" spans="1:10">
      <c r="A43" s="106"/>
      <c r="B43" s="29" t="s">
        <v>92</v>
      </c>
      <c r="C43" s="15"/>
      <c r="D43" s="16" t="s">
        <v>356</v>
      </c>
      <c r="J43" s="14"/>
    </row>
    <row r="44" spans="1:10">
      <c r="A44" s="106"/>
      <c r="B44" s="29" t="s">
        <v>91</v>
      </c>
      <c r="C44" s="15"/>
      <c r="D44" s="16" t="s">
        <v>357</v>
      </c>
      <c r="J44" s="14"/>
    </row>
    <row r="45" spans="1:10">
      <c r="A45" s="106"/>
      <c r="B45" s="29" t="s">
        <v>90</v>
      </c>
      <c r="C45" s="15"/>
      <c r="D45" s="16" t="s">
        <v>358</v>
      </c>
      <c r="J45" s="14"/>
    </row>
    <row r="46" spans="1:10">
      <c r="A46" s="106"/>
      <c r="B46" s="29" t="s">
        <v>89</v>
      </c>
      <c r="C46" s="15"/>
      <c r="D46" s="16" t="s">
        <v>359</v>
      </c>
      <c r="J46" s="14"/>
    </row>
    <row r="47" spans="1:10">
      <c r="A47" s="106"/>
      <c r="B47" s="29" t="s">
        <v>88</v>
      </c>
      <c r="C47" s="15"/>
      <c r="D47" s="16" t="s">
        <v>360</v>
      </c>
      <c r="J47" s="14"/>
    </row>
    <row r="48" spans="1:10">
      <c r="A48" s="106"/>
      <c r="B48" s="29" t="s">
        <v>87</v>
      </c>
      <c r="C48" s="15"/>
      <c r="D48" s="16" t="s">
        <v>361</v>
      </c>
      <c r="J48" s="14"/>
    </row>
    <row r="49" spans="1:10">
      <c r="A49" s="106"/>
      <c r="B49" s="29" t="s">
        <v>86</v>
      </c>
      <c r="C49" s="15"/>
      <c r="D49" s="16" t="s">
        <v>362</v>
      </c>
      <c r="J49" s="14"/>
    </row>
    <row r="50" spans="1:10">
      <c r="A50" s="106"/>
      <c r="B50" s="29" t="s">
        <v>85</v>
      </c>
      <c r="C50" s="15"/>
      <c r="D50" s="16" t="s">
        <v>363</v>
      </c>
      <c r="J50" s="14"/>
    </row>
    <row r="51" spans="1:10">
      <c r="A51" s="106"/>
      <c r="B51" s="29" t="s">
        <v>84</v>
      </c>
      <c r="C51" s="15"/>
      <c r="D51" s="16" t="s">
        <v>364</v>
      </c>
      <c r="J51" s="14"/>
    </row>
    <row r="52" spans="1:10">
      <c r="A52" s="106"/>
      <c r="B52" s="29" t="s">
        <v>83</v>
      </c>
      <c r="C52" s="15"/>
      <c r="D52" s="16" t="s">
        <v>365</v>
      </c>
      <c r="J52" s="14"/>
    </row>
    <row r="53" spans="1:10">
      <c r="A53" s="106"/>
      <c r="B53" s="29" t="s">
        <v>82</v>
      </c>
      <c r="C53" s="15"/>
      <c r="D53" s="16" t="s">
        <v>366</v>
      </c>
      <c r="J53" s="14"/>
    </row>
    <row r="54" spans="1:10">
      <c r="A54" s="106"/>
      <c r="B54" s="29" t="s">
        <v>81</v>
      </c>
      <c r="C54" s="15"/>
      <c r="D54" s="16" t="s">
        <v>367</v>
      </c>
      <c r="J54" s="14"/>
    </row>
    <row r="55" spans="1:10">
      <c r="A55" s="106"/>
      <c r="B55" s="29" t="s">
        <v>78</v>
      </c>
      <c r="C55" s="32" t="s">
        <v>683</v>
      </c>
      <c r="D55" s="16" t="s">
        <v>368</v>
      </c>
      <c r="E55" s="3">
        <v>280</v>
      </c>
      <c r="F55" s="8">
        <f t="shared" ref="F55:F62" si="4">E55/SUM($E$55:$E$67)</f>
        <v>0.15053763440860216</v>
      </c>
      <c r="G55" s="102" t="s">
        <v>938</v>
      </c>
      <c r="J55" s="14"/>
    </row>
    <row r="56" spans="1:10">
      <c r="A56" s="106"/>
      <c r="B56" s="29" t="s">
        <v>77</v>
      </c>
      <c r="C56" s="31" t="s">
        <v>696</v>
      </c>
      <c r="D56" s="16" t="s">
        <v>369</v>
      </c>
      <c r="E56" s="3">
        <v>400</v>
      </c>
      <c r="F56" s="8">
        <f t="shared" si="4"/>
        <v>0.21505376344086022</v>
      </c>
      <c r="G56" s="102" t="s">
        <v>1187</v>
      </c>
      <c r="J56" s="14"/>
    </row>
    <row r="57" spans="1:10">
      <c r="A57" s="106"/>
      <c r="B57" s="29" t="s">
        <v>76</v>
      </c>
      <c r="C57" s="15"/>
      <c r="D57" s="16" t="s">
        <v>370</v>
      </c>
      <c r="J57" s="14"/>
    </row>
    <row r="58" spans="1:10">
      <c r="A58" s="106"/>
      <c r="B58" s="29" t="s">
        <v>79</v>
      </c>
      <c r="C58" s="15"/>
      <c r="D58" s="16" t="s">
        <v>371</v>
      </c>
      <c r="J58" s="14"/>
    </row>
    <row r="59" spans="1:10">
      <c r="A59" s="106"/>
      <c r="B59" s="29" t="s">
        <v>80</v>
      </c>
      <c r="C59" s="15"/>
      <c r="D59" s="16" t="s">
        <v>372</v>
      </c>
      <c r="J59" s="14"/>
    </row>
    <row r="60" spans="1:10">
      <c r="A60" s="106"/>
      <c r="B60" s="29" t="s">
        <v>75</v>
      </c>
      <c r="C60" s="15"/>
      <c r="D60" s="16" t="s">
        <v>373</v>
      </c>
      <c r="J60" s="14"/>
    </row>
    <row r="61" spans="1:10">
      <c r="A61" s="106"/>
      <c r="B61" s="29" t="s">
        <v>73</v>
      </c>
      <c r="C61" s="15"/>
      <c r="D61" s="16" t="s">
        <v>374</v>
      </c>
      <c r="J61" s="14"/>
    </row>
    <row r="62" spans="1:10">
      <c r="A62" s="106"/>
      <c r="B62" s="29" t="s">
        <v>74</v>
      </c>
      <c r="C62" s="32" t="s">
        <v>685</v>
      </c>
      <c r="D62" s="16" t="s">
        <v>375</v>
      </c>
      <c r="E62" s="3">
        <v>480</v>
      </c>
      <c r="F62" s="8">
        <f t="shared" si="4"/>
        <v>0.25806451612903225</v>
      </c>
      <c r="G62" s="104" t="s">
        <v>1196</v>
      </c>
      <c r="H62" s="100"/>
      <c r="J62" s="14"/>
    </row>
    <row r="63" spans="1:10">
      <c r="A63" s="106"/>
      <c r="B63" s="29" t="s">
        <v>72</v>
      </c>
      <c r="C63" s="15"/>
      <c r="D63" s="16" t="s">
        <v>376</v>
      </c>
      <c r="J63" s="14"/>
    </row>
    <row r="64" spans="1:10">
      <c r="A64" s="106"/>
      <c r="B64" s="29" t="s">
        <v>69</v>
      </c>
      <c r="C64" s="15"/>
      <c r="D64" s="16" t="s">
        <v>377</v>
      </c>
      <c r="J64" s="14"/>
    </row>
    <row r="65" spans="1:10">
      <c r="A65" s="106"/>
      <c r="B65" s="29" t="s">
        <v>70</v>
      </c>
      <c r="C65" s="15"/>
      <c r="D65" s="16" t="s">
        <v>378</v>
      </c>
      <c r="J65" s="14"/>
    </row>
    <row r="66" spans="1:10">
      <c r="A66" s="106"/>
      <c r="B66" s="29" t="s">
        <v>68</v>
      </c>
      <c r="C66" s="32"/>
      <c r="D66" s="16" t="s">
        <v>379</v>
      </c>
      <c r="J66" s="14"/>
    </row>
    <row r="67" spans="1:10">
      <c r="A67" s="106"/>
      <c r="B67" s="29" t="s">
        <v>71</v>
      </c>
      <c r="C67" s="15" t="s">
        <v>721</v>
      </c>
      <c r="D67" s="16" t="s">
        <v>380</v>
      </c>
      <c r="E67" s="3">
        <v>700</v>
      </c>
      <c r="F67" s="8">
        <f>E67/SUM($E$55:$E$67)</f>
        <v>0.37634408602150538</v>
      </c>
      <c r="G67" s="104" t="s">
        <v>1006</v>
      </c>
      <c r="J67" s="14"/>
    </row>
    <row r="68" spans="1:10">
      <c r="A68" s="106"/>
      <c r="B68" s="29" t="s">
        <v>67</v>
      </c>
      <c r="C68" s="32"/>
      <c r="D68" s="16" t="s">
        <v>381</v>
      </c>
      <c r="J68" s="14"/>
    </row>
    <row r="69" spans="1:10">
      <c r="A69" s="106"/>
      <c r="B69" s="29" t="s">
        <v>66</v>
      </c>
      <c r="C69" s="15"/>
      <c r="D69" s="16" t="s">
        <v>382</v>
      </c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925</v>
      </c>
      <c r="J70" s="14"/>
    </row>
    <row r="71" spans="1:10">
      <c r="A71" s="106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925</v>
      </c>
      <c r="J71" s="14"/>
    </row>
    <row r="72" spans="1:10">
      <c r="A72" s="106"/>
      <c r="B72" s="29" t="s">
        <v>105</v>
      </c>
      <c r="C72" s="15"/>
      <c r="D72" s="16" t="s">
        <v>386</v>
      </c>
      <c r="F72" s="8">
        <v>0.33329999999999999</v>
      </c>
      <c r="G72" s="73" t="s">
        <v>925</v>
      </c>
      <c r="J72" s="14"/>
    </row>
    <row r="73" spans="1:10">
      <c r="A73" s="106"/>
      <c r="B73" s="29" t="s">
        <v>104</v>
      </c>
      <c r="C73" s="15"/>
      <c r="D73" s="16" t="s">
        <v>387</v>
      </c>
      <c r="F73" s="8">
        <v>0.33329999999999999</v>
      </c>
      <c r="G73" s="73" t="s">
        <v>925</v>
      </c>
      <c r="J73" s="14"/>
    </row>
    <row r="74" spans="1:10">
      <c r="A74" s="106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925</v>
      </c>
      <c r="J74" s="14"/>
    </row>
    <row r="75" spans="1:10">
      <c r="A75" s="106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925</v>
      </c>
      <c r="J75" s="14"/>
    </row>
    <row r="76" spans="1:10">
      <c r="A76" s="106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925</v>
      </c>
    </row>
    <row r="77" spans="1:10">
      <c r="A77" s="106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925</v>
      </c>
    </row>
    <row r="78" spans="1:10">
      <c r="A78" s="106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925</v>
      </c>
    </row>
    <row r="79" spans="1:10">
      <c r="A79" s="106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925</v>
      </c>
    </row>
    <row r="80" spans="1:10">
      <c r="A80" s="106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925</v>
      </c>
    </row>
    <row r="81" spans="1:7">
      <c r="A81" s="106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925</v>
      </c>
    </row>
    <row r="82" spans="1:7">
      <c r="A82" s="106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925</v>
      </c>
    </row>
    <row r="83" spans="1:7">
      <c r="A83" s="106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925</v>
      </c>
    </row>
    <row r="84" spans="1:7">
      <c r="A84" s="106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925</v>
      </c>
    </row>
    <row r="85" spans="1:7">
      <c r="A85" s="106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925</v>
      </c>
    </row>
    <row r="86" spans="1:7">
      <c r="A86" s="106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925</v>
      </c>
    </row>
    <row r="87" spans="1:7">
      <c r="A87" s="106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925</v>
      </c>
    </row>
    <row r="88" spans="1:7">
      <c r="A88" s="106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925</v>
      </c>
    </row>
    <row r="89" spans="1:7">
      <c r="A89" s="106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925</v>
      </c>
    </row>
    <row r="90" spans="1:7">
      <c r="A90" s="106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925</v>
      </c>
    </row>
    <row r="91" spans="1:7">
      <c r="A91" s="106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925</v>
      </c>
    </row>
    <row r="92" spans="1:7">
      <c r="A92" s="106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925</v>
      </c>
    </row>
    <row r="93" spans="1:7">
      <c r="A93" s="106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925</v>
      </c>
    </row>
    <row r="94" spans="1:7">
      <c r="A94" s="106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925</v>
      </c>
    </row>
    <row r="95" spans="1:7">
      <c r="A95" s="106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925</v>
      </c>
    </row>
    <row r="96" spans="1:7">
      <c r="A96" s="106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925</v>
      </c>
    </row>
    <row r="97" spans="1:7">
      <c r="A97" s="106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925</v>
      </c>
    </row>
    <row r="98" spans="1:7">
      <c r="A98" s="106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925</v>
      </c>
    </row>
    <row r="99" spans="1:7">
      <c r="A99" s="106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925</v>
      </c>
    </row>
    <row r="100" spans="1:7">
      <c r="A100" s="106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925</v>
      </c>
    </row>
    <row r="101" spans="1:7">
      <c r="A101" s="106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925</v>
      </c>
    </row>
    <row r="102" spans="1:7">
      <c r="A102" s="106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925</v>
      </c>
    </row>
    <row r="103" spans="1:7">
      <c r="A103" s="106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925</v>
      </c>
    </row>
    <row r="104" spans="1:7">
      <c r="A104" s="106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925</v>
      </c>
    </row>
    <row r="105" spans="1:7">
      <c r="A105" s="106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925</v>
      </c>
    </row>
    <row r="106" spans="1:7">
      <c r="A106" s="106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925</v>
      </c>
    </row>
    <row r="107" spans="1:7">
      <c r="A107" s="106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925</v>
      </c>
    </row>
    <row r="108" spans="1:7">
      <c r="A108" s="106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925</v>
      </c>
    </row>
    <row r="109" spans="1:7">
      <c r="A109" s="106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925</v>
      </c>
    </row>
    <row r="110" spans="1:7">
      <c r="A110" s="106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925</v>
      </c>
    </row>
    <row r="111" spans="1:7">
      <c r="A111" s="106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925</v>
      </c>
    </row>
    <row r="112" spans="1:7">
      <c r="A112" s="106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925</v>
      </c>
    </row>
    <row r="113" spans="1:7">
      <c r="A113" s="106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925</v>
      </c>
    </row>
    <row r="114" spans="1:7">
      <c r="A114" s="106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925</v>
      </c>
    </row>
    <row r="115" spans="1:7">
      <c r="A115" s="106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925</v>
      </c>
    </row>
    <row r="116" spans="1:7">
      <c r="A116" s="106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925</v>
      </c>
    </row>
    <row r="117" spans="1:7">
      <c r="A117" s="106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925</v>
      </c>
    </row>
    <row r="118" spans="1:7">
      <c r="A118" s="106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925</v>
      </c>
    </row>
    <row r="119" spans="1:7">
      <c r="A119" s="106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925</v>
      </c>
    </row>
    <row r="120" spans="1:7">
      <c r="A120" s="106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925</v>
      </c>
    </row>
    <row r="121" spans="1:7">
      <c r="A121" s="106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925</v>
      </c>
    </row>
    <row r="122" spans="1:7">
      <c r="A122" s="106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925</v>
      </c>
    </row>
    <row r="123" spans="1:7">
      <c r="A123" s="106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925</v>
      </c>
    </row>
    <row r="124" spans="1:7">
      <c r="A124" s="106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925</v>
      </c>
    </row>
    <row r="125" spans="1:7">
      <c r="A125" s="106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925</v>
      </c>
    </row>
    <row r="126" spans="1:7">
      <c r="A126" s="106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925</v>
      </c>
    </row>
    <row r="127" spans="1:7">
      <c r="A127" s="106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925</v>
      </c>
    </row>
    <row r="128" spans="1:7">
      <c r="A128" s="106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925</v>
      </c>
    </row>
    <row r="129" spans="1:7">
      <c r="A129" s="106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925</v>
      </c>
    </row>
    <row r="130" spans="1:7">
      <c r="A130" s="106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925</v>
      </c>
    </row>
    <row r="131" spans="1:7">
      <c r="A131" s="106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925</v>
      </c>
    </row>
    <row r="132" spans="1:7">
      <c r="A132" s="106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925</v>
      </c>
    </row>
    <row r="133" spans="1:7">
      <c r="A133" s="106" t="s">
        <v>12</v>
      </c>
      <c r="B133" s="19" t="s">
        <v>460</v>
      </c>
      <c r="C133" s="16"/>
      <c r="D133" s="19" t="s">
        <v>461</v>
      </c>
      <c r="F133" s="8">
        <f>1/3*$F$135</f>
        <v>0.16666666666666666</v>
      </c>
      <c r="G133" s="73" t="s">
        <v>925</v>
      </c>
    </row>
    <row r="134" spans="1:7">
      <c r="A134" s="106"/>
      <c r="B134" s="29" t="s">
        <v>154</v>
      </c>
      <c r="C134" s="15"/>
      <c r="D134" s="16" t="s">
        <v>462</v>
      </c>
      <c r="F134" s="8">
        <f>0.5</f>
        <v>0.5</v>
      </c>
      <c r="G134" s="73" t="s">
        <v>925</v>
      </c>
    </row>
    <row r="135" spans="1:7">
      <c r="A135" s="106"/>
      <c r="B135" s="29" t="s">
        <v>153</v>
      </c>
      <c r="C135" s="15"/>
      <c r="D135" s="16"/>
      <c r="F135" s="91">
        <v>0.5</v>
      </c>
      <c r="G135" s="73" t="s">
        <v>925</v>
      </c>
    </row>
    <row r="136" spans="1:7">
      <c r="A136" s="106"/>
      <c r="B136" s="29" t="s">
        <v>463</v>
      </c>
      <c r="C136" s="15"/>
      <c r="D136" s="16" t="s">
        <v>464</v>
      </c>
      <c r="F136" s="8">
        <f>1/3*$F$135</f>
        <v>0.16666666666666666</v>
      </c>
      <c r="G136" s="73" t="s">
        <v>925</v>
      </c>
    </row>
    <row r="137" spans="1:7">
      <c r="A137" s="106"/>
      <c r="B137" s="29" t="s">
        <v>465</v>
      </c>
      <c r="C137" s="15"/>
      <c r="D137" s="16" t="s">
        <v>466</v>
      </c>
      <c r="F137" s="8">
        <f>1/3*$F$135</f>
        <v>0.16666666666666666</v>
      </c>
      <c r="G137" s="73" t="s">
        <v>925</v>
      </c>
    </row>
    <row r="138" spans="1:7">
      <c r="A138" s="106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925</v>
      </c>
    </row>
    <row r="139" spans="1:7">
      <c r="A139" s="106"/>
      <c r="B139" s="29" t="s">
        <v>156</v>
      </c>
      <c r="C139" s="15"/>
      <c r="D139" s="16" t="s">
        <v>468</v>
      </c>
      <c r="F139" s="8">
        <f t="shared" ref="F139:F158" si="9" xml:space="preserve"> 1/ROWS(B139:B159)</f>
        <v>4.7619047619047616E-2</v>
      </c>
      <c r="G139" s="73" t="s">
        <v>925</v>
      </c>
    </row>
    <row r="140" spans="1:7">
      <c r="A140" s="106"/>
      <c r="B140" s="29" t="s">
        <v>167</v>
      </c>
      <c r="C140" s="15"/>
      <c r="D140" s="16" t="s">
        <v>469</v>
      </c>
      <c r="F140" s="8">
        <f t="shared" si="9"/>
        <v>4.7619047619047616E-2</v>
      </c>
      <c r="G140" s="73" t="s">
        <v>925</v>
      </c>
    </row>
    <row r="141" spans="1:7">
      <c r="A141" s="106"/>
      <c r="B141" s="29" t="s">
        <v>166</v>
      </c>
      <c r="C141" s="15"/>
      <c r="D141" s="16" t="s">
        <v>470</v>
      </c>
      <c r="F141" s="8">
        <f t="shared" si="9"/>
        <v>4.7619047619047616E-2</v>
      </c>
      <c r="G141" s="73" t="s">
        <v>925</v>
      </c>
    </row>
    <row r="142" spans="1:7">
      <c r="A142" s="106"/>
      <c r="B142" s="29" t="s">
        <v>175</v>
      </c>
      <c r="C142" s="15"/>
      <c r="D142" s="16" t="s">
        <v>471</v>
      </c>
      <c r="F142" s="8">
        <f t="shared" si="9"/>
        <v>4.7619047619047616E-2</v>
      </c>
      <c r="G142" s="73" t="s">
        <v>925</v>
      </c>
    </row>
    <row r="143" spans="1:7">
      <c r="A143" s="106"/>
      <c r="B143" s="29" t="s">
        <v>164</v>
      </c>
      <c r="C143" s="15"/>
      <c r="D143" s="16" t="s">
        <v>472</v>
      </c>
      <c r="F143" s="8">
        <f t="shared" si="9"/>
        <v>4.7619047619047616E-2</v>
      </c>
      <c r="G143" s="73" t="s">
        <v>925</v>
      </c>
    </row>
    <row r="144" spans="1:7">
      <c r="A144" s="106"/>
      <c r="B144" s="29" t="s">
        <v>171</v>
      </c>
      <c r="C144" s="15"/>
      <c r="D144" s="16" t="s">
        <v>473</v>
      </c>
      <c r="F144" s="8">
        <f t="shared" si="9"/>
        <v>4.7619047619047616E-2</v>
      </c>
      <c r="G144" s="73" t="s">
        <v>925</v>
      </c>
    </row>
    <row r="145" spans="1:7">
      <c r="A145" s="106"/>
      <c r="B145" s="29" t="s">
        <v>174</v>
      </c>
      <c r="C145" s="32"/>
      <c r="D145" s="16" t="s">
        <v>474</v>
      </c>
      <c r="F145" s="8">
        <f t="shared" si="9"/>
        <v>4.7619047619047616E-2</v>
      </c>
      <c r="G145" s="73" t="s">
        <v>925</v>
      </c>
    </row>
    <row r="146" spans="1:7">
      <c r="A146" s="106"/>
      <c r="B146" s="29" t="s">
        <v>173</v>
      </c>
      <c r="C146" s="15"/>
      <c r="D146" s="16" t="s">
        <v>475</v>
      </c>
      <c r="F146" s="8">
        <f t="shared" si="9"/>
        <v>4.7619047619047616E-2</v>
      </c>
      <c r="G146" s="73" t="s">
        <v>925</v>
      </c>
    </row>
    <row r="147" spans="1:7">
      <c r="A147" s="106"/>
      <c r="B147" s="29" t="s">
        <v>172</v>
      </c>
      <c r="C147" s="15"/>
      <c r="D147" s="16" t="s">
        <v>476</v>
      </c>
      <c r="F147" s="8">
        <f t="shared" si="9"/>
        <v>4.7619047619047616E-2</v>
      </c>
      <c r="G147" s="73" t="s">
        <v>925</v>
      </c>
    </row>
    <row r="148" spans="1:7">
      <c r="A148" s="106"/>
      <c r="B148" s="29" t="s">
        <v>161</v>
      </c>
      <c r="C148" s="32"/>
      <c r="D148" s="16" t="s">
        <v>477</v>
      </c>
      <c r="F148" s="8">
        <f t="shared" si="9"/>
        <v>4.7619047619047616E-2</v>
      </c>
      <c r="G148" s="73" t="s">
        <v>925</v>
      </c>
    </row>
    <row r="149" spans="1:7">
      <c r="A149" s="106"/>
      <c r="B149" s="29" t="s">
        <v>162</v>
      </c>
      <c r="C149" s="15"/>
      <c r="D149" s="16" t="s">
        <v>478</v>
      </c>
      <c r="F149" s="8">
        <f t="shared" si="9"/>
        <v>4.7619047619047616E-2</v>
      </c>
      <c r="G149" s="73" t="s">
        <v>925</v>
      </c>
    </row>
    <row r="150" spans="1:7" ht="29.25">
      <c r="A150" s="106"/>
      <c r="B150" s="29" t="s">
        <v>158</v>
      </c>
      <c r="C150" s="15"/>
      <c r="D150" s="16" t="s">
        <v>479</v>
      </c>
      <c r="F150" s="8">
        <f t="shared" si="9"/>
        <v>4.7619047619047616E-2</v>
      </c>
      <c r="G150" s="73" t="s">
        <v>925</v>
      </c>
    </row>
    <row r="151" spans="1:7">
      <c r="A151" s="106"/>
      <c r="B151" s="29" t="s">
        <v>159</v>
      </c>
      <c r="C151" s="15"/>
      <c r="D151" s="16" t="s">
        <v>480</v>
      </c>
      <c r="F151" s="8">
        <f t="shared" si="9"/>
        <v>4.7619047619047616E-2</v>
      </c>
      <c r="G151" s="73" t="s">
        <v>925</v>
      </c>
    </row>
    <row r="152" spans="1:7">
      <c r="A152" s="106"/>
      <c r="B152" s="29" t="s">
        <v>155</v>
      </c>
      <c r="C152" s="32"/>
      <c r="D152" s="16" t="s">
        <v>481</v>
      </c>
      <c r="F152" s="8">
        <f t="shared" si="9"/>
        <v>4.7619047619047616E-2</v>
      </c>
      <c r="G152" s="73" t="s">
        <v>925</v>
      </c>
    </row>
    <row r="153" spans="1:7">
      <c r="A153" s="106"/>
      <c r="B153" s="29" t="s">
        <v>169</v>
      </c>
      <c r="C153" s="15"/>
      <c r="D153" s="16" t="s">
        <v>482</v>
      </c>
      <c r="F153" s="8">
        <f t="shared" si="9"/>
        <v>4.7619047619047616E-2</v>
      </c>
      <c r="G153" s="73" t="s">
        <v>925</v>
      </c>
    </row>
    <row r="154" spans="1:7">
      <c r="A154" s="106"/>
      <c r="B154" s="29" t="s">
        <v>170</v>
      </c>
      <c r="C154" s="15"/>
      <c r="D154" s="16" t="s">
        <v>483</v>
      </c>
      <c r="F154" s="8">
        <f t="shared" si="9"/>
        <v>4.7619047619047616E-2</v>
      </c>
      <c r="G154" s="73" t="s">
        <v>925</v>
      </c>
    </row>
    <row r="155" spans="1:7">
      <c r="A155" s="106"/>
      <c r="B155" s="29" t="s">
        <v>160</v>
      </c>
      <c r="C155" s="15"/>
      <c r="D155" s="16" t="s">
        <v>484</v>
      </c>
      <c r="F155" s="8">
        <f t="shared" si="9"/>
        <v>4.7619047619047616E-2</v>
      </c>
      <c r="G155" s="73" t="s">
        <v>925</v>
      </c>
    </row>
    <row r="156" spans="1:7">
      <c r="A156" s="106"/>
      <c r="B156" s="29" t="s">
        <v>157</v>
      </c>
      <c r="C156" s="15"/>
      <c r="D156" s="16" t="s">
        <v>485</v>
      </c>
      <c r="F156" s="8">
        <f t="shared" si="9"/>
        <v>4.7619047619047616E-2</v>
      </c>
      <c r="G156" s="73" t="s">
        <v>925</v>
      </c>
    </row>
    <row r="157" spans="1:7">
      <c r="A157" s="106"/>
      <c r="B157" s="29" t="s">
        <v>165</v>
      </c>
      <c r="C157" s="15"/>
      <c r="D157" s="16" t="s">
        <v>486</v>
      </c>
      <c r="F157" s="8">
        <f t="shared" si="9"/>
        <v>4.7619047619047616E-2</v>
      </c>
      <c r="G157" s="73" t="s">
        <v>925</v>
      </c>
    </row>
    <row r="158" spans="1:7">
      <c r="A158" s="106"/>
      <c r="B158" s="29" t="s">
        <v>168</v>
      </c>
      <c r="C158" s="15"/>
      <c r="D158" s="16" t="s">
        <v>487</v>
      </c>
      <c r="F158" s="8">
        <f t="shared" si="9"/>
        <v>4.7619047619047616E-2</v>
      </c>
      <c r="G158" s="73" t="s">
        <v>925</v>
      </c>
    </row>
    <row r="159" spans="1:7">
      <c r="A159" s="26" t="s">
        <v>623</v>
      </c>
      <c r="B159" s="29" t="s">
        <v>488</v>
      </c>
      <c r="C159" s="15"/>
      <c r="D159" s="16" t="s">
        <v>489</v>
      </c>
      <c r="F159" s="8">
        <v>1</v>
      </c>
      <c r="G159" s="73" t="s">
        <v>925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925</v>
      </c>
    </row>
    <row r="161" spans="1:7">
      <c r="A161" s="106" t="s">
        <v>1164</v>
      </c>
      <c r="B161" s="29" t="s">
        <v>491</v>
      </c>
      <c r="C161" s="15"/>
      <c r="D161" s="16" t="s">
        <v>492</v>
      </c>
    </row>
    <row r="162" spans="1:7">
      <c r="A162" s="106"/>
      <c r="B162" s="29" t="s">
        <v>493</v>
      </c>
      <c r="C162" s="15" t="s">
        <v>726</v>
      </c>
      <c r="D162" s="16" t="s">
        <v>494</v>
      </c>
      <c r="E162" s="3">
        <v>130</v>
      </c>
      <c r="F162" s="8">
        <v>1</v>
      </c>
      <c r="G162" s="104" t="s">
        <v>1014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925</v>
      </c>
    </row>
    <row r="164" spans="1:7">
      <c r="A164" s="106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925</v>
      </c>
    </row>
    <row r="165" spans="1:7">
      <c r="A165" s="106"/>
      <c r="B165" s="29" t="s">
        <v>181</v>
      </c>
      <c r="C165" s="15"/>
      <c r="D165" s="16" t="s">
        <v>496</v>
      </c>
      <c r="F165" s="8">
        <f t="shared" ref="F165:F171" si="10" xml:space="preserve"> 1/ROWS(B165:B172)</f>
        <v>0.125</v>
      </c>
      <c r="G165" s="73" t="s">
        <v>925</v>
      </c>
    </row>
    <row r="166" spans="1:7">
      <c r="A166" s="106"/>
      <c r="B166" s="29" t="s">
        <v>180</v>
      </c>
      <c r="C166" s="15"/>
      <c r="D166" s="16" t="s">
        <v>497</v>
      </c>
      <c r="F166" s="8">
        <f t="shared" si="10"/>
        <v>0.125</v>
      </c>
      <c r="G166" s="73" t="s">
        <v>925</v>
      </c>
    </row>
    <row r="167" spans="1:7">
      <c r="A167" s="106"/>
      <c r="B167" s="29" t="s">
        <v>179</v>
      </c>
      <c r="C167" s="15"/>
      <c r="D167" s="16" t="s">
        <v>498</v>
      </c>
      <c r="F167" s="8">
        <f t="shared" si="10"/>
        <v>0.125</v>
      </c>
      <c r="G167" s="73" t="s">
        <v>925</v>
      </c>
    </row>
    <row r="168" spans="1:7">
      <c r="A168" s="106"/>
      <c r="B168" s="29" t="s">
        <v>184</v>
      </c>
      <c r="C168" s="15"/>
      <c r="D168" s="16" t="s">
        <v>499</v>
      </c>
      <c r="F168" s="8">
        <f t="shared" si="10"/>
        <v>0.125</v>
      </c>
      <c r="G168" s="73" t="s">
        <v>925</v>
      </c>
    </row>
    <row r="169" spans="1:7">
      <c r="A169" s="106"/>
      <c r="B169" s="29" t="s">
        <v>183</v>
      </c>
      <c r="C169" s="32"/>
      <c r="D169" s="16" t="s">
        <v>500</v>
      </c>
      <c r="F169" s="8">
        <f t="shared" si="10"/>
        <v>0.125</v>
      </c>
      <c r="G169" s="73" t="s">
        <v>925</v>
      </c>
    </row>
    <row r="170" spans="1:7">
      <c r="A170" s="106"/>
      <c r="B170" s="29" t="s">
        <v>178</v>
      </c>
      <c r="C170" s="15"/>
      <c r="D170" s="16" t="s">
        <v>501</v>
      </c>
      <c r="F170" s="8">
        <f t="shared" si="10"/>
        <v>0.125</v>
      </c>
      <c r="G170" s="73" t="s">
        <v>925</v>
      </c>
    </row>
    <row r="171" spans="1:7">
      <c r="A171" s="106"/>
      <c r="B171" s="29" t="s">
        <v>185</v>
      </c>
      <c r="C171" s="15"/>
      <c r="D171" s="16" t="s">
        <v>502</v>
      </c>
      <c r="F171" s="8">
        <f t="shared" si="10"/>
        <v>0.125</v>
      </c>
      <c r="G171" s="73" t="s">
        <v>925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925</v>
      </c>
    </row>
    <row r="173" spans="1:7">
      <c r="A173" s="106" t="s">
        <v>17</v>
      </c>
      <c r="B173" s="29" t="s">
        <v>193</v>
      </c>
      <c r="C173" s="15" t="s">
        <v>722</v>
      </c>
      <c r="D173" s="16" t="s">
        <v>505</v>
      </c>
      <c r="E173" s="3">
        <v>950</v>
      </c>
      <c r="F173" s="8">
        <v>1</v>
      </c>
      <c r="G173" s="104" t="s">
        <v>1132</v>
      </c>
    </row>
    <row r="174" spans="1:7">
      <c r="A174" s="106"/>
      <c r="B174" s="29" t="s">
        <v>195</v>
      </c>
      <c r="C174" s="15"/>
      <c r="D174" s="16" t="s">
        <v>506</v>
      </c>
    </row>
    <row r="175" spans="1:7">
      <c r="A175" s="106"/>
      <c r="B175" s="29" t="s">
        <v>197</v>
      </c>
      <c r="C175" s="15"/>
      <c r="D175" s="16" t="s">
        <v>507</v>
      </c>
    </row>
    <row r="176" spans="1:7">
      <c r="A176" s="106"/>
      <c r="B176" s="29" t="s">
        <v>188</v>
      </c>
      <c r="C176" s="15"/>
      <c r="D176" s="16" t="s">
        <v>508</v>
      </c>
    </row>
    <row r="177" spans="1:7">
      <c r="A177" s="106"/>
      <c r="B177" s="29" t="s">
        <v>194</v>
      </c>
      <c r="C177" s="15"/>
      <c r="D177" s="16" t="s">
        <v>509</v>
      </c>
    </row>
    <row r="178" spans="1:7">
      <c r="A178" s="106"/>
      <c r="B178" s="29" t="s">
        <v>196</v>
      </c>
      <c r="C178" s="15"/>
      <c r="D178" s="16" t="s">
        <v>510</v>
      </c>
    </row>
    <row r="179" spans="1:7">
      <c r="A179" s="106"/>
      <c r="B179" s="29" t="s">
        <v>190</v>
      </c>
      <c r="C179" s="15"/>
      <c r="D179" s="16" t="s">
        <v>511</v>
      </c>
    </row>
    <row r="180" spans="1:7">
      <c r="A180" s="106"/>
      <c r="B180" s="29" t="s">
        <v>189</v>
      </c>
      <c r="C180" s="15"/>
      <c r="D180" s="16" t="s">
        <v>512</v>
      </c>
    </row>
    <row r="181" spans="1:7">
      <c r="A181" s="106"/>
      <c r="B181" s="29" t="s">
        <v>186</v>
      </c>
      <c r="C181" s="15"/>
      <c r="D181" s="16" t="s">
        <v>513</v>
      </c>
    </row>
    <row r="182" spans="1:7">
      <c r="A182" s="106"/>
      <c r="B182" s="29" t="s">
        <v>187</v>
      </c>
      <c r="C182" s="32"/>
      <c r="D182" s="16" t="s">
        <v>514</v>
      </c>
    </row>
    <row r="183" spans="1:7">
      <c r="A183" s="106"/>
      <c r="B183" s="29" t="s">
        <v>191</v>
      </c>
      <c r="C183" s="32"/>
      <c r="D183" s="16" t="s">
        <v>515</v>
      </c>
    </row>
    <row r="184" spans="1:7">
      <c r="A184" s="106"/>
      <c r="B184" s="29" t="s">
        <v>192</v>
      </c>
      <c r="C184" s="32"/>
      <c r="D184" s="16" t="s">
        <v>516</v>
      </c>
    </row>
    <row r="185" spans="1:7">
      <c r="A185" s="106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925</v>
      </c>
    </row>
    <row r="186" spans="1:7">
      <c r="A186" s="106"/>
      <c r="B186" s="29" t="s">
        <v>204</v>
      </c>
      <c r="C186" s="15"/>
      <c r="D186" s="16" t="s">
        <v>518</v>
      </c>
      <c r="F186" s="8">
        <f t="shared" ref="F186:F193" si="11" xml:space="preserve"> 1/ROWS(B186:B194)</f>
        <v>0.1111111111111111</v>
      </c>
      <c r="G186" s="73" t="s">
        <v>925</v>
      </c>
    </row>
    <row r="187" spans="1:7">
      <c r="A187" s="106"/>
      <c r="B187" s="29" t="s">
        <v>203</v>
      </c>
      <c r="C187" s="15"/>
      <c r="D187" s="16" t="s">
        <v>519</v>
      </c>
      <c r="F187" s="8">
        <f t="shared" si="11"/>
        <v>0.1111111111111111</v>
      </c>
      <c r="G187" s="73" t="s">
        <v>925</v>
      </c>
    </row>
    <row r="188" spans="1:7">
      <c r="A188" s="106"/>
      <c r="B188" s="29" t="s">
        <v>205</v>
      </c>
      <c r="C188" s="15"/>
      <c r="D188" s="16" t="s">
        <v>520</v>
      </c>
      <c r="F188" s="8">
        <f t="shared" si="11"/>
        <v>0.1111111111111111</v>
      </c>
      <c r="G188" s="73" t="s">
        <v>925</v>
      </c>
    </row>
    <row r="189" spans="1:7">
      <c r="A189" s="106"/>
      <c r="B189" s="29" t="s">
        <v>200</v>
      </c>
      <c r="C189" s="15"/>
      <c r="D189" s="16" t="s">
        <v>521</v>
      </c>
      <c r="F189" s="8">
        <f t="shared" si="11"/>
        <v>0.1111111111111111</v>
      </c>
      <c r="G189" s="73" t="s">
        <v>925</v>
      </c>
    </row>
    <row r="190" spans="1:7">
      <c r="A190" s="106"/>
      <c r="B190" s="29" t="s">
        <v>202</v>
      </c>
      <c r="C190" s="15"/>
      <c r="D190" s="16" t="s">
        <v>522</v>
      </c>
      <c r="F190" s="8">
        <f t="shared" si="11"/>
        <v>0.1111111111111111</v>
      </c>
      <c r="G190" s="73" t="s">
        <v>925</v>
      </c>
    </row>
    <row r="191" spans="1:7">
      <c r="A191" s="106"/>
      <c r="B191" s="29" t="s">
        <v>201</v>
      </c>
      <c r="C191" s="15"/>
      <c r="D191" s="16" t="s">
        <v>523</v>
      </c>
      <c r="F191" s="8">
        <f t="shared" si="11"/>
        <v>0.1111111111111111</v>
      </c>
      <c r="G191" s="73" t="s">
        <v>925</v>
      </c>
    </row>
    <row r="192" spans="1:7">
      <c r="A192" s="106"/>
      <c r="B192" s="29" t="s">
        <v>199</v>
      </c>
      <c r="C192" s="15"/>
      <c r="D192" s="16" t="s">
        <v>524</v>
      </c>
      <c r="F192" s="8">
        <f t="shared" si="11"/>
        <v>0.1111111111111111</v>
      </c>
      <c r="G192" s="73" t="s">
        <v>925</v>
      </c>
    </row>
    <row r="193" spans="1:8">
      <c r="A193" s="106"/>
      <c r="B193" s="29" t="s">
        <v>198</v>
      </c>
      <c r="C193" s="15"/>
      <c r="D193" s="16" t="s">
        <v>525</v>
      </c>
      <c r="F193" s="8">
        <f t="shared" si="11"/>
        <v>0.1111111111111111</v>
      </c>
      <c r="G193" s="73" t="s">
        <v>925</v>
      </c>
    </row>
    <row r="194" spans="1:8">
      <c r="A194" s="106" t="s">
        <v>19</v>
      </c>
      <c r="B194" s="29" t="s">
        <v>219</v>
      </c>
      <c r="C194" s="15"/>
      <c r="D194" s="16" t="s">
        <v>526</v>
      </c>
    </row>
    <row r="195" spans="1:8">
      <c r="A195" s="106"/>
      <c r="B195" s="29" t="s">
        <v>210</v>
      </c>
      <c r="C195" s="15" t="s">
        <v>727</v>
      </c>
      <c r="D195" s="16" t="s">
        <v>527</v>
      </c>
      <c r="E195" s="3">
        <v>100</v>
      </c>
      <c r="F195" s="8">
        <v>1</v>
      </c>
      <c r="G195" s="104" t="s">
        <v>1206</v>
      </c>
      <c r="H195" s="100"/>
    </row>
    <row r="196" spans="1:8">
      <c r="A196" s="106"/>
      <c r="B196" s="29" t="s">
        <v>221</v>
      </c>
      <c r="C196" s="15"/>
      <c r="D196" s="16" t="s">
        <v>528</v>
      </c>
    </row>
    <row r="197" spans="1:8">
      <c r="A197" s="106"/>
      <c r="B197" s="29" t="s">
        <v>207</v>
      </c>
      <c r="C197" s="15"/>
      <c r="D197" s="16" t="s">
        <v>529</v>
      </c>
    </row>
    <row r="198" spans="1:8">
      <c r="A198" s="106"/>
      <c r="B198" s="29" t="s">
        <v>216</v>
      </c>
      <c r="C198" s="15"/>
      <c r="D198" s="16" t="s">
        <v>530</v>
      </c>
    </row>
    <row r="199" spans="1:8">
      <c r="A199" s="106"/>
      <c r="B199" s="29" t="s">
        <v>218</v>
      </c>
      <c r="C199" s="15"/>
      <c r="D199" s="16" t="s">
        <v>531</v>
      </c>
    </row>
    <row r="200" spans="1:8">
      <c r="A200" s="106"/>
      <c r="B200" s="29" t="s">
        <v>213</v>
      </c>
      <c r="C200" s="15"/>
      <c r="D200" s="16" t="s">
        <v>532</v>
      </c>
    </row>
    <row r="201" spans="1:8">
      <c r="A201" s="106"/>
      <c r="B201" s="29" t="s">
        <v>220</v>
      </c>
      <c r="C201" s="15"/>
      <c r="D201" s="16" t="s">
        <v>533</v>
      </c>
    </row>
    <row r="202" spans="1:8">
      <c r="A202" s="106"/>
      <c r="B202" s="29" t="s">
        <v>208</v>
      </c>
      <c r="C202" s="15"/>
      <c r="D202" s="16" t="s">
        <v>534</v>
      </c>
    </row>
    <row r="203" spans="1:8">
      <c r="A203" s="106"/>
      <c r="B203" s="29" t="s">
        <v>211</v>
      </c>
      <c r="C203" s="15"/>
      <c r="D203" s="16" t="s">
        <v>535</v>
      </c>
    </row>
    <row r="204" spans="1:8">
      <c r="A204" s="106"/>
      <c r="B204" s="29" t="s">
        <v>223</v>
      </c>
      <c r="C204" s="15"/>
      <c r="D204" s="16" t="s">
        <v>536</v>
      </c>
    </row>
    <row r="205" spans="1:8">
      <c r="A205" s="106"/>
      <c r="B205" s="29" t="s">
        <v>222</v>
      </c>
      <c r="C205" s="15"/>
      <c r="D205" s="16" t="s">
        <v>537</v>
      </c>
    </row>
    <row r="206" spans="1:8">
      <c r="A206" s="106"/>
      <c r="B206" s="29" t="s">
        <v>217</v>
      </c>
      <c r="C206" s="15"/>
      <c r="D206" s="16" t="s">
        <v>538</v>
      </c>
    </row>
    <row r="207" spans="1:8">
      <c r="A207" s="106"/>
      <c r="B207" s="29" t="s">
        <v>209</v>
      </c>
      <c r="C207" s="15"/>
      <c r="D207" s="16" t="s">
        <v>539</v>
      </c>
    </row>
    <row r="208" spans="1:8">
      <c r="A208" s="106"/>
      <c r="B208" s="29" t="s">
        <v>212</v>
      </c>
      <c r="C208" s="15"/>
      <c r="D208" s="16" t="s">
        <v>540</v>
      </c>
    </row>
    <row r="209" spans="1:8">
      <c r="A209" s="106"/>
      <c r="B209" s="29" t="s">
        <v>214</v>
      </c>
      <c r="C209" s="15"/>
      <c r="D209" s="16" t="s">
        <v>541</v>
      </c>
    </row>
    <row r="210" spans="1:8">
      <c r="A210" s="106"/>
      <c r="B210" s="29" t="s">
        <v>215</v>
      </c>
      <c r="C210" s="32"/>
      <c r="D210" s="16" t="s">
        <v>542</v>
      </c>
    </row>
    <row r="211" spans="1:8">
      <c r="A211" s="106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925</v>
      </c>
    </row>
    <row r="212" spans="1:8">
      <c r="A212" s="106"/>
      <c r="B212" s="29" t="s">
        <v>225</v>
      </c>
      <c r="C212" s="15"/>
      <c r="D212" s="16" t="s">
        <v>544</v>
      </c>
      <c r="F212" s="8">
        <f t="shared" ref="F212:F217" si="12" xml:space="preserve"> 1/ROWS(B212:B218)</f>
        <v>0.14285714285714285</v>
      </c>
      <c r="G212" s="73" t="s">
        <v>925</v>
      </c>
    </row>
    <row r="213" spans="1:8">
      <c r="A213" s="106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925</v>
      </c>
    </row>
    <row r="214" spans="1:8">
      <c r="A214" s="106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925</v>
      </c>
    </row>
    <row r="215" spans="1:8">
      <c r="A215" s="106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925</v>
      </c>
    </row>
    <row r="216" spans="1:8">
      <c r="A216" s="106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925</v>
      </c>
    </row>
    <row r="217" spans="1:8">
      <c r="A217" s="106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925</v>
      </c>
    </row>
    <row r="218" spans="1:8">
      <c r="A218" s="106" t="s">
        <v>21</v>
      </c>
      <c r="B218" s="29" t="s">
        <v>231</v>
      </c>
      <c r="C218" s="15"/>
      <c r="D218" s="16" t="s">
        <v>552</v>
      </c>
    </row>
    <row r="219" spans="1:8">
      <c r="A219" s="106"/>
      <c r="B219" s="29" t="s">
        <v>236</v>
      </c>
      <c r="C219" s="15" t="s">
        <v>724</v>
      </c>
      <c r="D219" s="16" t="s">
        <v>553</v>
      </c>
      <c r="E219" s="3">
        <v>225</v>
      </c>
      <c r="F219" s="8">
        <v>1</v>
      </c>
      <c r="G219" s="104" t="s">
        <v>1206</v>
      </c>
      <c r="H219" s="100"/>
    </row>
    <row r="220" spans="1:8">
      <c r="A220" s="106"/>
      <c r="B220" s="29" t="s">
        <v>232</v>
      </c>
      <c r="C220" s="15"/>
      <c r="D220" s="16" t="s">
        <v>554</v>
      </c>
    </row>
    <row r="221" spans="1:8">
      <c r="A221" s="106"/>
      <c r="B221" s="29" t="s">
        <v>230</v>
      </c>
      <c r="C221" s="15"/>
      <c r="D221" s="16" t="s">
        <v>555</v>
      </c>
    </row>
    <row r="222" spans="1:8">
      <c r="A222" s="106"/>
      <c r="B222" s="29" t="s">
        <v>234</v>
      </c>
      <c r="C222" s="15"/>
      <c r="D222" s="16" t="s">
        <v>556</v>
      </c>
    </row>
    <row r="223" spans="1:8">
      <c r="A223" s="106"/>
      <c r="B223" s="29" t="s">
        <v>233</v>
      </c>
      <c r="C223" s="15"/>
      <c r="D223" s="16" t="s">
        <v>557</v>
      </c>
    </row>
    <row r="224" spans="1:8">
      <c r="A224" s="106"/>
      <c r="B224" s="29" t="s">
        <v>229</v>
      </c>
      <c r="C224" s="15"/>
      <c r="D224" s="16" t="s">
        <v>558</v>
      </c>
    </row>
    <row r="225" spans="1:7">
      <c r="A225" s="106"/>
      <c r="B225" s="29" t="s">
        <v>235</v>
      </c>
      <c r="C225" s="15"/>
      <c r="D225" s="16" t="s">
        <v>559</v>
      </c>
    </row>
    <row r="226" spans="1:7">
      <c r="A226" s="106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925</v>
      </c>
    </row>
    <row r="227" spans="1:7">
      <c r="A227" s="106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925</v>
      </c>
    </row>
    <row r="228" spans="1:7">
      <c r="A228" s="106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925</v>
      </c>
    </row>
    <row r="229" spans="1:7">
      <c r="A229" s="106"/>
      <c r="B229" s="29" t="s">
        <v>239</v>
      </c>
      <c r="C229" s="15"/>
      <c r="D229" s="16" t="s">
        <v>563</v>
      </c>
      <c r="F229" s="8">
        <f t="shared" ref="F229:F231" si="13" xml:space="preserve"> 1/ROWS(B229:B232)</f>
        <v>0.25</v>
      </c>
      <c r="G229" s="73" t="s">
        <v>925</v>
      </c>
    </row>
    <row r="230" spans="1:7">
      <c r="A230" s="106"/>
      <c r="B230" s="29" t="s">
        <v>242</v>
      </c>
      <c r="C230" s="15"/>
      <c r="D230" s="16" t="s">
        <v>564</v>
      </c>
      <c r="F230" s="8">
        <f t="shared" si="13"/>
        <v>0.25</v>
      </c>
      <c r="G230" s="73" t="s">
        <v>925</v>
      </c>
    </row>
    <row r="231" spans="1:7">
      <c r="A231" s="106"/>
      <c r="B231" s="29" t="s">
        <v>240</v>
      </c>
      <c r="C231" s="15"/>
      <c r="D231" s="16" t="s">
        <v>565</v>
      </c>
      <c r="F231" s="8">
        <f t="shared" si="13"/>
        <v>0.25</v>
      </c>
      <c r="G231" s="73" t="s">
        <v>925</v>
      </c>
    </row>
    <row r="232" spans="1:7">
      <c r="A232" s="106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925</v>
      </c>
    </row>
    <row r="233" spans="1:7">
      <c r="A233" s="106"/>
      <c r="B233" s="29" t="s">
        <v>245</v>
      </c>
      <c r="C233" s="15"/>
      <c r="D233" s="16" t="s">
        <v>567</v>
      </c>
      <c r="F233" s="8">
        <f t="shared" ref="F233:F236" si="14" xml:space="preserve"> 1/ROWS(B233:B237)</f>
        <v>0.2</v>
      </c>
      <c r="G233" s="73" t="s">
        <v>925</v>
      </c>
    </row>
    <row r="234" spans="1:7">
      <c r="A234" s="106"/>
      <c r="B234" s="29" t="s">
        <v>244</v>
      </c>
      <c r="C234" s="15"/>
      <c r="D234" s="16" t="s">
        <v>568</v>
      </c>
      <c r="F234" s="8">
        <f t="shared" si="14"/>
        <v>0.2</v>
      </c>
      <c r="G234" s="73" t="s">
        <v>925</v>
      </c>
    </row>
    <row r="235" spans="1:7">
      <c r="A235" s="106"/>
      <c r="B235" s="29" t="s">
        <v>246</v>
      </c>
      <c r="C235" s="15"/>
      <c r="D235" s="16" t="s">
        <v>569</v>
      </c>
      <c r="F235" s="8">
        <f t="shared" si="14"/>
        <v>0.2</v>
      </c>
      <c r="G235" s="73" t="s">
        <v>925</v>
      </c>
    </row>
    <row r="236" spans="1:7">
      <c r="A236" s="106"/>
      <c r="B236" s="29" t="s">
        <v>570</v>
      </c>
      <c r="C236" s="15"/>
      <c r="D236" s="16" t="s">
        <v>571</v>
      </c>
      <c r="F236" s="8">
        <f t="shared" si="14"/>
        <v>0.2</v>
      </c>
      <c r="G236" s="73" t="s">
        <v>925</v>
      </c>
    </row>
    <row r="237" spans="1:7">
      <c r="A237" s="106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925</v>
      </c>
    </row>
    <row r="238" spans="1:7">
      <c r="A238" s="106"/>
      <c r="B238" s="29" t="s">
        <v>248</v>
      </c>
      <c r="C238" s="15"/>
      <c r="D238" s="16" t="s">
        <v>573</v>
      </c>
      <c r="F238" s="8">
        <f t="shared" ref="F238:F244" si="15" xml:space="preserve"> 1/ROWS(B238:B245)</f>
        <v>0.125</v>
      </c>
      <c r="G238" s="73" t="s">
        <v>925</v>
      </c>
    </row>
    <row r="239" spans="1:7">
      <c r="A239" s="106"/>
      <c r="B239" s="29" t="s">
        <v>252</v>
      </c>
      <c r="C239" s="15"/>
      <c r="D239" s="16" t="s">
        <v>574</v>
      </c>
      <c r="F239" s="8">
        <f t="shared" si="15"/>
        <v>0.125</v>
      </c>
      <c r="G239" s="73" t="s">
        <v>925</v>
      </c>
    </row>
    <row r="240" spans="1:7">
      <c r="A240" s="106"/>
      <c r="B240" s="29" t="s">
        <v>254</v>
      </c>
      <c r="C240" s="15"/>
      <c r="D240" s="16" t="s">
        <v>575</v>
      </c>
      <c r="F240" s="8">
        <f t="shared" si="15"/>
        <v>0.125</v>
      </c>
      <c r="G240" s="73" t="s">
        <v>925</v>
      </c>
    </row>
    <row r="241" spans="1:7">
      <c r="A241" s="106"/>
      <c r="B241" s="29" t="s">
        <v>251</v>
      </c>
      <c r="C241" s="32"/>
      <c r="D241" s="16" t="s">
        <v>576</v>
      </c>
      <c r="F241" s="8">
        <f t="shared" si="15"/>
        <v>0.125</v>
      </c>
      <c r="G241" s="73" t="s">
        <v>925</v>
      </c>
    </row>
    <row r="242" spans="1:7">
      <c r="A242" s="106"/>
      <c r="B242" s="29" t="s">
        <v>253</v>
      </c>
      <c r="C242" s="15"/>
      <c r="D242" s="16" t="s">
        <v>577</v>
      </c>
      <c r="F242" s="8">
        <f t="shared" si="15"/>
        <v>0.125</v>
      </c>
      <c r="G242" s="73" t="s">
        <v>925</v>
      </c>
    </row>
    <row r="243" spans="1:7">
      <c r="A243" s="106"/>
      <c r="B243" s="29" t="s">
        <v>250</v>
      </c>
      <c r="C243" s="15"/>
      <c r="D243" s="16" t="s">
        <v>578</v>
      </c>
      <c r="F243" s="8">
        <f t="shared" si="15"/>
        <v>0.125</v>
      </c>
      <c r="G243" s="73" t="s">
        <v>925</v>
      </c>
    </row>
    <row r="244" spans="1:7">
      <c r="A244" s="106"/>
      <c r="B244" s="29" t="s">
        <v>249</v>
      </c>
      <c r="C244" s="15"/>
      <c r="D244" s="16" t="s">
        <v>579</v>
      </c>
      <c r="F244" s="8">
        <f t="shared" si="15"/>
        <v>0.125</v>
      </c>
      <c r="G244" s="73" t="s">
        <v>925</v>
      </c>
    </row>
    <row r="245" spans="1:7">
      <c r="A245" s="106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925</v>
      </c>
    </row>
    <row r="246" spans="1:7" ht="29.25">
      <c r="A246" s="106"/>
      <c r="B246" s="29" t="s">
        <v>268</v>
      </c>
      <c r="C246" s="15"/>
      <c r="D246" s="16" t="s">
        <v>581</v>
      </c>
      <c r="F246" s="8">
        <f t="shared" ref="F246:F252" si="16" xml:space="preserve"> 1/ROWS(B246:B286)</f>
        <v>2.4390243902439025E-2</v>
      </c>
      <c r="G246" s="73" t="s">
        <v>925</v>
      </c>
    </row>
    <row r="247" spans="1:7">
      <c r="A247" s="106"/>
      <c r="B247" s="29" t="s">
        <v>280</v>
      </c>
      <c r="C247" s="15"/>
      <c r="D247" s="16" t="s">
        <v>582</v>
      </c>
      <c r="F247" s="8">
        <f t="shared" si="16"/>
        <v>2.4390243902439025E-2</v>
      </c>
      <c r="G247" s="73" t="s">
        <v>925</v>
      </c>
    </row>
    <row r="248" spans="1:7">
      <c r="A248" s="106"/>
      <c r="B248" s="29" t="s">
        <v>270</v>
      </c>
      <c r="C248" s="15"/>
      <c r="D248" s="16" t="s">
        <v>583</v>
      </c>
      <c r="F248" s="8">
        <f t="shared" si="16"/>
        <v>2.4390243902439025E-2</v>
      </c>
      <c r="G248" s="73" t="s">
        <v>925</v>
      </c>
    </row>
    <row r="249" spans="1:7">
      <c r="A249" s="106"/>
      <c r="B249" s="29" t="s">
        <v>285</v>
      </c>
      <c r="C249" s="15"/>
      <c r="D249" s="16" t="s">
        <v>584</v>
      </c>
      <c r="F249" s="8">
        <f t="shared" si="16"/>
        <v>2.4390243902439025E-2</v>
      </c>
      <c r="G249" s="73" t="s">
        <v>925</v>
      </c>
    </row>
    <row r="250" spans="1:7">
      <c r="A250" s="106"/>
      <c r="B250" s="29" t="s">
        <v>264</v>
      </c>
      <c r="C250" s="15"/>
      <c r="D250" s="16" t="s">
        <v>585</v>
      </c>
      <c r="F250" s="8">
        <f t="shared" si="16"/>
        <v>2.4390243902439025E-2</v>
      </c>
      <c r="G250" s="73" t="s">
        <v>925</v>
      </c>
    </row>
    <row r="251" spans="1:7">
      <c r="A251" s="106"/>
      <c r="B251" s="29" t="s">
        <v>269</v>
      </c>
      <c r="C251" s="15"/>
      <c r="D251" s="16" t="s">
        <v>586</v>
      </c>
      <c r="F251" s="8">
        <f t="shared" si="16"/>
        <v>2.4390243902439025E-2</v>
      </c>
      <c r="G251" s="73" t="s">
        <v>925</v>
      </c>
    </row>
    <row r="252" spans="1:7" ht="29.25">
      <c r="A252" s="106"/>
      <c r="B252" s="29" t="s">
        <v>277</v>
      </c>
      <c r="C252" s="15"/>
      <c r="D252" s="16" t="s">
        <v>587</v>
      </c>
      <c r="F252" s="8">
        <f t="shared" si="16"/>
        <v>2.4390243902439025E-2</v>
      </c>
      <c r="G252" s="73" t="s">
        <v>925</v>
      </c>
    </row>
    <row r="253" spans="1:7">
      <c r="A253" s="106"/>
      <c r="B253" s="29" t="s">
        <v>295</v>
      </c>
      <c r="C253" s="15"/>
      <c r="D253" s="16" t="s">
        <v>588</v>
      </c>
      <c r="F253" s="8">
        <f t="shared" ref="F253:F285" si="17" xml:space="preserve"> 1/ROWS(B253:B297)</f>
        <v>2.2222222222222223E-2</v>
      </c>
      <c r="G253" s="73" t="s">
        <v>925</v>
      </c>
    </row>
    <row r="254" spans="1:7">
      <c r="A254" s="106"/>
      <c r="B254" s="29" t="s">
        <v>266</v>
      </c>
      <c r="C254" s="15"/>
      <c r="D254" s="16" t="s">
        <v>589</v>
      </c>
      <c r="F254" s="8">
        <f t="shared" si="17"/>
        <v>2.2222222222222223E-2</v>
      </c>
      <c r="G254" s="73" t="s">
        <v>925</v>
      </c>
    </row>
    <row r="255" spans="1:7">
      <c r="A255" s="106"/>
      <c r="B255" s="29" t="s">
        <v>263</v>
      </c>
      <c r="C255" s="15"/>
      <c r="D255" s="16" t="s">
        <v>590</v>
      </c>
      <c r="F255" s="8">
        <f t="shared" si="17"/>
        <v>2.2222222222222223E-2</v>
      </c>
      <c r="G255" s="73" t="s">
        <v>925</v>
      </c>
    </row>
    <row r="256" spans="1:7">
      <c r="A256" s="106"/>
      <c r="B256" s="29" t="s">
        <v>279</v>
      </c>
      <c r="C256" s="15"/>
      <c r="D256" s="16" t="s">
        <v>591</v>
      </c>
      <c r="F256" s="8">
        <f t="shared" si="17"/>
        <v>2.2222222222222223E-2</v>
      </c>
      <c r="G256" s="73" t="s">
        <v>925</v>
      </c>
    </row>
    <row r="257" spans="1:7" ht="29.25">
      <c r="A257" s="106"/>
      <c r="B257" s="29" t="s">
        <v>272</v>
      </c>
      <c r="C257" s="15"/>
      <c r="D257" s="16" t="s">
        <v>592</v>
      </c>
      <c r="F257" s="8">
        <f t="shared" si="17"/>
        <v>2.2222222222222223E-2</v>
      </c>
      <c r="G257" s="73" t="s">
        <v>925</v>
      </c>
    </row>
    <row r="258" spans="1:7">
      <c r="A258" s="106"/>
      <c r="B258" s="29" t="s">
        <v>271</v>
      </c>
      <c r="C258" s="15"/>
      <c r="D258" s="16" t="s">
        <v>593</v>
      </c>
      <c r="F258" s="8">
        <f t="shared" si="17"/>
        <v>2.2222222222222223E-2</v>
      </c>
      <c r="G258" s="73" t="s">
        <v>925</v>
      </c>
    </row>
    <row r="259" spans="1:7" ht="29.25">
      <c r="A259" s="106"/>
      <c r="B259" s="29" t="s">
        <v>275</v>
      </c>
      <c r="C259" s="15"/>
      <c r="D259" s="16" t="s">
        <v>594</v>
      </c>
      <c r="F259" s="8">
        <f t="shared" si="17"/>
        <v>2.2222222222222223E-2</v>
      </c>
      <c r="G259" s="73" t="s">
        <v>925</v>
      </c>
    </row>
    <row r="260" spans="1:7">
      <c r="A260" s="106"/>
      <c r="B260" s="29" t="s">
        <v>267</v>
      </c>
      <c r="C260" s="15"/>
      <c r="D260" s="16" t="s">
        <v>595</v>
      </c>
      <c r="F260" s="8">
        <f t="shared" si="17"/>
        <v>2.2222222222222223E-2</v>
      </c>
      <c r="G260" s="73" t="s">
        <v>925</v>
      </c>
    </row>
    <row r="261" spans="1:7">
      <c r="A261" s="106"/>
      <c r="B261" s="29" t="s">
        <v>274</v>
      </c>
      <c r="C261" s="15"/>
      <c r="D261" s="16" t="s">
        <v>596</v>
      </c>
      <c r="F261" s="8">
        <f t="shared" si="17"/>
        <v>2.2222222222222223E-2</v>
      </c>
      <c r="G261" s="73" t="s">
        <v>925</v>
      </c>
    </row>
    <row r="262" spans="1:7">
      <c r="A262" s="106"/>
      <c r="B262" s="29" t="s">
        <v>282</v>
      </c>
      <c r="C262" s="15"/>
      <c r="D262" s="16" t="s">
        <v>597</v>
      </c>
      <c r="F262" s="8">
        <f t="shared" si="17"/>
        <v>2.2222222222222223E-2</v>
      </c>
      <c r="G262" s="73" t="s">
        <v>925</v>
      </c>
    </row>
    <row r="263" spans="1:7">
      <c r="A263" s="106"/>
      <c r="B263" s="29" t="s">
        <v>287</v>
      </c>
      <c r="C263" s="15"/>
      <c r="D263" s="16" t="s">
        <v>598</v>
      </c>
      <c r="F263" s="8">
        <f t="shared" si="17"/>
        <v>2.2222222222222223E-2</v>
      </c>
      <c r="G263" s="73" t="s">
        <v>925</v>
      </c>
    </row>
    <row r="264" spans="1:7">
      <c r="A264" s="106"/>
      <c r="B264" s="29" t="s">
        <v>265</v>
      </c>
      <c r="C264" s="15"/>
      <c r="D264" s="16" t="s">
        <v>599</v>
      </c>
      <c r="F264" s="8">
        <f t="shared" si="17"/>
        <v>2.2222222222222223E-2</v>
      </c>
      <c r="G264" s="73" t="s">
        <v>925</v>
      </c>
    </row>
    <row r="265" spans="1:7">
      <c r="A265" s="106"/>
      <c r="B265" s="29" t="s">
        <v>293</v>
      </c>
      <c r="C265" s="15"/>
      <c r="D265" s="16" t="s">
        <v>600</v>
      </c>
      <c r="F265" s="8">
        <f t="shared" si="17"/>
        <v>2.2222222222222223E-2</v>
      </c>
      <c r="G265" s="73" t="s">
        <v>925</v>
      </c>
    </row>
    <row r="266" spans="1:7">
      <c r="A266" s="106"/>
      <c r="B266" s="29" t="s">
        <v>292</v>
      </c>
      <c r="C266" s="15"/>
      <c r="D266" s="16" t="s">
        <v>601</v>
      </c>
      <c r="F266" s="8">
        <f t="shared" si="17"/>
        <v>2.2222222222222223E-2</v>
      </c>
      <c r="G266" s="73" t="s">
        <v>925</v>
      </c>
    </row>
    <row r="267" spans="1:7" ht="29.25">
      <c r="A267" s="106"/>
      <c r="B267" s="29" t="s">
        <v>291</v>
      </c>
      <c r="C267" s="15"/>
      <c r="D267" s="16" t="s">
        <v>602</v>
      </c>
      <c r="F267" s="8">
        <f t="shared" si="17"/>
        <v>2.2222222222222223E-2</v>
      </c>
      <c r="G267" s="73" t="s">
        <v>925</v>
      </c>
    </row>
    <row r="268" spans="1:7">
      <c r="A268" s="106"/>
      <c r="B268" s="29" t="s">
        <v>290</v>
      </c>
      <c r="C268" s="15"/>
      <c r="D268" s="16" t="s">
        <v>603</v>
      </c>
      <c r="F268" s="8">
        <f t="shared" si="17"/>
        <v>2.2222222222222223E-2</v>
      </c>
      <c r="G268" s="73" t="s">
        <v>925</v>
      </c>
    </row>
    <row r="269" spans="1:7" ht="29.25">
      <c r="A269" s="106"/>
      <c r="B269" s="29" t="s">
        <v>289</v>
      </c>
      <c r="C269" s="15"/>
      <c r="D269" s="16" t="s">
        <v>604</v>
      </c>
      <c r="F269" s="8">
        <f t="shared" si="17"/>
        <v>2.2222222222222223E-2</v>
      </c>
      <c r="G269" s="73" t="s">
        <v>925</v>
      </c>
    </row>
    <row r="270" spans="1:7" ht="29.25">
      <c r="A270" s="106"/>
      <c r="B270" s="29" t="s">
        <v>286</v>
      </c>
      <c r="C270" s="15"/>
      <c r="D270" s="16" t="s">
        <v>605</v>
      </c>
      <c r="F270" s="8">
        <f t="shared" si="17"/>
        <v>2.2222222222222223E-2</v>
      </c>
      <c r="G270" s="73" t="s">
        <v>925</v>
      </c>
    </row>
    <row r="271" spans="1:7">
      <c r="A271" s="106"/>
      <c r="B271" s="29" t="s">
        <v>283</v>
      </c>
      <c r="C271" s="15"/>
      <c r="D271" s="16" t="s">
        <v>606</v>
      </c>
      <c r="F271" s="8">
        <f t="shared" si="17"/>
        <v>2.2222222222222223E-2</v>
      </c>
      <c r="G271" s="73" t="s">
        <v>925</v>
      </c>
    </row>
    <row r="272" spans="1:7">
      <c r="A272" s="106"/>
      <c r="B272" s="29" t="s">
        <v>276</v>
      </c>
      <c r="C272" s="15"/>
      <c r="D272" s="16" t="s">
        <v>607</v>
      </c>
      <c r="F272" s="8">
        <f t="shared" si="17"/>
        <v>2.2222222222222223E-2</v>
      </c>
      <c r="G272" s="73" t="s">
        <v>925</v>
      </c>
    </row>
    <row r="273" spans="1:7">
      <c r="A273" s="106"/>
      <c r="B273" s="29" t="s">
        <v>273</v>
      </c>
      <c r="C273" s="15"/>
      <c r="D273" s="16" t="s">
        <v>608</v>
      </c>
      <c r="F273" s="8">
        <f t="shared" si="17"/>
        <v>2.2222222222222223E-2</v>
      </c>
      <c r="G273" s="73" t="s">
        <v>925</v>
      </c>
    </row>
    <row r="274" spans="1:7" ht="29.25">
      <c r="A274" s="106"/>
      <c r="B274" s="29" t="s">
        <v>288</v>
      </c>
      <c r="C274" s="15"/>
      <c r="D274" s="16" t="s">
        <v>609</v>
      </c>
      <c r="F274" s="8">
        <f t="shared" si="17"/>
        <v>2.2222222222222223E-2</v>
      </c>
      <c r="G274" s="73" t="s">
        <v>925</v>
      </c>
    </row>
    <row r="275" spans="1:7">
      <c r="A275" s="106"/>
      <c r="B275" s="29" t="s">
        <v>284</v>
      </c>
      <c r="C275" s="15"/>
      <c r="D275" s="16" t="s">
        <v>610</v>
      </c>
      <c r="F275" s="8">
        <f t="shared" si="17"/>
        <v>2.2222222222222223E-2</v>
      </c>
      <c r="G275" s="73" t="s">
        <v>925</v>
      </c>
    </row>
    <row r="276" spans="1:7">
      <c r="A276" s="106"/>
      <c r="B276" s="29" t="s">
        <v>281</v>
      </c>
      <c r="C276" s="15"/>
      <c r="D276" s="16" t="s">
        <v>611</v>
      </c>
      <c r="F276" s="8">
        <f t="shared" si="17"/>
        <v>2.2222222222222223E-2</v>
      </c>
      <c r="G276" s="73" t="s">
        <v>925</v>
      </c>
    </row>
    <row r="277" spans="1:7">
      <c r="A277" s="106"/>
      <c r="B277" s="29" t="s">
        <v>278</v>
      </c>
      <c r="C277" s="15"/>
      <c r="D277" s="16" t="s">
        <v>612</v>
      </c>
      <c r="F277" s="8">
        <f t="shared" si="17"/>
        <v>2.2222222222222223E-2</v>
      </c>
      <c r="G277" s="73" t="s">
        <v>925</v>
      </c>
    </row>
    <row r="278" spans="1:7">
      <c r="A278" s="106"/>
      <c r="B278" s="29" t="s">
        <v>255</v>
      </c>
      <c r="C278" s="15"/>
      <c r="D278" s="16" t="s">
        <v>613</v>
      </c>
      <c r="F278" s="8">
        <f t="shared" si="17"/>
        <v>2.2222222222222223E-2</v>
      </c>
      <c r="G278" s="73" t="s">
        <v>925</v>
      </c>
    </row>
    <row r="279" spans="1:7">
      <c r="A279" s="106"/>
      <c r="B279" s="29" t="s">
        <v>256</v>
      </c>
      <c r="C279" s="15"/>
      <c r="D279" s="16" t="s">
        <v>614</v>
      </c>
      <c r="F279" s="8">
        <f t="shared" si="17"/>
        <v>2.2222222222222223E-2</v>
      </c>
      <c r="G279" s="73" t="s">
        <v>925</v>
      </c>
    </row>
    <row r="280" spans="1:7">
      <c r="A280" s="106"/>
      <c r="B280" s="29" t="s">
        <v>261</v>
      </c>
      <c r="C280" s="15"/>
      <c r="D280" s="16" t="s">
        <v>615</v>
      </c>
      <c r="F280" s="8">
        <f t="shared" si="17"/>
        <v>2.2222222222222223E-2</v>
      </c>
      <c r="G280" s="73" t="s">
        <v>925</v>
      </c>
    </row>
    <row r="281" spans="1:7">
      <c r="A281" s="106"/>
      <c r="B281" s="29" t="s">
        <v>259</v>
      </c>
      <c r="C281" s="15"/>
      <c r="D281" s="16" t="s">
        <v>616</v>
      </c>
      <c r="F281" s="8">
        <f t="shared" si="17"/>
        <v>2.2222222222222223E-2</v>
      </c>
      <c r="G281" s="73" t="s">
        <v>925</v>
      </c>
    </row>
    <row r="282" spans="1:7">
      <c r="A282" s="106"/>
      <c r="B282" s="29" t="s">
        <v>260</v>
      </c>
      <c r="C282" s="31"/>
      <c r="D282" s="16" t="s">
        <v>617</v>
      </c>
      <c r="F282" s="8">
        <f t="shared" si="17"/>
        <v>2.2222222222222223E-2</v>
      </c>
      <c r="G282" s="73" t="s">
        <v>925</v>
      </c>
    </row>
    <row r="283" spans="1:7">
      <c r="A283" s="106"/>
      <c r="B283" s="29" t="s">
        <v>258</v>
      </c>
      <c r="C283" s="15"/>
      <c r="D283" s="16" t="s">
        <v>618</v>
      </c>
      <c r="F283" s="8">
        <f t="shared" si="17"/>
        <v>2.2222222222222223E-2</v>
      </c>
      <c r="G283" s="73" t="s">
        <v>925</v>
      </c>
    </row>
    <row r="284" spans="1:7">
      <c r="A284" s="106"/>
      <c r="B284" s="29" t="s">
        <v>257</v>
      </c>
      <c r="C284" s="15"/>
      <c r="D284" s="16" t="s">
        <v>619</v>
      </c>
      <c r="F284" s="8">
        <f t="shared" si="17"/>
        <v>2.2222222222222223E-2</v>
      </c>
      <c r="G284" s="73" t="s">
        <v>925</v>
      </c>
    </row>
    <row r="285" spans="1:7">
      <c r="A285" s="106"/>
      <c r="B285" s="29" t="s">
        <v>262</v>
      </c>
      <c r="C285" s="15"/>
      <c r="D285" s="16" t="s">
        <v>620</v>
      </c>
      <c r="F285" s="8">
        <f t="shared" si="17"/>
        <v>2.2222222222222223E-2</v>
      </c>
      <c r="G285" s="73" t="s">
        <v>925</v>
      </c>
    </row>
    <row r="286" spans="1:7">
      <c r="A286" s="106" t="s">
        <v>27</v>
      </c>
      <c r="B286" s="21" t="s">
        <v>298</v>
      </c>
      <c r="D286" s="19" t="s">
        <v>628</v>
      </c>
    </row>
    <row r="287" spans="1:7">
      <c r="A287" s="106"/>
      <c r="B287" s="19" t="s">
        <v>297</v>
      </c>
      <c r="C287" s="100" t="s">
        <v>723</v>
      </c>
      <c r="D287" s="19" t="s">
        <v>629</v>
      </c>
      <c r="E287" s="3">
        <v>900</v>
      </c>
      <c r="F287" s="8">
        <v>1</v>
      </c>
      <c r="G287" s="104" t="s">
        <v>1148</v>
      </c>
    </row>
    <row r="288" spans="1:7">
      <c r="A288" s="106"/>
      <c r="B288" s="19" t="s">
        <v>299</v>
      </c>
      <c r="D288" s="19" t="s">
        <v>630</v>
      </c>
    </row>
    <row r="289" spans="1:7">
      <c r="A289" s="106"/>
      <c r="B289" s="29" t="s">
        <v>624</v>
      </c>
      <c r="D289" s="19" t="s">
        <v>631</v>
      </c>
    </row>
    <row r="290" spans="1:7">
      <c r="A290" s="106"/>
      <c r="B290" s="21" t="s">
        <v>625</v>
      </c>
      <c r="D290" s="19" t="s">
        <v>632</v>
      </c>
    </row>
    <row r="291" spans="1:7">
      <c r="A291" s="106"/>
      <c r="B291" s="21" t="s">
        <v>626</v>
      </c>
      <c r="D291" s="19" t="s">
        <v>633</v>
      </c>
    </row>
    <row r="292" spans="1:7">
      <c r="A292" s="106"/>
      <c r="B292" s="21" t="s">
        <v>627</v>
      </c>
      <c r="D292" s="19" t="s">
        <v>634</v>
      </c>
    </row>
    <row r="293" spans="1:7">
      <c r="A293" s="106"/>
      <c r="B293" s="12" t="s">
        <v>302</v>
      </c>
      <c r="D293" s="19"/>
      <c r="F293" s="8">
        <f>F289*1.3/2.3</f>
        <v>0</v>
      </c>
    </row>
    <row r="294" spans="1:7">
      <c r="A294" s="106"/>
      <c r="B294" s="12" t="s">
        <v>301</v>
      </c>
      <c r="D294" s="19"/>
      <c r="F294" s="8">
        <f>F289*1/2.3</f>
        <v>0</v>
      </c>
    </row>
    <row r="295" spans="1:7">
      <c r="A295" s="106"/>
      <c r="B295" s="12" t="s">
        <v>300</v>
      </c>
      <c r="D295" s="19"/>
      <c r="F295" s="8">
        <f>F290</f>
        <v>0</v>
      </c>
    </row>
    <row r="296" spans="1:7">
      <c r="A296" s="106"/>
      <c r="B296" s="12" t="s">
        <v>296</v>
      </c>
      <c r="D296" s="19"/>
      <c r="F296" s="8">
        <f>F291</f>
        <v>0</v>
      </c>
    </row>
    <row r="297" spans="1:7">
      <c r="A297" s="106" t="s">
        <v>635</v>
      </c>
      <c r="B297" s="21" t="s">
        <v>305</v>
      </c>
      <c r="C297" s="20"/>
      <c r="D297" s="21" t="s">
        <v>636</v>
      </c>
      <c r="F297" s="8">
        <f xml:space="preserve"> 1/ROWS(B297:B303)</f>
        <v>0.14285714285714285</v>
      </c>
      <c r="G297" s="73" t="s">
        <v>925</v>
      </c>
    </row>
    <row r="298" spans="1:7">
      <c r="A298" s="106"/>
      <c r="B298" s="21" t="s">
        <v>307</v>
      </c>
      <c r="C298" s="20"/>
      <c r="D298" s="21" t="s">
        <v>637</v>
      </c>
      <c r="F298" s="8">
        <f t="shared" ref="F298:F303" si="18" xml:space="preserve"> 1/ROWS(B298:B304)</f>
        <v>0.14285714285714285</v>
      </c>
      <c r="G298" s="73" t="s">
        <v>925</v>
      </c>
    </row>
    <row r="299" spans="1:7">
      <c r="A299" s="106"/>
      <c r="B299" s="21" t="s">
        <v>309</v>
      </c>
      <c r="C299" s="20"/>
      <c r="D299" s="21" t="s">
        <v>638</v>
      </c>
      <c r="F299" s="8">
        <f t="shared" si="18"/>
        <v>0.14285714285714285</v>
      </c>
      <c r="G299" s="73" t="s">
        <v>925</v>
      </c>
    </row>
    <row r="300" spans="1:7">
      <c r="A300" s="106"/>
      <c r="B300" s="21" t="s">
        <v>303</v>
      </c>
      <c r="C300" s="20"/>
      <c r="D300" s="21" t="s">
        <v>639</v>
      </c>
      <c r="F300" s="8">
        <f t="shared" si="18"/>
        <v>0.14285714285714285</v>
      </c>
      <c r="G300" s="73" t="s">
        <v>925</v>
      </c>
    </row>
    <row r="301" spans="1:7">
      <c r="A301" s="106"/>
      <c r="B301" s="21" t="s">
        <v>308</v>
      </c>
      <c r="C301" s="20"/>
      <c r="D301" s="21" t="s">
        <v>640</v>
      </c>
      <c r="F301" s="8">
        <f t="shared" si="18"/>
        <v>0.14285714285714285</v>
      </c>
      <c r="G301" s="73" t="s">
        <v>925</v>
      </c>
    </row>
    <row r="302" spans="1:7">
      <c r="A302" s="106"/>
      <c r="B302" s="21" t="s">
        <v>304</v>
      </c>
      <c r="C302" s="20"/>
      <c r="D302" s="21" t="s">
        <v>641</v>
      </c>
      <c r="F302" s="8">
        <f t="shared" si="18"/>
        <v>0.14285714285714285</v>
      </c>
      <c r="G302" s="73" t="s">
        <v>925</v>
      </c>
    </row>
    <row r="303" spans="1:7">
      <c r="A303" s="106"/>
      <c r="B303" s="21" t="s">
        <v>306</v>
      </c>
      <c r="C303" s="20"/>
      <c r="D303" s="21" t="s">
        <v>642</v>
      </c>
      <c r="F303" s="8">
        <f t="shared" si="18"/>
        <v>0.14285714285714285</v>
      </c>
      <c r="G303" s="73" t="s">
        <v>925</v>
      </c>
    </row>
    <row r="304" spans="1:7">
      <c r="A304" s="26" t="s">
        <v>28</v>
      </c>
      <c r="B304" s="33" t="s">
        <v>310</v>
      </c>
      <c r="C304" s="34"/>
      <c r="D304" s="33" t="s">
        <v>643</v>
      </c>
      <c r="F304" s="8">
        <v>1</v>
      </c>
      <c r="G304" s="73" t="s">
        <v>925</v>
      </c>
    </row>
    <row r="305" spans="1:7">
      <c r="A305" s="24" t="s">
        <v>29</v>
      </c>
      <c r="B305" s="19" t="s">
        <v>311</v>
      </c>
      <c r="C305" s="16"/>
      <c r="D305" s="16" t="s">
        <v>644</v>
      </c>
      <c r="F305" s="8">
        <v>1</v>
      </c>
      <c r="G305" s="73" t="s">
        <v>925</v>
      </c>
    </row>
    <row r="306" spans="1:7">
      <c r="A306" s="106" t="s">
        <v>30</v>
      </c>
      <c r="B306" s="19" t="s">
        <v>33</v>
      </c>
      <c r="C306" s="16"/>
      <c r="D306" s="19" t="s">
        <v>645</v>
      </c>
      <c r="F306" s="8">
        <f xml:space="preserve"> 1/ROWS(B306:B308)</f>
        <v>0.33333333333333331</v>
      </c>
      <c r="G306" s="73" t="s">
        <v>925</v>
      </c>
    </row>
    <row r="307" spans="1:7">
      <c r="A307" s="106"/>
      <c r="B307" s="19" t="s">
        <v>34</v>
      </c>
      <c r="C307" s="16"/>
      <c r="D307" s="19" t="s">
        <v>646</v>
      </c>
      <c r="F307" s="8">
        <f t="shared" ref="F307:F308" si="19" xml:space="preserve"> 1/ROWS(B307:B309)</f>
        <v>0.33333333333333331</v>
      </c>
      <c r="G307" s="73" t="s">
        <v>925</v>
      </c>
    </row>
    <row r="308" spans="1:7">
      <c r="A308" s="106"/>
      <c r="B308" s="19" t="s">
        <v>35</v>
      </c>
      <c r="C308" s="16"/>
      <c r="D308" s="19" t="s">
        <v>647</v>
      </c>
      <c r="F308" s="8">
        <f t="shared" si="19"/>
        <v>0.33333333333333331</v>
      </c>
      <c r="G308" s="73" t="s">
        <v>925</v>
      </c>
    </row>
    <row r="309" spans="1:7">
      <c r="A309" s="106" t="s">
        <v>31</v>
      </c>
      <c r="B309" s="19" t="s">
        <v>315</v>
      </c>
      <c r="C309" s="16"/>
      <c r="D309" s="19" t="s">
        <v>648</v>
      </c>
    </row>
    <row r="310" spans="1:7">
      <c r="A310" s="106"/>
      <c r="B310" s="19" t="s">
        <v>314</v>
      </c>
      <c r="C310" s="16" t="s">
        <v>725</v>
      </c>
      <c r="D310" s="19" t="s">
        <v>649</v>
      </c>
      <c r="E310" s="3">
        <v>200</v>
      </c>
      <c r="F310" s="8">
        <v>1</v>
      </c>
      <c r="G310" s="104" t="s">
        <v>1158</v>
      </c>
    </row>
    <row r="311" spans="1:7" ht="29.25">
      <c r="A311" s="106"/>
      <c r="B311" s="19" t="s">
        <v>313</v>
      </c>
      <c r="C311" s="16"/>
      <c r="D311" s="16" t="s">
        <v>650</v>
      </c>
    </row>
    <row r="312" spans="1:7">
      <c r="A312" s="106"/>
      <c r="B312" s="19" t="s">
        <v>312</v>
      </c>
      <c r="C312" s="16"/>
      <c r="D312" s="16" t="s">
        <v>651</v>
      </c>
    </row>
    <row r="313" spans="1:7">
      <c r="A313" s="26" t="s">
        <v>32</v>
      </c>
      <c r="B313" s="19" t="s">
        <v>1015</v>
      </c>
      <c r="F313" s="8">
        <v>1</v>
      </c>
      <c r="G313" s="73" t="s">
        <v>925</v>
      </c>
    </row>
    <row r="314" spans="1:7">
      <c r="A314" s="26" t="s">
        <v>1026</v>
      </c>
      <c r="B314" s="19" t="s">
        <v>654</v>
      </c>
      <c r="D314" s="3" t="s">
        <v>1026</v>
      </c>
      <c r="F314" s="8">
        <v>1</v>
      </c>
      <c r="G314" s="73" t="s">
        <v>925</v>
      </c>
    </row>
    <row r="315" spans="1:7">
      <c r="A315" s="26" t="s">
        <v>933</v>
      </c>
      <c r="B315" s="19" t="s">
        <v>653</v>
      </c>
      <c r="D315" s="3" t="s">
        <v>652</v>
      </c>
      <c r="F315" s="8">
        <v>1</v>
      </c>
      <c r="G315" s="7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5"/>
  <sheetViews>
    <sheetView topLeftCell="A288" workbookViewId="0">
      <selection activeCell="F295" sqref="F295"/>
    </sheetView>
    <sheetView workbookViewId="1"/>
  </sheetViews>
  <sheetFormatPr baseColWidth="10" defaultColWidth="10.875" defaultRowHeight="15"/>
  <cols>
    <col min="1" max="1" width="19.125" style="3" bestFit="1" customWidth="1"/>
    <col min="2" max="2" width="6.125" style="3" bestFit="1" customWidth="1"/>
    <col min="3" max="3" width="16.875" style="3" bestFit="1" customWidth="1"/>
    <col min="4" max="4" width="29.5" style="3" bestFit="1" customWidth="1"/>
    <col min="5" max="5" width="22.875" style="3" bestFit="1" customWidth="1"/>
    <col min="6" max="6" width="9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>
      <c r="A1" s="22" t="s">
        <v>0</v>
      </c>
      <c r="B1" s="22" t="s">
        <v>1</v>
      </c>
      <c r="C1" s="22" t="s">
        <v>2</v>
      </c>
      <c r="D1" s="22" t="s">
        <v>655</v>
      </c>
      <c r="E1" s="22" t="s">
        <v>692</v>
      </c>
      <c r="F1" s="23" t="s">
        <v>688</v>
      </c>
      <c r="G1" s="2" t="s">
        <v>1182</v>
      </c>
      <c r="H1" s="2"/>
      <c r="I1" s="2"/>
    </row>
    <row r="2" spans="1:13" ht="30">
      <c r="A2" s="106" t="s">
        <v>3</v>
      </c>
      <c r="B2" s="5" t="s">
        <v>36</v>
      </c>
      <c r="C2" s="6"/>
      <c r="D2" s="7" t="s">
        <v>621</v>
      </c>
      <c r="M2" s="4"/>
    </row>
    <row r="3" spans="1:13">
      <c r="A3" s="106"/>
      <c r="B3" s="5" t="s">
        <v>46</v>
      </c>
      <c r="C3" s="6" t="s">
        <v>656</v>
      </c>
      <c r="D3" s="7" t="s">
        <v>316</v>
      </c>
      <c r="E3" s="3">
        <f>(1080+610+550)/2</f>
        <v>1120</v>
      </c>
      <c r="F3" s="8">
        <f>E3/(E3+E5)</f>
        <v>0.82352941176470584</v>
      </c>
      <c r="G3" s="104" t="s">
        <v>938</v>
      </c>
      <c r="J3" s="4"/>
      <c r="K3" s="9"/>
      <c r="M3" s="4"/>
    </row>
    <row r="4" spans="1:13">
      <c r="A4" s="106"/>
      <c r="B4" s="5" t="s">
        <v>40</v>
      </c>
      <c r="C4" s="6"/>
      <c r="D4" s="7" t="s">
        <v>317</v>
      </c>
      <c r="M4" s="4"/>
    </row>
    <row r="5" spans="1:13">
      <c r="A5" s="106"/>
      <c r="B5" s="5" t="s">
        <v>44</v>
      </c>
      <c r="C5" s="6" t="s">
        <v>657</v>
      </c>
      <c r="D5" s="7" t="s">
        <v>318</v>
      </c>
      <c r="E5" s="3">
        <f>480/2</f>
        <v>240</v>
      </c>
      <c r="F5" s="8">
        <f>E5/(E3+E5)</f>
        <v>0.17647058823529413</v>
      </c>
      <c r="G5" s="104" t="s">
        <v>938</v>
      </c>
      <c r="M5" s="4"/>
    </row>
    <row r="6" spans="1:13">
      <c r="A6" s="106"/>
      <c r="B6" s="5" t="s">
        <v>45</v>
      </c>
      <c r="C6" s="6"/>
      <c r="D6" s="7" t="s">
        <v>319</v>
      </c>
      <c r="M6" s="4"/>
    </row>
    <row r="7" spans="1:13">
      <c r="A7" s="106"/>
      <c r="B7" s="5" t="s">
        <v>37</v>
      </c>
      <c r="C7" s="6"/>
      <c r="D7" s="7" t="s">
        <v>320</v>
      </c>
      <c r="M7" s="4"/>
    </row>
    <row r="8" spans="1:13">
      <c r="A8" s="106"/>
      <c r="B8" s="5" t="s">
        <v>43</v>
      </c>
      <c r="C8" s="6"/>
      <c r="D8" s="7" t="s">
        <v>321</v>
      </c>
      <c r="M8" s="4"/>
    </row>
    <row r="9" spans="1:13">
      <c r="A9" s="106"/>
      <c r="B9" s="5" t="s">
        <v>42</v>
      </c>
      <c r="C9" s="6"/>
      <c r="D9" s="7" t="s">
        <v>322</v>
      </c>
      <c r="M9" s="4"/>
    </row>
    <row r="10" spans="1:13">
      <c r="A10" s="106"/>
      <c r="B10" s="5" t="s">
        <v>41</v>
      </c>
      <c r="C10" s="6"/>
      <c r="D10" s="7" t="s">
        <v>323</v>
      </c>
      <c r="M10" s="4"/>
    </row>
    <row r="11" spans="1:13">
      <c r="A11" s="106"/>
      <c r="B11" s="5" t="s">
        <v>39</v>
      </c>
      <c r="C11" s="6"/>
      <c r="D11" s="7" t="s">
        <v>324</v>
      </c>
      <c r="M11" s="4"/>
    </row>
    <row r="12" spans="1:13">
      <c r="A12" s="106"/>
      <c r="B12" s="5" t="s">
        <v>38</v>
      </c>
      <c r="C12" s="6"/>
      <c r="D12" s="7" t="s">
        <v>325</v>
      </c>
      <c r="M12" s="4"/>
    </row>
    <row r="13" spans="1:13">
      <c r="A13" s="106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3" t="s">
        <v>925</v>
      </c>
      <c r="M13" s="4"/>
    </row>
    <row r="14" spans="1:13">
      <c r="A14" s="106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3" t="s">
        <v>925</v>
      </c>
      <c r="M14" s="4"/>
    </row>
    <row r="15" spans="1:13">
      <c r="A15" s="106"/>
      <c r="B15" s="5" t="s">
        <v>50</v>
      </c>
      <c r="C15" s="6"/>
      <c r="D15" s="7" t="s">
        <v>328</v>
      </c>
      <c r="F15" s="8">
        <f t="shared" si="0"/>
        <v>0.16666666666666666</v>
      </c>
      <c r="G15" s="3" t="s">
        <v>925</v>
      </c>
      <c r="M15" s="4"/>
    </row>
    <row r="16" spans="1:13">
      <c r="A16" s="106"/>
      <c r="B16" s="5" t="s">
        <v>51</v>
      </c>
      <c r="C16" s="6"/>
      <c r="D16" s="7" t="s">
        <v>329</v>
      </c>
      <c r="F16" s="8">
        <f t="shared" si="0"/>
        <v>0.16666666666666666</v>
      </c>
      <c r="G16" s="3" t="s">
        <v>925</v>
      </c>
      <c r="M16" s="4"/>
    </row>
    <row r="17" spans="1:13">
      <c r="A17" s="106"/>
      <c r="B17" s="5" t="s">
        <v>52</v>
      </c>
      <c r="C17" s="6"/>
      <c r="D17" s="7" t="s">
        <v>330</v>
      </c>
      <c r="F17" s="8">
        <f t="shared" si="0"/>
        <v>0.16666666666666666</v>
      </c>
      <c r="G17" s="3" t="s">
        <v>925</v>
      </c>
      <c r="M17" s="4"/>
    </row>
    <row r="18" spans="1:13">
      <c r="A18" s="106"/>
      <c r="B18" s="5" t="s">
        <v>48</v>
      </c>
      <c r="C18" s="6"/>
      <c r="D18" s="7" t="s">
        <v>331</v>
      </c>
      <c r="F18" s="8">
        <f t="shared" si="0"/>
        <v>0.16666666666666666</v>
      </c>
      <c r="G18" s="3" t="s">
        <v>925</v>
      </c>
      <c r="M18" s="4"/>
    </row>
    <row r="19" spans="1:13">
      <c r="A19" s="106" t="s">
        <v>5</v>
      </c>
      <c r="B19" s="5" t="s">
        <v>54</v>
      </c>
      <c r="C19" s="6"/>
      <c r="D19" s="7" t="s">
        <v>332</v>
      </c>
      <c r="M19" s="4"/>
    </row>
    <row r="20" spans="1:13">
      <c r="A20" s="106"/>
      <c r="B20" s="5" t="s">
        <v>53</v>
      </c>
      <c r="C20" s="6"/>
      <c r="D20" s="7" t="s">
        <v>333</v>
      </c>
      <c r="M20" s="4"/>
    </row>
    <row r="21" spans="1:13">
      <c r="A21" s="106"/>
      <c r="B21" s="5" t="s">
        <v>60</v>
      </c>
      <c r="C21" s="6"/>
      <c r="D21" s="7" t="s">
        <v>334</v>
      </c>
      <c r="M21" s="4"/>
    </row>
    <row r="22" spans="1:13">
      <c r="A22" s="106"/>
      <c r="B22" s="5" t="s">
        <v>58</v>
      </c>
      <c r="C22" s="3" t="s">
        <v>658</v>
      </c>
      <c r="D22" s="7" t="s">
        <v>335</v>
      </c>
      <c r="E22" s="3">
        <f>544/2</f>
        <v>272</v>
      </c>
      <c r="F22" s="8">
        <v>1</v>
      </c>
      <c r="G22" s="104" t="s">
        <v>938</v>
      </c>
      <c r="M22" s="4"/>
    </row>
    <row r="23" spans="1:13">
      <c r="A23" s="106"/>
      <c r="B23" s="5" t="s">
        <v>57</v>
      </c>
      <c r="C23" s="6"/>
      <c r="D23" s="7" t="s">
        <v>336</v>
      </c>
      <c r="M23" s="4"/>
    </row>
    <row r="24" spans="1:13">
      <c r="A24" s="106"/>
      <c r="B24" s="5" t="s">
        <v>59</v>
      </c>
      <c r="C24" s="6"/>
      <c r="D24" s="7" t="s">
        <v>337</v>
      </c>
      <c r="M24" s="4"/>
    </row>
    <row r="25" spans="1:13">
      <c r="A25" s="106"/>
      <c r="B25" s="5" t="s">
        <v>55</v>
      </c>
      <c r="C25" s="6"/>
      <c r="D25" s="7" t="s">
        <v>338</v>
      </c>
      <c r="M25" s="4"/>
    </row>
    <row r="26" spans="1:13">
      <c r="A26" s="106"/>
      <c r="B26" s="5" t="s">
        <v>56</v>
      </c>
      <c r="C26" s="6"/>
      <c r="D26" s="7" t="s">
        <v>339</v>
      </c>
      <c r="M26" s="4"/>
    </row>
    <row r="27" spans="1:13">
      <c r="A27" s="106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3" t="s">
        <v>925</v>
      </c>
      <c r="M27" s="4"/>
    </row>
    <row r="28" spans="1:13">
      <c r="A28" s="106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3" t="s">
        <v>925</v>
      </c>
      <c r="M28" s="4"/>
    </row>
    <row r="29" spans="1:13">
      <c r="A29" s="106"/>
      <c r="B29" s="5" t="s">
        <v>63</v>
      </c>
      <c r="C29" s="6"/>
      <c r="D29" s="7" t="s">
        <v>342</v>
      </c>
      <c r="F29" s="8">
        <f t="shared" si="1"/>
        <v>0.2</v>
      </c>
      <c r="G29" s="3" t="s">
        <v>925</v>
      </c>
      <c r="M29" s="4"/>
    </row>
    <row r="30" spans="1:13">
      <c r="A30" s="106"/>
      <c r="B30" s="5" t="s">
        <v>65</v>
      </c>
      <c r="C30" s="6"/>
      <c r="D30" s="7" t="s">
        <v>343</v>
      </c>
      <c r="F30" s="8">
        <f t="shared" si="1"/>
        <v>0.2</v>
      </c>
      <c r="G30" s="3" t="s">
        <v>925</v>
      </c>
      <c r="M30" s="4"/>
    </row>
    <row r="31" spans="1:13">
      <c r="A31" s="106"/>
      <c r="B31" s="5" t="s">
        <v>62</v>
      </c>
      <c r="C31" s="6"/>
      <c r="D31" s="7" t="s">
        <v>344</v>
      </c>
      <c r="F31" s="8">
        <f t="shared" si="1"/>
        <v>0.2</v>
      </c>
      <c r="G31" s="3" t="s">
        <v>925</v>
      </c>
      <c r="M31" s="4"/>
    </row>
    <row r="32" spans="1:13">
      <c r="A32" s="106" t="s">
        <v>7</v>
      </c>
      <c r="B32" s="5" t="s">
        <v>101</v>
      </c>
      <c r="C32" s="6"/>
      <c r="D32" s="7" t="s">
        <v>345</v>
      </c>
      <c r="M32" s="4"/>
    </row>
    <row r="33" spans="1:13">
      <c r="A33" s="106"/>
      <c r="B33" s="5" t="s">
        <v>102</v>
      </c>
      <c r="C33" s="6"/>
      <c r="D33" s="7" t="s">
        <v>346</v>
      </c>
      <c r="M33" s="4"/>
    </row>
    <row r="34" spans="1:13">
      <c r="A34" s="106"/>
      <c r="B34" s="5" t="s">
        <v>103</v>
      </c>
      <c r="C34" s="6"/>
      <c r="D34" s="7" t="s">
        <v>347</v>
      </c>
      <c r="M34" s="4"/>
    </row>
    <row r="35" spans="1:13">
      <c r="A35" s="106"/>
      <c r="B35" s="5" t="s">
        <v>100</v>
      </c>
      <c r="C35" s="6"/>
      <c r="D35" s="7" t="s">
        <v>348</v>
      </c>
      <c r="M35" s="4"/>
    </row>
    <row r="36" spans="1:13" ht="30">
      <c r="A36" s="106"/>
      <c r="B36" s="5" t="s">
        <v>97</v>
      </c>
      <c r="C36" s="25" t="s">
        <v>686</v>
      </c>
      <c r="D36" s="7" t="s">
        <v>349</v>
      </c>
      <c r="E36" s="3">
        <f>(450+400)/2</f>
        <v>425</v>
      </c>
      <c r="F36" s="8">
        <f>E36/SUM($E$36:$E$68)</f>
        <v>0.15044247787610621</v>
      </c>
      <c r="G36" s="104" t="s">
        <v>938</v>
      </c>
      <c r="M36" s="4"/>
    </row>
    <row r="37" spans="1:13">
      <c r="A37" s="106"/>
      <c r="B37" s="5" t="s">
        <v>98</v>
      </c>
      <c r="C37" s="6"/>
      <c r="D37" s="7" t="s">
        <v>350</v>
      </c>
      <c r="M37" s="4"/>
    </row>
    <row r="38" spans="1:13">
      <c r="A38" s="106"/>
      <c r="B38" s="5" t="s">
        <v>95</v>
      </c>
      <c r="C38" s="6"/>
      <c r="D38" s="7" t="s">
        <v>351</v>
      </c>
      <c r="M38" s="4"/>
    </row>
    <row r="39" spans="1:13">
      <c r="A39" s="106"/>
      <c r="B39" s="5" t="s">
        <v>96</v>
      </c>
      <c r="C39" s="6"/>
      <c r="D39" s="7" t="s">
        <v>352</v>
      </c>
      <c r="M39" s="4"/>
    </row>
    <row r="40" spans="1:13">
      <c r="A40" s="106"/>
      <c r="B40" s="5" t="s">
        <v>99</v>
      </c>
      <c r="C40" s="6"/>
      <c r="D40" s="7" t="s">
        <v>353</v>
      </c>
      <c r="M40" s="4"/>
    </row>
    <row r="41" spans="1:13">
      <c r="A41" s="106"/>
      <c r="B41" s="5" t="s">
        <v>93</v>
      </c>
      <c r="C41" s="6"/>
      <c r="D41" s="7" t="s">
        <v>354</v>
      </c>
      <c r="M41" s="4"/>
    </row>
    <row r="42" spans="1:13">
      <c r="A42" s="106"/>
      <c r="B42" s="5" t="s">
        <v>94</v>
      </c>
      <c r="C42" s="6"/>
      <c r="D42" s="7" t="s">
        <v>355</v>
      </c>
      <c r="M42" s="4"/>
    </row>
    <row r="43" spans="1:13">
      <c r="A43" s="106"/>
      <c r="B43" s="5" t="s">
        <v>92</v>
      </c>
      <c r="C43" s="6"/>
      <c r="D43" s="7" t="s">
        <v>356</v>
      </c>
      <c r="M43" s="4"/>
    </row>
    <row r="44" spans="1:13">
      <c r="A44" s="106"/>
      <c r="B44" s="5" t="s">
        <v>91</v>
      </c>
      <c r="C44" s="6"/>
      <c r="D44" s="7" t="s">
        <v>357</v>
      </c>
      <c r="M44" s="4"/>
    </row>
    <row r="45" spans="1:13">
      <c r="A45" s="106"/>
      <c r="B45" s="5" t="s">
        <v>90</v>
      </c>
      <c r="C45" s="6"/>
      <c r="D45" s="7" t="s">
        <v>358</v>
      </c>
      <c r="M45" s="4"/>
    </row>
    <row r="46" spans="1:13">
      <c r="A46" s="106"/>
      <c r="B46" s="5" t="s">
        <v>89</v>
      </c>
      <c r="C46" s="6"/>
      <c r="D46" s="7" t="s">
        <v>359</v>
      </c>
      <c r="M46" s="4"/>
    </row>
    <row r="47" spans="1:13">
      <c r="A47" s="106"/>
      <c r="B47" s="5" t="s">
        <v>88</v>
      </c>
      <c r="C47" s="6"/>
      <c r="D47" s="7" t="s">
        <v>360</v>
      </c>
      <c r="M47" s="4"/>
    </row>
    <row r="48" spans="1:13">
      <c r="A48" s="106"/>
      <c r="B48" s="5" t="s">
        <v>87</v>
      </c>
      <c r="C48" s="6"/>
      <c r="D48" s="7" t="s">
        <v>361</v>
      </c>
      <c r="M48" s="4"/>
    </row>
    <row r="49" spans="1:13">
      <c r="A49" s="106"/>
      <c r="B49" s="5" t="s">
        <v>86</v>
      </c>
      <c r="C49" s="6"/>
      <c r="D49" s="7" t="s">
        <v>362</v>
      </c>
      <c r="M49" s="4"/>
    </row>
    <row r="50" spans="1:13">
      <c r="A50" s="106"/>
      <c r="B50" s="5" t="s">
        <v>85</v>
      </c>
      <c r="C50" s="6"/>
      <c r="D50" s="7" t="s">
        <v>363</v>
      </c>
      <c r="M50" s="4"/>
    </row>
    <row r="51" spans="1:13">
      <c r="A51" s="106"/>
      <c r="B51" s="5" t="s">
        <v>84</v>
      </c>
      <c r="C51" s="6"/>
      <c r="D51" s="7" t="s">
        <v>364</v>
      </c>
      <c r="M51" s="4"/>
    </row>
    <row r="52" spans="1:13">
      <c r="A52" s="106"/>
      <c r="B52" s="5" t="s">
        <v>83</v>
      </c>
      <c r="C52" s="6"/>
      <c r="D52" s="7" t="s">
        <v>365</v>
      </c>
      <c r="M52" s="4"/>
    </row>
    <row r="53" spans="1:13">
      <c r="A53" s="106"/>
      <c r="B53" s="5" t="s">
        <v>82</v>
      </c>
      <c r="C53" s="6"/>
      <c r="D53" s="7" t="s">
        <v>366</v>
      </c>
      <c r="M53" s="4"/>
    </row>
    <row r="54" spans="1:13">
      <c r="A54" s="106"/>
      <c r="B54" s="5" t="s">
        <v>81</v>
      </c>
      <c r="C54" s="6"/>
      <c r="D54" s="7" t="s">
        <v>367</v>
      </c>
      <c r="M54" s="4"/>
    </row>
    <row r="55" spans="1:13">
      <c r="A55" s="106"/>
      <c r="B55" s="5" t="s">
        <v>78</v>
      </c>
      <c r="C55" s="3" t="s">
        <v>683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G55" s="104" t="s">
        <v>938</v>
      </c>
      <c r="M55" s="4"/>
    </row>
    <row r="56" spans="1:13" ht="30">
      <c r="A56" s="106"/>
      <c r="B56" s="5" t="s">
        <v>77</v>
      </c>
      <c r="C56" s="25" t="s">
        <v>687</v>
      </c>
      <c r="D56" s="7" t="s">
        <v>369</v>
      </c>
      <c r="E56" s="3">
        <f>(1165+1040+260)/2</f>
        <v>1232.5</v>
      </c>
      <c r="F56" s="8">
        <f t="shared" si="2"/>
        <v>0.43628318584070797</v>
      </c>
      <c r="G56" s="104" t="s">
        <v>938</v>
      </c>
      <c r="M56" s="4"/>
    </row>
    <row r="57" spans="1:13">
      <c r="A57" s="106"/>
      <c r="B57" s="5" t="s">
        <v>76</v>
      </c>
      <c r="C57" s="6"/>
      <c r="D57" s="7" t="s">
        <v>370</v>
      </c>
      <c r="M57" s="4"/>
    </row>
    <row r="58" spans="1:13">
      <c r="A58" s="106"/>
      <c r="B58" s="5" t="s">
        <v>79</v>
      </c>
      <c r="C58" s="6"/>
      <c r="D58" s="7" t="s">
        <v>371</v>
      </c>
      <c r="M58" s="4"/>
    </row>
    <row r="59" spans="1:13">
      <c r="A59" s="106"/>
      <c r="B59" s="5" t="s">
        <v>80</v>
      </c>
      <c r="C59" s="6"/>
      <c r="D59" s="7" t="s">
        <v>372</v>
      </c>
      <c r="M59" s="4"/>
    </row>
    <row r="60" spans="1:13">
      <c r="A60" s="106"/>
      <c r="B60" s="5" t="s">
        <v>75</v>
      </c>
      <c r="C60" s="6"/>
      <c r="D60" s="7" t="s">
        <v>373</v>
      </c>
      <c r="M60" s="4"/>
    </row>
    <row r="61" spans="1:13">
      <c r="A61" s="106"/>
      <c r="B61" s="5" t="s">
        <v>73</v>
      </c>
      <c r="C61" s="6"/>
      <c r="D61" s="7" t="s">
        <v>374</v>
      </c>
      <c r="M61" s="4"/>
    </row>
    <row r="62" spans="1:13">
      <c r="A62" s="106"/>
      <c r="B62" s="5" t="s">
        <v>74</v>
      </c>
      <c r="C62" s="3" t="s">
        <v>685</v>
      </c>
      <c r="D62" s="7" t="s">
        <v>375</v>
      </c>
      <c r="E62" s="3">
        <f>620/2</f>
        <v>310</v>
      </c>
      <c r="F62" s="8">
        <f t="shared" si="2"/>
        <v>0.10973451327433628</v>
      </c>
      <c r="G62" s="104" t="s">
        <v>938</v>
      </c>
      <c r="M62" s="4"/>
    </row>
    <row r="63" spans="1:13">
      <c r="A63" s="106"/>
      <c r="B63" s="5" t="s">
        <v>72</v>
      </c>
      <c r="C63" s="6"/>
      <c r="D63" s="7" t="s">
        <v>376</v>
      </c>
      <c r="M63" s="4"/>
    </row>
    <row r="64" spans="1:13">
      <c r="A64" s="106"/>
      <c r="B64" s="5" t="s">
        <v>69</v>
      </c>
      <c r="C64" s="6"/>
      <c r="D64" s="7" t="s">
        <v>377</v>
      </c>
      <c r="M64" s="4"/>
    </row>
    <row r="65" spans="1:13">
      <c r="A65" s="106"/>
      <c r="B65" s="5" t="s">
        <v>70</v>
      </c>
      <c r="C65" s="6"/>
      <c r="D65" s="7" t="s">
        <v>378</v>
      </c>
      <c r="M65" s="4"/>
    </row>
    <row r="66" spans="1:13">
      <c r="A66" s="106"/>
      <c r="B66" s="5" t="s">
        <v>68</v>
      </c>
      <c r="C66" s="3" t="s">
        <v>681</v>
      </c>
      <c r="D66" s="7" t="s">
        <v>379</v>
      </c>
      <c r="E66" s="3">
        <f>565/2</f>
        <v>282.5</v>
      </c>
      <c r="F66" s="8">
        <f t="shared" si="2"/>
        <v>0.1</v>
      </c>
      <c r="G66" s="104" t="s">
        <v>938</v>
      </c>
      <c r="M66" s="4"/>
    </row>
    <row r="67" spans="1:13">
      <c r="A67" s="106"/>
      <c r="B67" s="5" t="s">
        <v>71</v>
      </c>
      <c r="C67" s="6"/>
      <c r="D67" s="7" t="s">
        <v>380</v>
      </c>
      <c r="M67" s="4"/>
    </row>
    <row r="68" spans="1:13">
      <c r="A68" s="106"/>
      <c r="B68" s="5" t="s">
        <v>67</v>
      </c>
      <c r="C68" s="3" t="s">
        <v>684</v>
      </c>
      <c r="D68" s="7" t="s">
        <v>381</v>
      </c>
      <c r="E68" s="3">
        <f>100/2</f>
        <v>50</v>
      </c>
      <c r="F68" s="8">
        <f t="shared" si="2"/>
        <v>1.7699115044247787E-2</v>
      </c>
      <c r="G68" s="104" t="s">
        <v>938</v>
      </c>
      <c r="M68" s="4"/>
    </row>
    <row r="69" spans="1:13">
      <c r="A69" s="106"/>
      <c r="B69" s="5" t="s">
        <v>66</v>
      </c>
      <c r="C69" s="6"/>
      <c r="D69" s="7" t="s">
        <v>382</v>
      </c>
      <c r="M69" s="4"/>
    </row>
    <row r="70" spans="1:13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925</v>
      </c>
      <c r="M70" s="4"/>
    </row>
    <row r="71" spans="1:13">
      <c r="A71" s="106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925</v>
      </c>
      <c r="M71" s="4"/>
    </row>
    <row r="72" spans="1:13">
      <c r="A72" s="106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925</v>
      </c>
      <c r="M72" s="4"/>
    </row>
    <row r="73" spans="1:13">
      <c r="A73" s="106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925</v>
      </c>
      <c r="M73" s="4"/>
    </row>
    <row r="74" spans="1:13">
      <c r="A74" s="106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925</v>
      </c>
      <c r="M74" s="4"/>
    </row>
    <row r="75" spans="1:13">
      <c r="A75" s="106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925</v>
      </c>
      <c r="M75" s="4"/>
    </row>
    <row r="76" spans="1:13">
      <c r="A76" s="106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925</v>
      </c>
    </row>
    <row r="77" spans="1:13">
      <c r="A77" s="106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925</v>
      </c>
    </row>
    <row r="78" spans="1:13">
      <c r="A78" s="106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925</v>
      </c>
    </row>
    <row r="79" spans="1:13">
      <c r="A79" s="106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925</v>
      </c>
    </row>
    <row r="80" spans="1:13">
      <c r="A80" s="106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925</v>
      </c>
    </row>
    <row r="81" spans="1:7">
      <c r="A81" s="106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925</v>
      </c>
    </row>
    <row r="82" spans="1:7">
      <c r="A82" s="106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925</v>
      </c>
    </row>
    <row r="83" spans="1:7">
      <c r="A83" s="106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925</v>
      </c>
    </row>
    <row r="84" spans="1:7">
      <c r="A84" s="106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925</v>
      </c>
    </row>
    <row r="85" spans="1:7">
      <c r="A85" s="106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925</v>
      </c>
    </row>
    <row r="86" spans="1:7">
      <c r="A86" s="106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925</v>
      </c>
    </row>
    <row r="87" spans="1:7">
      <c r="A87" s="106" t="s">
        <v>10</v>
      </c>
      <c r="B87" s="5" t="s">
        <v>120</v>
      </c>
      <c r="C87" s="6"/>
      <c r="D87" s="7" t="s">
        <v>405</v>
      </c>
    </row>
    <row r="88" spans="1:7">
      <c r="A88" s="106"/>
      <c r="B88" s="5" t="s">
        <v>117</v>
      </c>
      <c r="C88" s="6"/>
      <c r="D88" s="7" t="s">
        <v>406</v>
      </c>
    </row>
    <row r="89" spans="1:7">
      <c r="A89" s="106"/>
      <c r="B89" s="5" t="s">
        <v>128</v>
      </c>
      <c r="C89" s="6"/>
      <c r="D89" s="7" t="s">
        <v>407</v>
      </c>
    </row>
    <row r="90" spans="1:7">
      <c r="A90" s="106"/>
      <c r="B90" s="5" t="s">
        <v>118</v>
      </c>
      <c r="C90" s="6"/>
      <c r="D90" s="7" t="s">
        <v>408</v>
      </c>
    </row>
    <row r="91" spans="1:7">
      <c r="A91" s="106"/>
      <c r="B91" s="5" t="s">
        <v>123</v>
      </c>
      <c r="C91" s="6"/>
      <c r="D91" s="7" t="s">
        <v>409</v>
      </c>
    </row>
    <row r="92" spans="1:7">
      <c r="A92" s="106"/>
      <c r="B92" s="5" t="s">
        <v>119</v>
      </c>
      <c r="C92" s="6"/>
      <c r="D92" s="7" t="s">
        <v>410</v>
      </c>
    </row>
    <row r="93" spans="1:7">
      <c r="A93" s="106"/>
      <c r="B93" s="5" t="s">
        <v>129</v>
      </c>
      <c r="C93" s="6"/>
      <c r="D93" s="7" t="s">
        <v>411</v>
      </c>
    </row>
    <row r="94" spans="1:7">
      <c r="A94" s="106"/>
      <c r="B94" s="5" t="s">
        <v>124</v>
      </c>
      <c r="C94" s="6"/>
      <c r="D94" s="7" t="s">
        <v>412</v>
      </c>
    </row>
    <row r="95" spans="1:7">
      <c r="A95" s="106"/>
      <c r="B95" s="5" t="s">
        <v>126</v>
      </c>
      <c r="C95" s="6"/>
      <c r="D95" s="7" t="s">
        <v>413</v>
      </c>
    </row>
    <row r="96" spans="1:7">
      <c r="A96" s="106"/>
      <c r="B96" s="5" t="s">
        <v>127</v>
      </c>
      <c r="C96" s="6" t="s">
        <v>662</v>
      </c>
      <c r="D96" s="7" t="s">
        <v>414</v>
      </c>
      <c r="E96" s="3">
        <f>102/2</f>
        <v>51</v>
      </c>
      <c r="F96" s="8">
        <f>E96/(E96+E98)</f>
        <v>6.8965517241379309E-2</v>
      </c>
      <c r="G96" s="104" t="s">
        <v>938</v>
      </c>
    </row>
    <row r="97" spans="1:7">
      <c r="A97" s="106"/>
      <c r="B97" s="5" t="s">
        <v>121</v>
      </c>
      <c r="C97" s="6"/>
      <c r="D97" s="7" t="s">
        <v>415</v>
      </c>
    </row>
    <row r="98" spans="1:7">
      <c r="A98" s="106"/>
      <c r="B98" s="5" t="s">
        <v>125</v>
      </c>
      <c r="C98" s="6" t="s">
        <v>661</v>
      </c>
      <c r="D98" s="7" t="s">
        <v>416</v>
      </c>
      <c r="E98" s="3">
        <f>(675+702)/2</f>
        <v>688.5</v>
      </c>
      <c r="F98" s="8">
        <f>E98/(E98+E96)</f>
        <v>0.93103448275862066</v>
      </c>
      <c r="G98" s="104" t="s">
        <v>938</v>
      </c>
    </row>
    <row r="99" spans="1:7">
      <c r="A99" s="106"/>
      <c r="B99" s="5" t="s">
        <v>122</v>
      </c>
      <c r="C99" s="6"/>
      <c r="D99" s="7" t="s">
        <v>417</v>
      </c>
    </row>
    <row r="100" spans="1:7">
      <c r="A100" s="106"/>
      <c r="B100" s="5" t="s">
        <v>418</v>
      </c>
      <c r="C100" s="6"/>
      <c r="D100" s="7" t="s">
        <v>419</v>
      </c>
    </row>
    <row r="101" spans="1:7">
      <c r="A101" s="106"/>
      <c r="B101" s="5" t="s">
        <v>130</v>
      </c>
      <c r="C101" s="6"/>
      <c r="D101" s="7" t="s">
        <v>420</v>
      </c>
    </row>
    <row r="102" spans="1:7">
      <c r="A102" s="106"/>
      <c r="B102" s="5" t="s">
        <v>116</v>
      </c>
      <c r="C102" s="6"/>
      <c r="D102" s="7" t="s">
        <v>421</v>
      </c>
    </row>
    <row r="103" spans="1:7">
      <c r="A103" s="106"/>
      <c r="B103" s="5" t="s">
        <v>422</v>
      </c>
      <c r="C103" s="6"/>
      <c r="D103" s="7" t="s">
        <v>423</v>
      </c>
    </row>
    <row r="104" spans="1:7">
      <c r="A104" s="106"/>
      <c r="B104" s="5" t="s">
        <v>424</v>
      </c>
      <c r="C104" s="6"/>
      <c r="D104" s="7" t="s">
        <v>425</v>
      </c>
    </row>
    <row r="105" spans="1:7">
      <c r="A105" s="106"/>
      <c r="B105" s="5" t="s">
        <v>426</v>
      </c>
      <c r="C105" s="6"/>
      <c r="D105" s="7" t="s">
        <v>427</v>
      </c>
    </row>
    <row r="106" spans="1:7">
      <c r="A106" s="106" t="s">
        <v>11</v>
      </c>
      <c r="B106" s="5" t="s">
        <v>132</v>
      </c>
      <c r="C106" s="6"/>
      <c r="D106" s="7" t="s">
        <v>428</v>
      </c>
    </row>
    <row r="107" spans="1:7">
      <c r="A107" s="106"/>
      <c r="B107" s="5" t="s">
        <v>143</v>
      </c>
      <c r="C107" s="6"/>
      <c r="D107" s="7" t="s">
        <v>429</v>
      </c>
    </row>
    <row r="108" spans="1:7">
      <c r="A108" s="106"/>
      <c r="B108" s="5" t="s">
        <v>141</v>
      </c>
      <c r="C108" s="6"/>
      <c r="D108" s="7" t="s">
        <v>430</v>
      </c>
    </row>
    <row r="109" spans="1:7">
      <c r="A109" s="106"/>
      <c r="B109" s="5" t="s">
        <v>138</v>
      </c>
      <c r="C109" s="6"/>
      <c r="D109" s="7" t="s">
        <v>431</v>
      </c>
    </row>
    <row r="110" spans="1:7">
      <c r="A110" s="106"/>
      <c r="B110" s="10" t="s">
        <v>145</v>
      </c>
      <c r="C110" s="7"/>
      <c r="D110" s="11" t="s">
        <v>432</v>
      </c>
    </row>
    <row r="111" spans="1:7" ht="30">
      <c r="A111" s="106"/>
      <c r="B111" s="10" t="s">
        <v>137</v>
      </c>
      <c r="C111" s="25" t="s">
        <v>666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  <c r="G111" s="104" t="s">
        <v>938</v>
      </c>
    </row>
    <row r="112" spans="1:7">
      <c r="A112" s="106"/>
      <c r="B112" s="5" t="s">
        <v>134</v>
      </c>
      <c r="C112" s="3" t="s">
        <v>663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  <c r="G112" s="104" t="s">
        <v>938</v>
      </c>
    </row>
    <row r="113" spans="1:7">
      <c r="A113" s="106"/>
      <c r="B113" s="5" t="s">
        <v>151</v>
      </c>
      <c r="C113" s="6"/>
      <c r="D113" s="7" t="s">
        <v>435</v>
      </c>
    </row>
    <row r="114" spans="1:7">
      <c r="A114" s="106"/>
      <c r="B114" s="5" t="s">
        <v>133</v>
      </c>
      <c r="C114" s="6"/>
      <c r="D114" s="7" t="s">
        <v>436</v>
      </c>
    </row>
    <row r="115" spans="1:7">
      <c r="A115" s="106"/>
      <c r="B115" s="5" t="s">
        <v>148</v>
      </c>
      <c r="C115" s="6"/>
      <c r="D115" s="7" t="s">
        <v>437</v>
      </c>
    </row>
    <row r="116" spans="1:7">
      <c r="A116" s="106"/>
      <c r="B116" s="5" t="s">
        <v>135</v>
      </c>
      <c r="C116" s="6"/>
      <c r="D116" s="7" t="s">
        <v>438</v>
      </c>
    </row>
    <row r="117" spans="1:7">
      <c r="A117" s="106"/>
      <c r="B117" s="5" t="s">
        <v>136</v>
      </c>
      <c r="C117" s="6"/>
      <c r="D117" s="7" t="s">
        <v>439</v>
      </c>
    </row>
    <row r="118" spans="1:7">
      <c r="A118" s="106"/>
      <c r="B118" s="5" t="s">
        <v>140</v>
      </c>
      <c r="C118" s="6"/>
      <c r="D118" s="7" t="s">
        <v>440</v>
      </c>
    </row>
    <row r="119" spans="1:7">
      <c r="A119" s="106"/>
      <c r="B119" s="5" t="s">
        <v>139</v>
      </c>
      <c r="C119" s="6"/>
      <c r="D119" s="7" t="s">
        <v>441</v>
      </c>
    </row>
    <row r="120" spans="1:7">
      <c r="A120" s="106"/>
      <c r="B120" s="5" t="s">
        <v>142</v>
      </c>
      <c r="C120" s="6"/>
      <c r="D120" s="7" t="s">
        <v>442</v>
      </c>
    </row>
    <row r="121" spans="1:7">
      <c r="A121" s="106"/>
      <c r="B121" s="5" t="s">
        <v>144</v>
      </c>
      <c r="C121" s="6"/>
      <c r="D121" s="7" t="s">
        <v>443</v>
      </c>
    </row>
    <row r="122" spans="1:7">
      <c r="A122" s="106"/>
      <c r="B122" s="5" t="s">
        <v>146</v>
      </c>
      <c r="C122" s="6"/>
      <c r="D122" s="7" t="s">
        <v>444</v>
      </c>
    </row>
    <row r="123" spans="1:7">
      <c r="A123" s="106"/>
      <c r="B123" s="5" t="s">
        <v>147</v>
      </c>
      <c r="C123" s="6"/>
      <c r="D123" s="7" t="s">
        <v>445</v>
      </c>
    </row>
    <row r="124" spans="1:7">
      <c r="A124" s="106"/>
      <c r="B124" s="5" t="s">
        <v>150</v>
      </c>
      <c r="C124" s="6"/>
      <c r="D124" s="7" t="s">
        <v>446</v>
      </c>
    </row>
    <row r="125" spans="1:7">
      <c r="A125" s="106"/>
      <c r="B125" s="5" t="s">
        <v>152</v>
      </c>
      <c r="C125" s="6" t="s">
        <v>664</v>
      </c>
      <c r="D125" s="7" t="s">
        <v>447</v>
      </c>
      <c r="E125" s="3">
        <f>250/2</f>
        <v>125</v>
      </c>
      <c r="F125" s="8">
        <f t="shared" si="5"/>
        <v>8.9605734767025089E-2</v>
      </c>
      <c r="G125" s="104" t="s">
        <v>938</v>
      </c>
    </row>
    <row r="126" spans="1:7" ht="30">
      <c r="A126" s="106"/>
      <c r="B126" s="5" t="s">
        <v>149</v>
      </c>
      <c r="C126" s="6" t="s">
        <v>665</v>
      </c>
      <c r="D126" s="7" t="s">
        <v>448</v>
      </c>
      <c r="E126" s="3">
        <f>(470+740)/2</f>
        <v>605</v>
      </c>
      <c r="F126" s="8">
        <f t="shared" si="5"/>
        <v>0.43369175627240142</v>
      </c>
      <c r="G126" s="104" t="s">
        <v>938</v>
      </c>
    </row>
    <row r="127" spans="1:7">
      <c r="A127" s="106"/>
      <c r="B127" s="5" t="s">
        <v>131</v>
      </c>
      <c r="C127" s="6"/>
      <c r="D127" s="7" t="s">
        <v>449</v>
      </c>
    </row>
    <row r="128" spans="1:7">
      <c r="A128" s="106"/>
      <c r="B128" s="5" t="s">
        <v>450</v>
      </c>
      <c r="C128" s="6"/>
      <c r="D128" s="7" t="s">
        <v>451</v>
      </c>
    </row>
    <row r="129" spans="1:7">
      <c r="A129" s="106"/>
      <c r="B129" s="5" t="s">
        <v>452</v>
      </c>
      <c r="C129" s="6"/>
      <c r="D129" s="7" t="s">
        <v>453</v>
      </c>
    </row>
    <row r="130" spans="1:7">
      <c r="A130" s="106"/>
      <c r="B130" s="5" t="s">
        <v>454</v>
      </c>
      <c r="C130" s="6"/>
      <c r="D130" s="7" t="s">
        <v>455</v>
      </c>
    </row>
    <row r="131" spans="1:7">
      <c r="A131" s="106"/>
      <c r="B131" s="5" t="s">
        <v>456</v>
      </c>
      <c r="C131" s="6"/>
      <c r="D131" s="7" t="s">
        <v>457</v>
      </c>
    </row>
    <row r="132" spans="1:7">
      <c r="A132" s="106"/>
      <c r="B132" s="5" t="s">
        <v>458</v>
      </c>
      <c r="C132" s="6"/>
      <c r="D132" s="7" t="s">
        <v>459</v>
      </c>
    </row>
    <row r="133" spans="1:7">
      <c r="A133" s="106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925</v>
      </c>
    </row>
    <row r="134" spans="1:7">
      <c r="A134" s="106"/>
      <c r="B134" s="5" t="s">
        <v>154</v>
      </c>
      <c r="C134" s="6"/>
      <c r="D134" s="7" t="s">
        <v>462</v>
      </c>
      <c r="F134" s="8">
        <f>0.5</f>
        <v>0.5</v>
      </c>
      <c r="G134" s="73" t="s">
        <v>925</v>
      </c>
    </row>
    <row r="135" spans="1:7">
      <c r="A135" s="106"/>
      <c r="B135" s="5" t="s">
        <v>153</v>
      </c>
      <c r="C135" s="6"/>
      <c r="D135" s="7"/>
      <c r="F135" s="91">
        <v>0.5</v>
      </c>
      <c r="G135" s="73" t="s">
        <v>925</v>
      </c>
    </row>
    <row r="136" spans="1:7">
      <c r="A136" s="106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925</v>
      </c>
    </row>
    <row r="137" spans="1:7">
      <c r="A137" s="106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925</v>
      </c>
    </row>
    <row r="138" spans="1:7">
      <c r="A138" s="106" t="s">
        <v>13</v>
      </c>
      <c r="B138" s="5" t="s">
        <v>163</v>
      </c>
      <c r="C138" s="6"/>
      <c r="D138" s="7" t="s">
        <v>467</v>
      </c>
    </row>
    <row r="139" spans="1:7">
      <c r="A139" s="106"/>
      <c r="B139" s="5" t="s">
        <v>156</v>
      </c>
      <c r="C139" s="6"/>
      <c r="D139" s="7" t="s">
        <v>468</v>
      </c>
    </row>
    <row r="140" spans="1:7">
      <c r="A140" s="106"/>
      <c r="B140" s="5" t="s">
        <v>167</v>
      </c>
      <c r="C140" s="6"/>
      <c r="D140" s="7" t="s">
        <v>469</v>
      </c>
    </row>
    <row r="141" spans="1:7">
      <c r="A141" s="106"/>
      <c r="B141" s="5" t="s">
        <v>166</v>
      </c>
      <c r="C141" s="6"/>
      <c r="D141" s="7" t="s">
        <v>470</v>
      </c>
    </row>
    <row r="142" spans="1:7">
      <c r="A142" s="106"/>
      <c r="B142" s="5" t="s">
        <v>175</v>
      </c>
      <c r="C142" s="6"/>
      <c r="D142" s="7" t="s">
        <v>471</v>
      </c>
    </row>
    <row r="143" spans="1:7">
      <c r="A143" s="106"/>
      <c r="B143" s="5" t="s">
        <v>164</v>
      </c>
      <c r="C143" s="6"/>
      <c r="D143" s="7" t="s">
        <v>472</v>
      </c>
    </row>
    <row r="144" spans="1:7">
      <c r="A144" s="106"/>
      <c r="B144" s="5" t="s">
        <v>171</v>
      </c>
      <c r="C144" s="6"/>
      <c r="D144" s="7" t="s">
        <v>473</v>
      </c>
    </row>
    <row r="145" spans="1:7">
      <c r="A145" s="106"/>
      <c r="B145" s="5" t="s">
        <v>174</v>
      </c>
      <c r="C145" s="3" t="s">
        <v>677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  <c r="G145" s="104" t="s">
        <v>938</v>
      </c>
    </row>
    <row r="146" spans="1:7">
      <c r="A146" s="106"/>
      <c r="B146" s="5" t="s">
        <v>173</v>
      </c>
      <c r="C146" s="6"/>
      <c r="D146" s="7" t="s">
        <v>475</v>
      </c>
    </row>
    <row r="147" spans="1:7">
      <c r="A147" s="106"/>
      <c r="B147" s="5" t="s">
        <v>172</v>
      </c>
      <c r="C147" s="6"/>
      <c r="D147" s="7" t="s">
        <v>476</v>
      </c>
    </row>
    <row r="148" spans="1:7">
      <c r="A148" s="106"/>
      <c r="B148" s="5" t="s">
        <v>161</v>
      </c>
      <c r="C148" s="3" t="s">
        <v>678</v>
      </c>
      <c r="D148" s="7" t="s">
        <v>477</v>
      </c>
      <c r="E148" s="3">
        <f>558.45/2</f>
        <v>279.22500000000002</v>
      </c>
      <c r="F148" s="8">
        <f t="shared" si="6"/>
        <v>0.35130374610763376</v>
      </c>
      <c r="G148" s="104" t="s">
        <v>938</v>
      </c>
    </row>
    <row r="149" spans="1:7">
      <c r="A149" s="106"/>
      <c r="B149" s="5" t="s">
        <v>162</v>
      </c>
      <c r="C149" s="6"/>
      <c r="D149" s="7" t="s">
        <v>478</v>
      </c>
    </row>
    <row r="150" spans="1:7" ht="30">
      <c r="A150" s="106"/>
      <c r="B150" s="5" t="s">
        <v>158</v>
      </c>
      <c r="C150" s="6"/>
      <c r="D150" s="7" t="s">
        <v>479</v>
      </c>
    </row>
    <row r="151" spans="1:7">
      <c r="A151" s="106"/>
      <c r="B151" s="5" t="s">
        <v>159</v>
      </c>
      <c r="C151" s="6"/>
      <c r="D151" s="7" t="s">
        <v>480</v>
      </c>
    </row>
    <row r="152" spans="1:7">
      <c r="A152" s="106"/>
      <c r="B152" s="5" t="s">
        <v>155</v>
      </c>
      <c r="C152" s="3" t="s">
        <v>679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  <c r="G152" s="104" t="s">
        <v>938</v>
      </c>
    </row>
    <row r="153" spans="1:7">
      <c r="A153" s="106"/>
      <c r="B153" s="5" t="s">
        <v>169</v>
      </c>
      <c r="C153" s="6"/>
      <c r="D153" s="7" t="s">
        <v>482</v>
      </c>
    </row>
    <row r="154" spans="1:7">
      <c r="A154" s="106"/>
      <c r="B154" s="5" t="s">
        <v>170</v>
      </c>
      <c r="C154" s="6"/>
      <c r="D154" s="7" t="s">
        <v>483</v>
      </c>
    </row>
    <row r="155" spans="1:7">
      <c r="A155" s="106"/>
      <c r="B155" s="5" t="s">
        <v>160</v>
      </c>
      <c r="C155" s="6"/>
      <c r="D155" s="7" t="s">
        <v>484</v>
      </c>
    </row>
    <row r="156" spans="1:7">
      <c r="A156" s="106"/>
      <c r="B156" s="5" t="s">
        <v>157</v>
      </c>
      <c r="C156" s="6"/>
      <c r="D156" s="7" t="s">
        <v>485</v>
      </c>
    </row>
    <row r="157" spans="1:7">
      <c r="A157" s="106"/>
      <c r="B157" s="5" t="s">
        <v>165</v>
      </c>
      <c r="C157" s="6"/>
      <c r="D157" s="7" t="s">
        <v>486</v>
      </c>
    </row>
    <row r="158" spans="1:7">
      <c r="A158" s="106"/>
      <c r="B158" s="5" t="s">
        <v>168</v>
      </c>
      <c r="C158" s="6"/>
      <c r="D158" s="7" t="s">
        <v>487</v>
      </c>
    </row>
    <row r="159" spans="1:7">
      <c r="A159" s="26" t="s">
        <v>623</v>
      </c>
      <c r="B159" s="5" t="s">
        <v>488</v>
      </c>
      <c r="C159" s="6"/>
      <c r="D159" s="7" t="s">
        <v>489</v>
      </c>
      <c r="F159" s="8">
        <v>1</v>
      </c>
      <c r="G159" s="3" t="s">
        <v>925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925</v>
      </c>
    </row>
    <row r="161" spans="1:7">
      <c r="A161" s="106" t="s">
        <v>1164</v>
      </c>
      <c r="B161" s="5" t="s">
        <v>491</v>
      </c>
      <c r="C161" s="6"/>
      <c r="D161" s="7" t="s">
        <v>492</v>
      </c>
      <c r="F161" s="8">
        <v>0.5</v>
      </c>
      <c r="G161" s="3" t="s">
        <v>925</v>
      </c>
    </row>
    <row r="162" spans="1:7">
      <c r="A162" s="106"/>
      <c r="B162" s="5" t="s">
        <v>493</v>
      </c>
      <c r="C162" s="6"/>
      <c r="D162" s="7" t="s">
        <v>494</v>
      </c>
      <c r="F162" s="8">
        <v>0.5</v>
      </c>
      <c r="G162" s="3" t="s">
        <v>925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925</v>
      </c>
    </row>
    <row r="164" spans="1:7">
      <c r="A164" s="106" t="s">
        <v>16</v>
      </c>
      <c r="B164" s="5" t="s">
        <v>182</v>
      </c>
      <c r="C164" s="6"/>
      <c r="D164" s="7" t="s">
        <v>495</v>
      </c>
    </row>
    <row r="165" spans="1:7">
      <c r="A165" s="106"/>
      <c r="B165" s="5" t="s">
        <v>181</v>
      </c>
      <c r="C165" s="6"/>
      <c r="D165" s="7" t="s">
        <v>496</v>
      </c>
    </row>
    <row r="166" spans="1:7">
      <c r="A166" s="106"/>
      <c r="B166" s="5" t="s">
        <v>180</v>
      </c>
      <c r="C166" s="6"/>
      <c r="D166" s="7" t="s">
        <v>497</v>
      </c>
    </row>
    <row r="167" spans="1:7">
      <c r="A167" s="106"/>
      <c r="B167" s="5" t="s">
        <v>179</v>
      </c>
      <c r="C167" s="6"/>
      <c r="D167" s="7" t="s">
        <v>498</v>
      </c>
    </row>
    <row r="168" spans="1:7">
      <c r="A168" s="106"/>
      <c r="B168" s="5" t="s">
        <v>184</v>
      </c>
      <c r="C168" s="6"/>
      <c r="D168" s="7" t="s">
        <v>499</v>
      </c>
    </row>
    <row r="169" spans="1:7">
      <c r="A169" s="106"/>
      <c r="B169" s="5" t="s">
        <v>183</v>
      </c>
      <c r="C169" s="3" t="s">
        <v>680</v>
      </c>
      <c r="D169" s="7" t="s">
        <v>500</v>
      </c>
      <c r="E169" s="3">
        <f>665000/2</f>
        <v>332500</v>
      </c>
      <c r="F169" s="8">
        <v>1</v>
      </c>
      <c r="G169" s="104" t="s">
        <v>938</v>
      </c>
    </row>
    <row r="170" spans="1:7">
      <c r="A170" s="106"/>
      <c r="B170" s="5" t="s">
        <v>178</v>
      </c>
      <c r="C170" s="6"/>
      <c r="D170" s="7" t="s">
        <v>501</v>
      </c>
    </row>
    <row r="171" spans="1:7">
      <c r="A171" s="106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925</v>
      </c>
    </row>
    <row r="173" spans="1:7">
      <c r="A173" s="106" t="s">
        <v>17</v>
      </c>
      <c r="B173" s="5" t="s">
        <v>193</v>
      </c>
      <c r="C173" s="6"/>
      <c r="D173" s="7" t="s">
        <v>505</v>
      </c>
    </row>
    <row r="174" spans="1:7">
      <c r="A174" s="106"/>
      <c r="B174" s="5" t="s">
        <v>195</v>
      </c>
      <c r="C174" s="6"/>
      <c r="D174" s="7" t="s">
        <v>506</v>
      </c>
    </row>
    <row r="175" spans="1:7">
      <c r="A175" s="106"/>
      <c r="B175" s="5" t="s">
        <v>197</v>
      </c>
      <c r="C175" s="6"/>
      <c r="D175" s="7" t="s">
        <v>507</v>
      </c>
    </row>
    <row r="176" spans="1:7">
      <c r="A176" s="106"/>
      <c r="B176" s="5" t="s">
        <v>188</v>
      </c>
      <c r="C176" s="6"/>
      <c r="D176" s="7" t="s">
        <v>508</v>
      </c>
    </row>
    <row r="177" spans="1:7">
      <c r="A177" s="106"/>
      <c r="B177" s="5" t="s">
        <v>194</v>
      </c>
      <c r="C177" s="6"/>
      <c r="D177" s="7" t="s">
        <v>509</v>
      </c>
    </row>
    <row r="178" spans="1:7">
      <c r="A178" s="106"/>
      <c r="B178" s="5" t="s">
        <v>196</v>
      </c>
      <c r="C178" s="6"/>
      <c r="D178" s="7" t="s">
        <v>510</v>
      </c>
    </row>
    <row r="179" spans="1:7">
      <c r="A179" s="106"/>
      <c r="B179" s="5" t="s">
        <v>190</v>
      </c>
      <c r="C179" s="6"/>
      <c r="D179" s="7" t="s">
        <v>511</v>
      </c>
    </row>
    <row r="180" spans="1:7">
      <c r="A180" s="106"/>
      <c r="B180" s="5" t="s">
        <v>189</v>
      </c>
      <c r="C180" s="6"/>
      <c r="D180" s="7" t="s">
        <v>512</v>
      </c>
    </row>
    <row r="181" spans="1:7">
      <c r="A181" s="106"/>
      <c r="B181" s="5" t="s">
        <v>186</v>
      </c>
      <c r="C181" s="6"/>
      <c r="D181" s="7" t="s">
        <v>513</v>
      </c>
    </row>
    <row r="182" spans="1:7">
      <c r="A182" s="106"/>
      <c r="B182" s="5" t="s">
        <v>187</v>
      </c>
      <c r="C182" s="3" t="s">
        <v>676</v>
      </c>
      <c r="D182" s="7" t="s">
        <v>514</v>
      </c>
      <c r="E182" s="3">
        <f>1825/2</f>
        <v>912.5</v>
      </c>
      <c r="F182" s="8">
        <f>E182/SUM(E$182:E$184)</f>
        <v>0.4466470876162506</v>
      </c>
      <c r="G182" s="104" t="s">
        <v>938</v>
      </c>
    </row>
    <row r="183" spans="1:7">
      <c r="A183" s="106"/>
      <c r="B183" s="5" t="s">
        <v>191</v>
      </c>
      <c r="C183" s="3" t="s">
        <v>675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  <c r="G183" s="104" t="s">
        <v>938</v>
      </c>
    </row>
    <row r="184" spans="1:7">
      <c r="A184" s="106"/>
      <c r="B184" s="5" t="s">
        <v>192</v>
      </c>
      <c r="C184" s="3" t="s">
        <v>674</v>
      </c>
      <c r="D184" s="7" t="s">
        <v>516</v>
      </c>
      <c r="E184" s="3">
        <f>1351/2</f>
        <v>675.5</v>
      </c>
      <c r="F184" s="8">
        <f t="shared" si="7"/>
        <v>0.33064121390112577</v>
      </c>
      <c r="G184" s="104" t="s">
        <v>938</v>
      </c>
    </row>
    <row r="185" spans="1:7">
      <c r="A185" s="106" t="s">
        <v>18</v>
      </c>
      <c r="B185" s="5" t="s">
        <v>206</v>
      </c>
      <c r="C185" s="6"/>
      <c r="D185" s="7" t="s">
        <v>517</v>
      </c>
    </row>
    <row r="186" spans="1:7">
      <c r="A186" s="106"/>
      <c r="B186" s="5" t="s">
        <v>204</v>
      </c>
      <c r="C186" s="6" t="s">
        <v>659</v>
      </c>
      <c r="D186" s="7" t="s">
        <v>518</v>
      </c>
      <c r="E186" s="3">
        <f>500/2</f>
        <v>250</v>
      </c>
      <c r="F186" s="8">
        <v>1</v>
      </c>
      <c r="G186" s="104" t="s">
        <v>938</v>
      </c>
    </row>
    <row r="187" spans="1:7">
      <c r="A187" s="106"/>
      <c r="B187" s="5" t="s">
        <v>203</v>
      </c>
      <c r="C187" s="6"/>
      <c r="D187" s="7" t="s">
        <v>519</v>
      </c>
    </row>
    <row r="188" spans="1:7">
      <c r="A188" s="106"/>
      <c r="B188" s="5" t="s">
        <v>205</v>
      </c>
      <c r="C188" s="6"/>
      <c r="D188" s="7" t="s">
        <v>520</v>
      </c>
    </row>
    <row r="189" spans="1:7">
      <c r="A189" s="106"/>
      <c r="B189" s="5" t="s">
        <v>200</v>
      </c>
      <c r="C189" s="6"/>
      <c r="D189" s="7" t="s">
        <v>521</v>
      </c>
    </row>
    <row r="190" spans="1:7">
      <c r="A190" s="106"/>
      <c r="B190" s="5" t="s">
        <v>202</v>
      </c>
      <c r="C190" s="6"/>
      <c r="D190" s="7" t="s">
        <v>522</v>
      </c>
    </row>
    <row r="191" spans="1:7">
      <c r="A191" s="106"/>
      <c r="B191" s="5" t="s">
        <v>201</v>
      </c>
      <c r="C191" s="6"/>
      <c r="D191" s="7" t="s">
        <v>523</v>
      </c>
    </row>
    <row r="192" spans="1:7">
      <c r="A192" s="106"/>
      <c r="B192" s="5" t="s">
        <v>199</v>
      </c>
      <c r="C192" s="6"/>
      <c r="D192" s="7" t="s">
        <v>524</v>
      </c>
    </row>
    <row r="193" spans="1:4">
      <c r="A193" s="106"/>
      <c r="B193" s="5" t="s">
        <v>198</v>
      </c>
      <c r="C193" s="6"/>
      <c r="D193" s="7" t="s">
        <v>525</v>
      </c>
    </row>
    <row r="194" spans="1:4">
      <c r="A194" s="106" t="s">
        <v>19</v>
      </c>
      <c r="B194" s="5" t="s">
        <v>219</v>
      </c>
      <c r="C194" s="6"/>
      <c r="D194" s="7" t="s">
        <v>526</v>
      </c>
    </row>
    <row r="195" spans="1:4">
      <c r="A195" s="106"/>
      <c r="B195" s="5" t="s">
        <v>210</v>
      </c>
      <c r="C195" s="6"/>
      <c r="D195" s="7" t="s">
        <v>527</v>
      </c>
    </row>
    <row r="196" spans="1:4">
      <c r="A196" s="106"/>
      <c r="B196" s="5" t="s">
        <v>221</v>
      </c>
      <c r="C196" s="6"/>
      <c r="D196" s="7" t="s">
        <v>528</v>
      </c>
    </row>
    <row r="197" spans="1:4">
      <c r="A197" s="106"/>
      <c r="B197" s="5" t="s">
        <v>207</v>
      </c>
      <c r="C197" s="6"/>
      <c r="D197" s="7" t="s">
        <v>529</v>
      </c>
    </row>
    <row r="198" spans="1:4">
      <c r="A198" s="106"/>
      <c r="B198" s="5" t="s">
        <v>216</v>
      </c>
      <c r="C198" s="6"/>
      <c r="D198" s="7" t="s">
        <v>530</v>
      </c>
    </row>
    <row r="199" spans="1:4">
      <c r="A199" s="106"/>
      <c r="B199" s="5" t="s">
        <v>218</v>
      </c>
      <c r="C199" s="6"/>
      <c r="D199" s="7" t="s">
        <v>531</v>
      </c>
    </row>
    <row r="200" spans="1:4">
      <c r="A200" s="106"/>
      <c r="B200" s="5" t="s">
        <v>213</v>
      </c>
      <c r="C200" s="6"/>
      <c r="D200" s="7" t="s">
        <v>532</v>
      </c>
    </row>
    <row r="201" spans="1:4">
      <c r="A201" s="106"/>
      <c r="B201" s="5" t="s">
        <v>220</v>
      </c>
      <c r="C201" s="6"/>
      <c r="D201" s="7" t="s">
        <v>533</v>
      </c>
    </row>
    <row r="202" spans="1:4">
      <c r="A202" s="106"/>
      <c r="B202" s="5" t="s">
        <v>208</v>
      </c>
      <c r="C202" s="6"/>
      <c r="D202" s="7" t="s">
        <v>534</v>
      </c>
    </row>
    <row r="203" spans="1:4">
      <c r="A203" s="106"/>
      <c r="B203" s="5" t="s">
        <v>211</v>
      </c>
      <c r="C203" s="6"/>
      <c r="D203" s="7" t="s">
        <v>535</v>
      </c>
    </row>
    <row r="204" spans="1:4">
      <c r="A204" s="106"/>
      <c r="B204" s="5" t="s">
        <v>223</v>
      </c>
      <c r="C204" s="6"/>
      <c r="D204" s="7" t="s">
        <v>536</v>
      </c>
    </row>
    <row r="205" spans="1:4">
      <c r="A205" s="106"/>
      <c r="B205" s="5" t="s">
        <v>222</v>
      </c>
      <c r="C205" s="6"/>
      <c r="D205" s="7" t="s">
        <v>537</v>
      </c>
    </row>
    <row r="206" spans="1:4">
      <c r="A206" s="106"/>
      <c r="B206" s="5" t="s">
        <v>217</v>
      </c>
      <c r="C206" s="6"/>
      <c r="D206" s="7" t="s">
        <v>538</v>
      </c>
    </row>
    <row r="207" spans="1:4">
      <c r="A207" s="106"/>
      <c r="B207" s="5" t="s">
        <v>209</v>
      </c>
      <c r="C207" s="6"/>
      <c r="D207" s="7" t="s">
        <v>539</v>
      </c>
    </row>
    <row r="208" spans="1:4">
      <c r="A208" s="106"/>
      <c r="B208" s="5" t="s">
        <v>212</v>
      </c>
      <c r="C208" s="6"/>
      <c r="D208" s="7" t="s">
        <v>540</v>
      </c>
    </row>
    <row r="209" spans="1:7">
      <c r="A209" s="106"/>
      <c r="B209" s="5" t="s">
        <v>214</v>
      </c>
      <c r="C209" s="6"/>
      <c r="D209" s="7" t="s">
        <v>541</v>
      </c>
    </row>
    <row r="210" spans="1:7">
      <c r="A210" s="106"/>
      <c r="B210" s="5" t="s">
        <v>215</v>
      </c>
      <c r="C210" s="3" t="s">
        <v>673</v>
      </c>
      <c r="D210" s="7" t="s">
        <v>542</v>
      </c>
      <c r="E210" s="3">
        <f>700/2</f>
        <v>350</v>
      </c>
      <c r="F210" s="8">
        <v>1</v>
      </c>
      <c r="G210" s="104" t="s">
        <v>938</v>
      </c>
    </row>
    <row r="211" spans="1:7">
      <c r="A211" s="106" t="s">
        <v>20</v>
      </c>
      <c r="B211" s="5" t="s">
        <v>226</v>
      </c>
      <c r="C211" s="6"/>
      <c r="D211" s="7" t="s">
        <v>543</v>
      </c>
    </row>
    <row r="212" spans="1:7">
      <c r="A212" s="106"/>
      <c r="B212" s="5" t="s">
        <v>225</v>
      </c>
      <c r="C212" s="6"/>
      <c r="D212" s="7" t="s">
        <v>544</v>
      </c>
    </row>
    <row r="213" spans="1:7">
      <c r="A213" s="106"/>
      <c r="B213" s="5" t="s">
        <v>228</v>
      </c>
      <c r="C213" s="6"/>
      <c r="D213" s="7" t="s">
        <v>545</v>
      </c>
    </row>
    <row r="214" spans="1:7">
      <c r="A214" s="106"/>
      <c r="B214" s="5" t="s">
        <v>224</v>
      </c>
      <c r="C214" s="6"/>
      <c r="D214" s="7" t="s">
        <v>546</v>
      </c>
    </row>
    <row r="215" spans="1:7">
      <c r="A215" s="106"/>
      <c r="B215" s="5" t="s">
        <v>227</v>
      </c>
      <c r="C215" s="3" t="s">
        <v>672</v>
      </c>
      <c r="D215" s="7" t="s">
        <v>547</v>
      </c>
      <c r="E215" s="3">
        <f>1000/2</f>
        <v>500</v>
      </c>
      <c r="F215" s="8">
        <v>1</v>
      </c>
      <c r="G215" s="104" t="s">
        <v>938</v>
      </c>
    </row>
    <row r="216" spans="1:7">
      <c r="A216" s="106"/>
      <c r="B216" s="5" t="s">
        <v>548</v>
      </c>
      <c r="C216" s="6"/>
      <c r="D216" s="7" t="s">
        <v>549</v>
      </c>
    </row>
    <row r="217" spans="1:7">
      <c r="A217" s="106"/>
      <c r="B217" s="5" t="s">
        <v>550</v>
      </c>
      <c r="C217" s="6"/>
      <c r="D217" s="7" t="s">
        <v>551</v>
      </c>
    </row>
    <row r="218" spans="1:7">
      <c r="A218" s="106" t="s">
        <v>21</v>
      </c>
      <c r="B218" s="5" t="s">
        <v>231</v>
      </c>
      <c r="C218" s="6"/>
      <c r="D218" s="7" t="s">
        <v>552</v>
      </c>
      <c r="F218" s="8">
        <f>1/ROWS(B218:B225)</f>
        <v>0.125</v>
      </c>
      <c r="G218" s="109" t="s">
        <v>925</v>
      </c>
    </row>
    <row r="219" spans="1:7">
      <c r="A219" s="106"/>
      <c r="B219" s="5" t="s">
        <v>236</v>
      </c>
      <c r="C219" s="6"/>
      <c r="D219" s="7" t="s">
        <v>553</v>
      </c>
      <c r="F219" s="8">
        <f>1/ROWS(B219:B226)</f>
        <v>0.125</v>
      </c>
      <c r="G219" s="109" t="s">
        <v>925</v>
      </c>
    </row>
    <row r="220" spans="1:7">
      <c r="A220" s="106"/>
      <c r="B220" s="5" t="s">
        <v>232</v>
      </c>
      <c r="C220" s="6"/>
      <c r="D220" s="7" t="s">
        <v>554</v>
      </c>
      <c r="F220" s="8">
        <f t="shared" ref="F220:F225" si="8">1/ROWS(B220:B227)</f>
        <v>0.125</v>
      </c>
      <c r="G220" s="109" t="s">
        <v>925</v>
      </c>
    </row>
    <row r="221" spans="1:7">
      <c r="A221" s="106"/>
      <c r="B221" s="5" t="s">
        <v>230</v>
      </c>
      <c r="C221" s="6"/>
      <c r="D221" s="7" t="s">
        <v>555</v>
      </c>
      <c r="F221" s="8">
        <f t="shared" si="8"/>
        <v>0.125</v>
      </c>
      <c r="G221" s="109" t="s">
        <v>925</v>
      </c>
    </row>
    <row r="222" spans="1:7">
      <c r="A222" s="106"/>
      <c r="B222" s="5" t="s">
        <v>234</v>
      </c>
      <c r="C222" s="6"/>
      <c r="D222" s="7" t="s">
        <v>556</v>
      </c>
      <c r="F222" s="8">
        <f t="shared" si="8"/>
        <v>0.125</v>
      </c>
      <c r="G222" s="109" t="s">
        <v>925</v>
      </c>
    </row>
    <row r="223" spans="1:7">
      <c r="A223" s="106"/>
      <c r="B223" s="5" t="s">
        <v>233</v>
      </c>
      <c r="C223" s="6"/>
      <c r="D223" s="7" t="s">
        <v>557</v>
      </c>
      <c r="F223" s="8">
        <f t="shared" si="8"/>
        <v>0.125</v>
      </c>
      <c r="G223" s="109" t="s">
        <v>925</v>
      </c>
    </row>
    <row r="224" spans="1:7">
      <c r="A224" s="106"/>
      <c r="B224" s="5" t="s">
        <v>229</v>
      </c>
      <c r="C224" s="6"/>
      <c r="D224" s="7" t="s">
        <v>558</v>
      </c>
      <c r="F224" s="8">
        <f t="shared" si="8"/>
        <v>0.125</v>
      </c>
      <c r="G224" s="109" t="s">
        <v>925</v>
      </c>
    </row>
    <row r="225" spans="1:7">
      <c r="A225" s="106"/>
      <c r="B225" s="5" t="s">
        <v>235</v>
      </c>
      <c r="C225" s="6"/>
      <c r="D225" s="7" t="s">
        <v>559</v>
      </c>
      <c r="F225" s="8">
        <f t="shared" si="8"/>
        <v>0.125</v>
      </c>
      <c r="G225" s="109" t="s">
        <v>925</v>
      </c>
    </row>
    <row r="226" spans="1:7">
      <c r="A226" s="106" t="s">
        <v>22</v>
      </c>
      <c r="B226" s="5" t="s">
        <v>237</v>
      </c>
      <c r="C226" s="6"/>
      <c r="D226" s="7" t="s">
        <v>560</v>
      </c>
      <c r="F226" s="8">
        <f>1/ROWS(B226:B227)</f>
        <v>0.5</v>
      </c>
      <c r="G226" s="109" t="s">
        <v>925</v>
      </c>
    </row>
    <row r="227" spans="1:7">
      <c r="A227" s="106"/>
      <c r="B227" s="5" t="s">
        <v>238</v>
      </c>
      <c r="C227" s="6"/>
      <c r="D227" s="7" t="s">
        <v>561</v>
      </c>
      <c r="F227" s="8">
        <f>1/ROWS(B227:B228)</f>
        <v>0.5</v>
      </c>
      <c r="G227" s="109" t="s">
        <v>925</v>
      </c>
    </row>
    <row r="228" spans="1:7">
      <c r="A228" s="106" t="s">
        <v>23</v>
      </c>
      <c r="B228" s="5" t="s">
        <v>241</v>
      </c>
      <c r="C228" s="6" t="s">
        <v>671</v>
      </c>
      <c r="D228" s="7" t="s">
        <v>562</v>
      </c>
      <c r="E228" s="3">
        <f>220/2</f>
        <v>110</v>
      </c>
      <c r="F228" s="8">
        <v>1</v>
      </c>
      <c r="G228" s="104" t="s">
        <v>938</v>
      </c>
    </row>
    <row r="229" spans="1:7">
      <c r="A229" s="106"/>
      <c r="B229" s="5" t="s">
        <v>239</v>
      </c>
      <c r="C229" s="6"/>
      <c r="D229" s="7" t="s">
        <v>563</v>
      </c>
    </row>
    <row r="230" spans="1:7">
      <c r="A230" s="106"/>
      <c r="B230" s="5" t="s">
        <v>242</v>
      </c>
      <c r="C230" s="6"/>
      <c r="D230" s="7" t="s">
        <v>564</v>
      </c>
    </row>
    <row r="231" spans="1:7">
      <c r="A231" s="106"/>
      <c r="B231" s="5" t="s">
        <v>240</v>
      </c>
      <c r="C231" s="6"/>
      <c r="D231" s="7" t="s">
        <v>565</v>
      </c>
    </row>
    <row r="232" spans="1:7">
      <c r="A232" s="106" t="s">
        <v>24</v>
      </c>
      <c r="B232" s="5" t="s">
        <v>243</v>
      </c>
      <c r="C232" s="6"/>
      <c r="D232" s="7" t="s">
        <v>566</v>
      </c>
    </row>
    <row r="233" spans="1:7">
      <c r="A233" s="106"/>
      <c r="B233" s="5" t="s">
        <v>245</v>
      </c>
      <c r="C233" s="6" t="s">
        <v>660</v>
      </c>
      <c r="D233" s="7" t="s">
        <v>567</v>
      </c>
      <c r="E233" s="3">
        <f>420/2</f>
        <v>210</v>
      </c>
      <c r="F233" s="8">
        <v>1</v>
      </c>
      <c r="G233" s="104" t="s">
        <v>938</v>
      </c>
    </row>
    <row r="234" spans="1:7">
      <c r="A234" s="106"/>
      <c r="B234" s="5" t="s">
        <v>244</v>
      </c>
      <c r="C234" s="6"/>
      <c r="D234" s="7" t="s">
        <v>568</v>
      </c>
    </row>
    <row r="235" spans="1:7">
      <c r="A235" s="106"/>
      <c r="B235" s="5" t="s">
        <v>246</v>
      </c>
      <c r="C235" s="6"/>
      <c r="D235" s="7" t="s">
        <v>569</v>
      </c>
    </row>
    <row r="236" spans="1:7">
      <c r="A236" s="106"/>
      <c r="B236" s="5" t="s">
        <v>570</v>
      </c>
      <c r="C236" s="6"/>
      <c r="D236" s="7" t="s">
        <v>571</v>
      </c>
    </row>
    <row r="237" spans="1:7">
      <c r="A237" s="106" t="s">
        <v>25</v>
      </c>
      <c r="B237" s="5" t="s">
        <v>247</v>
      </c>
      <c r="C237" s="6"/>
      <c r="D237" s="7" t="s">
        <v>572</v>
      </c>
    </row>
    <row r="238" spans="1:7">
      <c r="A238" s="106"/>
      <c r="B238" s="5" t="s">
        <v>248</v>
      </c>
      <c r="C238" s="6"/>
      <c r="D238" s="7" t="s">
        <v>573</v>
      </c>
    </row>
    <row r="239" spans="1:7">
      <c r="A239" s="106"/>
      <c r="B239" s="5" t="s">
        <v>252</v>
      </c>
      <c r="C239" s="6"/>
      <c r="D239" s="7" t="s">
        <v>574</v>
      </c>
    </row>
    <row r="240" spans="1:7">
      <c r="A240" s="106"/>
      <c r="B240" s="5" t="s">
        <v>254</v>
      </c>
      <c r="C240" s="6"/>
      <c r="D240" s="7" t="s">
        <v>575</v>
      </c>
    </row>
    <row r="241" spans="1:7">
      <c r="A241" s="106"/>
      <c r="B241" s="5" t="s">
        <v>251</v>
      </c>
      <c r="C241" s="3" t="s">
        <v>667</v>
      </c>
      <c r="D241" s="7" t="s">
        <v>576</v>
      </c>
      <c r="E241" s="3">
        <f>625/2</f>
        <v>312.5</v>
      </c>
      <c r="F241" s="8">
        <v>1</v>
      </c>
      <c r="G241" s="104" t="s">
        <v>938</v>
      </c>
    </row>
    <row r="242" spans="1:7">
      <c r="A242" s="106"/>
      <c r="B242" s="5" t="s">
        <v>253</v>
      </c>
      <c r="C242" s="6"/>
      <c r="D242" s="7" t="s">
        <v>577</v>
      </c>
    </row>
    <row r="243" spans="1:7">
      <c r="A243" s="106"/>
      <c r="B243" s="5" t="s">
        <v>250</v>
      </c>
      <c r="C243" s="6"/>
      <c r="D243" s="7" t="s">
        <v>578</v>
      </c>
    </row>
    <row r="244" spans="1:7">
      <c r="A244" s="106"/>
      <c r="B244" s="5" t="s">
        <v>249</v>
      </c>
      <c r="C244" s="6"/>
      <c r="D244" s="7" t="s">
        <v>579</v>
      </c>
    </row>
    <row r="245" spans="1:7">
      <c r="A245" s="106" t="s">
        <v>26</v>
      </c>
      <c r="B245" s="5" t="s">
        <v>294</v>
      </c>
      <c r="C245" s="3" t="s">
        <v>670</v>
      </c>
      <c r="D245" s="7" t="s">
        <v>580</v>
      </c>
      <c r="E245" s="3">
        <f>865/2</f>
        <v>432.5</v>
      </c>
      <c r="F245" s="8">
        <f>E245/(E245+E282)</f>
        <v>0.37044967880085655</v>
      </c>
      <c r="G245" s="104" t="s">
        <v>938</v>
      </c>
    </row>
    <row r="246" spans="1:7">
      <c r="A246" s="106"/>
      <c r="B246" s="5" t="s">
        <v>268</v>
      </c>
      <c r="C246" s="6"/>
      <c r="D246" s="7" t="s">
        <v>581</v>
      </c>
    </row>
    <row r="247" spans="1:7">
      <c r="A247" s="106"/>
      <c r="B247" s="5" t="s">
        <v>280</v>
      </c>
      <c r="C247" s="6"/>
      <c r="D247" s="7" t="s">
        <v>582</v>
      </c>
    </row>
    <row r="248" spans="1:7">
      <c r="A248" s="106"/>
      <c r="B248" s="5" t="s">
        <v>270</v>
      </c>
      <c r="C248" s="6"/>
      <c r="D248" s="7" t="s">
        <v>583</v>
      </c>
    </row>
    <row r="249" spans="1:7">
      <c r="A249" s="106"/>
      <c r="B249" s="5" t="s">
        <v>285</v>
      </c>
      <c r="C249" s="6"/>
      <c r="D249" s="7" t="s">
        <v>584</v>
      </c>
    </row>
    <row r="250" spans="1:7">
      <c r="A250" s="106"/>
      <c r="B250" s="5" t="s">
        <v>264</v>
      </c>
      <c r="C250" s="6"/>
      <c r="D250" s="7" t="s">
        <v>585</v>
      </c>
    </row>
    <row r="251" spans="1:7">
      <c r="A251" s="106"/>
      <c r="B251" s="5" t="s">
        <v>269</v>
      </c>
      <c r="C251" s="6"/>
      <c r="D251" s="7" t="s">
        <v>586</v>
      </c>
    </row>
    <row r="252" spans="1:7" ht="30">
      <c r="A252" s="106"/>
      <c r="B252" s="5" t="s">
        <v>277</v>
      </c>
      <c r="C252" s="6"/>
      <c r="D252" s="7" t="s">
        <v>587</v>
      </c>
    </row>
    <row r="253" spans="1:7">
      <c r="A253" s="106"/>
      <c r="B253" s="5" t="s">
        <v>295</v>
      </c>
      <c r="C253" s="6"/>
      <c r="D253" s="7" t="s">
        <v>588</v>
      </c>
    </row>
    <row r="254" spans="1:7">
      <c r="A254" s="106"/>
      <c r="B254" s="5" t="s">
        <v>266</v>
      </c>
      <c r="C254" s="6"/>
      <c r="D254" s="7" t="s">
        <v>589</v>
      </c>
    </row>
    <row r="255" spans="1:7">
      <c r="A255" s="106"/>
      <c r="B255" s="5" t="s">
        <v>263</v>
      </c>
      <c r="C255" s="6"/>
      <c r="D255" s="7" t="s">
        <v>590</v>
      </c>
    </row>
    <row r="256" spans="1:7">
      <c r="A256" s="106"/>
      <c r="B256" s="5" t="s">
        <v>279</v>
      </c>
      <c r="C256" s="6"/>
      <c r="D256" s="7" t="s">
        <v>591</v>
      </c>
    </row>
    <row r="257" spans="1:4" ht="30">
      <c r="A257" s="106"/>
      <c r="B257" s="5" t="s">
        <v>272</v>
      </c>
      <c r="C257" s="6"/>
      <c r="D257" s="7" t="s">
        <v>592</v>
      </c>
    </row>
    <row r="258" spans="1:4">
      <c r="A258" s="106"/>
      <c r="B258" s="5" t="s">
        <v>271</v>
      </c>
      <c r="C258" s="6"/>
      <c r="D258" s="7" t="s">
        <v>593</v>
      </c>
    </row>
    <row r="259" spans="1:4" ht="30">
      <c r="A259" s="106"/>
      <c r="B259" s="5" t="s">
        <v>275</v>
      </c>
      <c r="C259" s="6"/>
      <c r="D259" s="7" t="s">
        <v>594</v>
      </c>
    </row>
    <row r="260" spans="1:4">
      <c r="A260" s="106"/>
      <c r="B260" s="5" t="s">
        <v>267</v>
      </c>
      <c r="C260" s="6"/>
      <c r="D260" s="7" t="s">
        <v>595</v>
      </c>
    </row>
    <row r="261" spans="1:4">
      <c r="A261" s="106"/>
      <c r="B261" s="5" t="s">
        <v>274</v>
      </c>
      <c r="C261" s="6"/>
      <c r="D261" s="7" t="s">
        <v>596</v>
      </c>
    </row>
    <row r="262" spans="1:4">
      <c r="A262" s="106"/>
      <c r="B262" s="5" t="s">
        <v>282</v>
      </c>
      <c r="C262" s="6"/>
      <c r="D262" s="7" t="s">
        <v>597</v>
      </c>
    </row>
    <row r="263" spans="1:4">
      <c r="A263" s="106"/>
      <c r="B263" s="5" t="s">
        <v>287</v>
      </c>
      <c r="C263" s="6"/>
      <c r="D263" s="7" t="s">
        <v>598</v>
      </c>
    </row>
    <row r="264" spans="1:4">
      <c r="A264" s="106"/>
      <c r="B264" s="5" t="s">
        <v>265</v>
      </c>
      <c r="C264" s="6"/>
      <c r="D264" s="7" t="s">
        <v>599</v>
      </c>
    </row>
    <row r="265" spans="1:4">
      <c r="A265" s="106"/>
      <c r="B265" s="5" t="s">
        <v>293</v>
      </c>
      <c r="C265" s="6"/>
      <c r="D265" s="7" t="s">
        <v>600</v>
      </c>
    </row>
    <row r="266" spans="1:4">
      <c r="A266" s="106"/>
      <c r="B266" s="5" t="s">
        <v>292</v>
      </c>
      <c r="C266" s="6"/>
      <c r="D266" s="7" t="s">
        <v>601</v>
      </c>
    </row>
    <row r="267" spans="1:4">
      <c r="A267" s="106"/>
      <c r="B267" s="5" t="s">
        <v>291</v>
      </c>
      <c r="C267" s="6"/>
      <c r="D267" s="7" t="s">
        <v>602</v>
      </c>
    </row>
    <row r="268" spans="1:4">
      <c r="A268" s="106"/>
      <c r="B268" s="5" t="s">
        <v>290</v>
      </c>
      <c r="C268" s="6"/>
      <c r="D268" s="7" t="s">
        <v>603</v>
      </c>
    </row>
    <row r="269" spans="1:4" ht="30">
      <c r="A269" s="106"/>
      <c r="B269" s="5" t="s">
        <v>289</v>
      </c>
      <c r="C269" s="6"/>
      <c r="D269" s="7" t="s">
        <v>604</v>
      </c>
    </row>
    <row r="270" spans="1:4" ht="30">
      <c r="A270" s="106"/>
      <c r="B270" s="5" t="s">
        <v>286</v>
      </c>
      <c r="C270" s="6"/>
      <c r="D270" s="7" t="s">
        <v>605</v>
      </c>
    </row>
    <row r="271" spans="1:4">
      <c r="A271" s="106"/>
      <c r="B271" s="5" t="s">
        <v>283</v>
      </c>
      <c r="C271" s="6"/>
      <c r="D271" s="7" t="s">
        <v>606</v>
      </c>
    </row>
    <row r="272" spans="1:4">
      <c r="A272" s="106"/>
      <c r="B272" s="5" t="s">
        <v>276</v>
      </c>
      <c r="C272" s="6"/>
      <c r="D272" s="7" t="s">
        <v>607</v>
      </c>
    </row>
    <row r="273" spans="1:7">
      <c r="A273" s="106"/>
      <c r="B273" s="5" t="s">
        <v>273</v>
      </c>
      <c r="C273" s="6"/>
      <c r="D273" s="7" t="s">
        <v>608</v>
      </c>
    </row>
    <row r="274" spans="1:7" ht="30">
      <c r="A274" s="106"/>
      <c r="B274" s="5" t="s">
        <v>288</v>
      </c>
      <c r="C274" s="6"/>
      <c r="D274" s="7" t="s">
        <v>609</v>
      </c>
    </row>
    <row r="275" spans="1:7">
      <c r="A275" s="106"/>
      <c r="B275" s="5" t="s">
        <v>284</v>
      </c>
      <c r="C275" s="6"/>
      <c r="D275" s="7" t="s">
        <v>610</v>
      </c>
    </row>
    <row r="276" spans="1:7">
      <c r="A276" s="106"/>
      <c r="B276" s="5" t="s">
        <v>281</v>
      </c>
      <c r="C276" s="6"/>
      <c r="D276" s="7" t="s">
        <v>611</v>
      </c>
    </row>
    <row r="277" spans="1:7">
      <c r="A277" s="106"/>
      <c r="B277" s="5" t="s">
        <v>278</v>
      </c>
      <c r="C277" s="6"/>
      <c r="D277" s="7" t="s">
        <v>612</v>
      </c>
    </row>
    <row r="278" spans="1:7">
      <c r="A278" s="106"/>
      <c r="B278" s="5" t="s">
        <v>255</v>
      </c>
      <c r="C278" s="6"/>
      <c r="D278" s="7" t="s">
        <v>613</v>
      </c>
    </row>
    <row r="279" spans="1:7">
      <c r="A279" s="106"/>
      <c r="B279" s="5" t="s">
        <v>256</v>
      </c>
      <c r="C279" s="6"/>
      <c r="D279" s="7" t="s">
        <v>614</v>
      </c>
    </row>
    <row r="280" spans="1:7">
      <c r="A280" s="106"/>
      <c r="B280" s="5" t="s">
        <v>261</v>
      </c>
      <c r="C280" s="6"/>
      <c r="D280" s="7" t="s">
        <v>615</v>
      </c>
    </row>
    <row r="281" spans="1:7">
      <c r="A281" s="106"/>
      <c r="B281" s="5" t="s">
        <v>259</v>
      </c>
      <c r="C281" s="6"/>
      <c r="D281" s="7" t="s">
        <v>616</v>
      </c>
    </row>
    <row r="282" spans="1:7" ht="30">
      <c r="A282" s="106"/>
      <c r="B282" s="5" t="s">
        <v>260</v>
      </c>
      <c r="C282" s="25" t="s">
        <v>669</v>
      </c>
      <c r="D282" s="7" t="s">
        <v>617</v>
      </c>
      <c r="E282" s="3">
        <f>(700+770)/2</f>
        <v>735</v>
      </c>
      <c r="F282" s="8">
        <f>E282/(E282+E245)</f>
        <v>0.62955032119914345</v>
      </c>
      <c r="G282" s="104" t="s">
        <v>938</v>
      </c>
    </row>
    <row r="283" spans="1:7">
      <c r="A283" s="106"/>
      <c r="B283" s="5" t="s">
        <v>258</v>
      </c>
      <c r="C283" s="6"/>
      <c r="D283" s="7" t="s">
        <v>618</v>
      </c>
    </row>
    <row r="284" spans="1:7">
      <c r="A284" s="106"/>
      <c r="B284" s="5" t="s">
        <v>257</v>
      </c>
      <c r="C284" s="6"/>
      <c r="D284" s="7" t="s">
        <v>619</v>
      </c>
    </row>
    <row r="285" spans="1:7">
      <c r="A285" s="106"/>
      <c r="B285" s="5" t="s">
        <v>262</v>
      </c>
      <c r="C285" s="6"/>
      <c r="D285" s="7" t="s">
        <v>620</v>
      </c>
    </row>
    <row r="286" spans="1:7">
      <c r="A286" s="106" t="s">
        <v>27</v>
      </c>
      <c r="B286" s="12" t="s">
        <v>298</v>
      </c>
      <c r="D286" s="11" t="s">
        <v>628</v>
      </c>
      <c r="F286" s="8">
        <f xml:space="preserve"> 1/ROWS(B286:B292)</f>
        <v>0.14285714285714285</v>
      </c>
      <c r="G286" s="3" t="s">
        <v>925</v>
      </c>
    </row>
    <row r="287" spans="1:7">
      <c r="A287" s="106"/>
      <c r="B287" s="11" t="s">
        <v>297</v>
      </c>
      <c r="D287" s="11" t="s">
        <v>629</v>
      </c>
      <c r="F287" s="8">
        <f xml:space="preserve"> 1/ROWS(B286:B292)</f>
        <v>0.14285714285714285</v>
      </c>
      <c r="G287" s="3" t="s">
        <v>925</v>
      </c>
    </row>
    <row r="288" spans="1:7">
      <c r="A288" s="106"/>
      <c r="B288" s="11" t="s">
        <v>299</v>
      </c>
      <c r="D288" s="11" t="s">
        <v>630</v>
      </c>
      <c r="F288" s="8">
        <f t="shared" ref="F288:F292" si="9" xml:space="preserve"> 1/ROWS(B287:B293)</f>
        <v>0.14285714285714285</v>
      </c>
      <c r="G288" s="3" t="s">
        <v>925</v>
      </c>
    </row>
    <row r="289" spans="1:7">
      <c r="A289" s="106"/>
      <c r="B289" s="5" t="s">
        <v>624</v>
      </c>
      <c r="D289" s="11" t="s">
        <v>631</v>
      </c>
      <c r="F289" s="8">
        <f t="shared" si="9"/>
        <v>0.14285714285714285</v>
      </c>
      <c r="G289" s="3" t="s">
        <v>925</v>
      </c>
    </row>
    <row r="290" spans="1:7">
      <c r="A290" s="106"/>
      <c r="B290" s="12" t="s">
        <v>625</v>
      </c>
      <c r="D290" s="11" t="s">
        <v>632</v>
      </c>
      <c r="F290" s="8">
        <f t="shared" si="9"/>
        <v>0.14285714285714285</v>
      </c>
      <c r="G290" s="3" t="s">
        <v>925</v>
      </c>
    </row>
    <row r="291" spans="1:7">
      <c r="A291" s="106"/>
      <c r="B291" s="12" t="s">
        <v>626</v>
      </c>
      <c r="D291" s="11" t="s">
        <v>633</v>
      </c>
      <c r="F291" s="8">
        <f t="shared" si="9"/>
        <v>0.14285714285714285</v>
      </c>
      <c r="G291" s="3" t="s">
        <v>925</v>
      </c>
    </row>
    <row r="292" spans="1:7">
      <c r="A292" s="106"/>
      <c r="B292" s="12" t="s">
        <v>627</v>
      </c>
      <c r="D292" s="11" t="s">
        <v>634</v>
      </c>
      <c r="F292" s="8">
        <f t="shared" si="9"/>
        <v>0.14285714285714285</v>
      </c>
      <c r="G292" s="3" t="s">
        <v>925</v>
      </c>
    </row>
    <row r="293" spans="1:7">
      <c r="A293" s="106"/>
      <c r="B293" s="12" t="s">
        <v>302</v>
      </c>
      <c r="D293" s="11"/>
      <c r="F293" s="8">
        <f>F289*1.3/2.3</f>
        <v>8.0745341614906846E-2</v>
      </c>
    </row>
    <row r="294" spans="1:7">
      <c r="A294" s="106"/>
      <c r="B294" s="12" t="s">
        <v>301</v>
      </c>
      <c r="D294" s="11"/>
      <c r="F294" s="8">
        <f>F289*1/2.3</f>
        <v>6.2111801242236024E-2</v>
      </c>
    </row>
    <row r="295" spans="1:7">
      <c r="A295" s="106"/>
      <c r="B295" s="12" t="s">
        <v>300</v>
      </c>
      <c r="D295" s="11"/>
      <c r="F295" s="8">
        <f>F290</f>
        <v>0.14285714285714285</v>
      </c>
    </row>
    <row r="296" spans="1:7">
      <c r="A296" s="106"/>
      <c r="B296" s="12" t="s">
        <v>296</v>
      </c>
      <c r="D296" s="11"/>
      <c r="F296" s="8">
        <f>F291</f>
        <v>0.14285714285714285</v>
      </c>
    </row>
    <row r="297" spans="1:7">
      <c r="A297" s="106" t="s">
        <v>635</v>
      </c>
      <c r="B297" s="12" t="s">
        <v>305</v>
      </c>
      <c r="C297" s="13"/>
      <c r="D297" s="12" t="s">
        <v>636</v>
      </c>
      <c r="F297" s="8">
        <f t="shared" ref="F297:F303" si="10" xml:space="preserve"> 1/ROWS(B297:B303)</f>
        <v>0.14285714285714285</v>
      </c>
      <c r="G297" s="3" t="s">
        <v>925</v>
      </c>
    </row>
    <row r="298" spans="1:7">
      <c r="A298" s="106"/>
      <c r="B298" s="12" t="s">
        <v>307</v>
      </c>
      <c r="C298" s="13"/>
      <c r="D298" s="12" t="s">
        <v>637</v>
      </c>
      <c r="F298" s="8">
        <f t="shared" si="10"/>
        <v>0.14285714285714285</v>
      </c>
      <c r="G298" s="3" t="s">
        <v>925</v>
      </c>
    </row>
    <row r="299" spans="1:7">
      <c r="A299" s="106"/>
      <c r="B299" s="12" t="s">
        <v>309</v>
      </c>
      <c r="C299" s="13"/>
      <c r="D299" s="12" t="s">
        <v>638</v>
      </c>
      <c r="F299" s="8">
        <f t="shared" si="10"/>
        <v>0.14285714285714285</v>
      </c>
      <c r="G299" s="3" t="s">
        <v>925</v>
      </c>
    </row>
    <row r="300" spans="1:7">
      <c r="A300" s="106"/>
      <c r="B300" s="12" t="s">
        <v>303</v>
      </c>
      <c r="C300" s="13"/>
      <c r="D300" s="12" t="s">
        <v>639</v>
      </c>
      <c r="F300" s="8">
        <f t="shared" si="10"/>
        <v>0.14285714285714285</v>
      </c>
      <c r="G300" s="3" t="s">
        <v>925</v>
      </c>
    </row>
    <row r="301" spans="1:7">
      <c r="A301" s="106"/>
      <c r="B301" s="12" t="s">
        <v>308</v>
      </c>
      <c r="C301" s="13"/>
      <c r="D301" s="12" t="s">
        <v>640</v>
      </c>
      <c r="F301" s="8">
        <f t="shared" si="10"/>
        <v>0.14285714285714285</v>
      </c>
      <c r="G301" s="3" t="s">
        <v>925</v>
      </c>
    </row>
    <row r="302" spans="1:7">
      <c r="A302" s="106"/>
      <c r="B302" s="12" t="s">
        <v>304</v>
      </c>
      <c r="C302" s="13"/>
      <c r="D302" s="12" t="s">
        <v>641</v>
      </c>
      <c r="F302" s="8">
        <f t="shared" si="10"/>
        <v>0.14285714285714285</v>
      </c>
      <c r="G302" s="3" t="s">
        <v>925</v>
      </c>
    </row>
    <row r="303" spans="1:7">
      <c r="A303" s="106"/>
      <c r="B303" s="12" t="s">
        <v>306</v>
      </c>
      <c r="C303" s="13"/>
      <c r="D303" s="12" t="s">
        <v>642</v>
      </c>
      <c r="F303" s="8">
        <f t="shared" si="10"/>
        <v>0.14285714285714285</v>
      </c>
      <c r="G303" s="3" t="s">
        <v>925</v>
      </c>
    </row>
    <row r="304" spans="1:7">
      <c r="A304" s="26" t="s">
        <v>28</v>
      </c>
      <c r="B304" s="28" t="s">
        <v>310</v>
      </c>
      <c r="C304" s="27"/>
      <c r="D304" s="28" t="s">
        <v>643</v>
      </c>
      <c r="F304" s="8">
        <v>1</v>
      </c>
      <c r="G304" s="3" t="s">
        <v>925</v>
      </c>
    </row>
    <row r="305" spans="1:7">
      <c r="A305" s="24" t="s">
        <v>29</v>
      </c>
      <c r="B305" s="11" t="s">
        <v>311</v>
      </c>
      <c r="C305" s="7"/>
      <c r="D305" s="7" t="s">
        <v>644</v>
      </c>
      <c r="F305" s="8">
        <v>1</v>
      </c>
      <c r="G305" s="3" t="s">
        <v>925</v>
      </c>
    </row>
    <row r="306" spans="1:7">
      <c r="A306" s="106" t="s">
        <v>30</v>
      </c>
      <c r="B306" s="11" t="s">
        <v>33</v>
      </c>
      <c r="C306" s="7"/>
      <c r="D306" s="11" t="s">
        <v>645</v>
      </c>
      <c r="F306" s="8">
        <f xml:space="preserve"> 1/ROWS(B306:B308)</f>
        <v>0.33333333333333331</v>
      </c>
      <c r="G306" s="3" t="s">
        <v>925</v>
      </c>
    </row>
    <row r="307" spans="1:7">
      <c r="A307" s="106"/>
      <c r="B307" s="11" t="s">
        <v>34</v>
      </c>
      <c r="C307" s="7"/>
      <c r="D307" s="11" t="s">
        <v>646</v>
      </c>
      <c r="F307" s="8">
        <f t="shared" ref="F307:F308" si="11" xml:space="preserve"> 1/ROWS(B307:B309)</f>
        <v>0.33333333333333331</v>
      </c>
      <c r="G307" s="3" t="s">
        <v>925</v>
      </c>
    </row>
    <row r="308" spans="1:7">
      <c r="A308" s="106"/>
      <c r="B308" s="11" t="s">
        <v>35</v>
      </c>
      <c r="C308" s="7"/>
      <c r="D308" s="11" t="s">
        <v>647</v>
      </c>
      <c r="F308" s="8">
        <f t="shared" si="11"/>
        <v>0.33333333333333331</v>
      </c>
      <c r="G308" s="3" t="s">
        <v>925</v>
      </c>
    </row>
    <row r="309" spans="1:7">
      <c r="A309" s="106" t="s">
        <v>31</v>
      </c>
      <c r="B309" s="11" t="s">
        <v>315</v>
      </c>
      <c r="C309" s="7" t="s">
        <v>1011</v>
      </c>
      <c r="D309" s="11" t="s">
        <v>648</v>
      </c>
      <c r="E309" s="3">
        <v>200</v>
      </c>
      <c r="F309" s="8">
        <v>1</v>
      </c>
      <c r="G309" s="102" t="s">
        <v>948</v>
      </c>
    </row>
    <row r="310" spans="1:7">
      <c r="A310" s="106"/>
      <c r="B310" s="11" t="s">
        <v>314</v>
      </c>
      <c r="C310" s="7"/>
      <c r="D310" s="11" t="s">
        <v>649</v>
      </c>
      <c r="F310" s="8">
        <v>0</v>
      </c>
    </row>
    <row r="311" spans="1:7" ht="30">
      <c r="A311" s="106"/>
      <c r="B311" s="11" t="s">
        <v>313</v>
      </c>
      <c r="C311" s="7"/>
      <c r="D311" s="7" t="s">
        <v>650</v>
      </c>
      <c r="F311" s="8">
        <v>0</v>
      </c>
    </row>
    <row r="312" spans="1:7">
      <c r="A312" s="106"/>
      <c r="B312" s="11" t="s">
        <v>312</v>
      </c>
      <c r="C312" s="7"/>
      <c r="D312" s="7" t="s">
        <v>651</v>
      </c>
      <c r="F312" s="8">
        <v>0</v>
      </c>
    </row>
    <row r="313" spans="1:7">
      <c r="A313" s="26" t="s">
        <v>32</v>
      </c>
      <c r="B313" s="11" t="s">
        <v>1015</v>
      </c>
      <c r="F313" s="8">
        <v>1</v>
      </c>
      <c r="G313" s="3" t="s">
        <v>925</v>
      </c>
    </row>
    <row r="314" spans="1:7">
      <c r="A314" s="26" t="s">
        <v>1026</v>
      </c>
      <c r="B314" s="11" t="s">
        <v>654</v>
      </c>
      <c r="D314" s="3" t="s">
        <v>1026</v>
      </c>
      <c r="F314" s="8">
        <v>1</v>
      </c>
      <c r="G314" s="3" t="s">
        <v>925</v>
      </c>
    </row>
    <row r="315" spans="1:7">
      <c r="A315" s="26" t="s">
        <v>933</v>
      </c>
      <c r="B315" s="11" t="s">
        <v>653</v>
      </c>
      <c r="D315" s="3" t="s">
        <v>652</v>
      </c>
      <c r="F315" s="8">
        <v>1</v>
      </c>
      <c r="G315" s="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5"/>
  <sheetViews>
    <sheetView topLeftCell="A211" workbookViewId="0">
      <selection activeCell="G221" sqref="G221"/>
    </sheetView>
    <sheetView workbookViewId="1"/>
  </sheetViews>
  <sheetFormatPr baseColWidth="10" defaultColWidth="10.875" defaultRowHeight="15"/>
  <cols>
    <col min="1" max="1" width="19.625" style="3" bestFit="1" customWidth="1"/>
    <col min="2" max="2" width="6.375" style="3" bestFit="1" customWidth="1"/>
    <col min="3" max="3" width="17" style="3" bestFit="1" customWidth="1"/>
    <col min="4" max="4" width="30" style="3" bestFit="1" customWidth="1"/>
    <col min="5" max="5" width="22.875" style="3" bestFit="1" customWidth="1"/>
    <col min="6" max="6" width="10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>
      <c r="A1" s="22" t="s">
        <v>0</v>
      </c>
      <c r="B1" s="22" t="s">
        <v>1</v>
      </c>
      <c r="C1" s="22" t="s">
        <v>2</v>
      </c>
      <c r="D1" s="22" t="s">
        <v>655</v>
      </c>
      <c r="E1" s="22" t="s">
        <v>693</v>
      </c>
      <c r="F1" s="23" t="s">
        <v>689</v>
      </c>
      <c r="G1" s="2" t="s">
        <v>1182</v>
      </c>
      <c r="H1" s="2"/>
      <c r="I1" s="2"/>
    </row>
    <row r="2" spans="1:13" ht="30">
      <c r="A2" s="106" t="s">
        <v>3</v>
      </c>
      <c r="B2" s="5" t="s">
        <v>36</v>
      </c>
      <c r="C2" s="6"/>
      <c r="D2" s="7" t="s">
        <v>621</v>
      </c>
      <c r="M2" s="4"/>
    </row>
    <row r="3" spans="1:13">
      <c r="A3" s="106"/>
      <c r="B3" s="5" t="s">
        <v>46</v>
      </c>
      <c r="C3" s="6" t="s">
        <v>656</v>
      </c>
      <c r="D3" s="7" t="s">
        <v>316</v>
      </c>
      <c r="E3" s="3">
        <f>(1080+610+550)/2</f>
        <v>1120</v>
      </c>
      <c r="F3" s="8">
        <f>E3/(E3+E5)</f>
        <v>0.82352941176470584</v>
      </c>
      <c r="G3" s="104" t="s">
        <v>938</v>
      </c>
      <c r="J3" s="4"/>
      <c r="K3" s="9"/>
      <c r="M3" s="4"/>
    </row>
    <row r="4" spans="1:13">
      <c r="A4" s="106"/>
      <c r="B4" s="5" t="s">
        <v>40</v>
      </c>
      <c r="C4" s="6"/>
      <c r="D4" s="7" t="s">
        <v>317</v>
      </c>
      <c r="M4" s="4"/>
    </row>
    <row r="5" spans="1:13">
      <c r="A5" s="106"/>
      <c r="B5" s="5" t="s">
        <v>44</v>
      </c>
      <c r="C5" s="6" t="s">
        <v>657</v>
      </c>
      <c r="D5" s="7" t="s">
        <v>318</v>
      </c>
      <c r="E5" s="3">
        <f>480/2</f>
        <v>240</v>
      </c>
      <c r="F5" s="8">
        <f>E5/(E3+E5)</f>
        <v>0.17647058823529413</v>
      </c>
      <c r="G5" s="104" t="s">
        <v>938</v>
      </c>
      <c r="M5" s="4"/>
    </row>
    <row r="6" spans="1:13">
      <c r="A6" s="106"/>
      <c r="B6" s="5" t="s">
        <v>45</v>
      </c>
      <c r="C6" s="6"/>
      <c r="D6" s="7" t="s">
        <v>319</v>
      </c>
      <c r="M6" s="4"/>
    </row>
    <row r="7" spans="1:13">
      <c r="A7" s="106"/>
      <c r="B7" s="5" t="s">
        <v>37</v>
      </c>
      <c r="C7" s="6"/>
      <c r="D7" s="7" t="s">
        <v>320</v>
      </c>
      <c r="M7" s="4"/>
    </row>
    <row r="8" spans="1:13">
      <c r="A8" s="106"/>
      <c r="B8" s="5" t="s">
        <v>43</v>
      </c>
      <c r="C8" s="6"/>
      <c r="D8" s="7" t="s">
        <v>321</v>
      </c>
      <c r="M8" s="4"/>
    </row>
    <row r="9" spans="1:13">
      <c r="A9" s="106"/>
      <c r="B9" s="5" t="s">
        <v>42</v>
      </c>
      <c r="C9" s="6"/>
      <c r="D9" s="7" t="s">
        <v>322</v>
      </c>
      <c r="M9" s="4"/>
    </row>
    <row r="10" spans="1:13">
      <c r="A10" s="106"/>
      <c r="B10" s="5" t="s">
        <v>41</v>
      </c>
      <c r="C10" s="6"/>
      <c r="D10" s="7" t="s">
        <v>323</v>
      </c>
      <c r="M10" s="4"/>
    </row>
    <row r="11" spans="1:13">
      <c r="A11" s="106"/>
      <c r="B11" s="5" t="s">
        <v>39</v>
      </c>
      <c r="C11" s="6"/>
      <c r="D11" s="7" t="s">
        <v>324</v>
      </c>
      <c r="M11" s="4"/>
    </row>
    <row r="12" spans="1:13">
      <c r="A12" s="106"/>
      <c r="B12" s="5" t="s">
        <v>38</v>
      </c>
      <c r="C12" s="6"/>
      <c r="D12" s="7" t="s">
        <v>325</v>
      </c>
      <c r="M12" s="4"/>
    </row>
    <row r="13" spans="1:13">
      <c r="A13" s="106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3" t="s">
        <v>925</v>
      </c>
      <c r="M13" s="4"/>
    </row>
    <row r="14" spans="1:13">
      <c r="A14" s="106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3" t="s">
        <v>925</v>
      </c>
      <c r="M14" s="4"/>
    </row>
    <row r="15" spans="1:13">
      <c r="A15" s="106"/>
      <c r="B15" s="5" t="s">
        <v>50</v>
      </c>
      <c r="C15" s="6"/>
      <c r="D15" s="7" t="s">
        <v>328</v>
      </c>
      <c r="F15" s="8">
        <f t="shared" si="0"/>
        <v>0.16666666666666666</v>
      </c>
      <c r="G15" s="3" t="s">
        <v>925</v>
      </c>
      <c r="M15" s="4"/>
    </row>
    <row r="16" spans="1:13">
      <c r="A16" s="106"/>
      <c r="B16" s="5" t="s">
        <v>51</v>
      </c>
      <c r="C16" s="6"/>
      <c r="D16" s="7" t="s">
        <v>329</v>
      </c>
      <c r="F16" s="8">
        <f t="shared" si="0"/>
        <v>0.16666666666666666</v>
      </c>
      <c r="G16" s="3" t="s">
        <v>925</v>
      </c>
      <c r="M16" s="4"/>
    </row>
    <row r="17" spans="1:13">
      <c r="A17" s="106"/>
      <c r="B17" s="5" t="s">
        <v>52</v>
      </c>
      <c r="C17" s="6"/>
      <c r="D17" s="7" t="s">
        <v>330</v>
      </c>
      <c r="F17" s="8">
        <f t="shared" si="0"/>
        <v>0.16666666666666666</v>
      </c>
      <c r="G17" s="3" t="s">
        <v>925</v>
      </c>
      <c r="M17" s="4"/>
    </row>
    <row r="18" spans="1:13">
      <c r="A18" s="106"/>
      <c r="B18" s="5" t="s">
        <v>48</v>
      </c>
      <c r="C18" s="6"/>
      <c r="D18" s="7" t="s">
        <v>331</v>
      </c>
      <c r="F18" s="8">
        <f t="shared" si="0"/>
        <v>0.16666666666666666</v>
      </c>
      <c r="G18" s="3" t="s">
        <v>925</v>
      </c>
      <c r="M18" s="4"/>
    </row>
    <row r="19" spans="1:13">
      <c r="A19" s="106" t="s">
        <v>5</v>
      </c>
      <c r="B19" s="5" t="s">
        <v>54</v>
      </c>
      <c r="C19" s="6"/>
      <c r="D19" s="7" t="s">
        <v>332</v>
      </c>
      <c r="M19" s="4"/>
    </row>
    <row r="20" spans="1:13">
      <c r="A20" s="106"/>
      <c r="B20" s="5" t="s">
        <v>53</v>
      </c>
      <c r="C20" s="6"/>
      <c r="D20" s="7" t="s">
        <v>333</v>
      </c>
      <c r="M20" s="4"/>
    </row>
    <row r="21" spans="1:13">
      <c r="A21" s="106"/>
      <c r="B21" s="5" t="s">
        <v>60</v>
      </c>
      <c r="C21" s="6"/>
      <c r="D21" s="7" t="s">
        <v>334</v>
      </c>
      <c r="M21" s="4"/>
    </row>
    <row r="22" spans="1:13">
      <c r="A22" s="106"/>
      <c r="B22" s="5" t="s">
        <v>58</v>
      </c>
      <c r="C22" s="3" t="s">
        <v>658</v>
      </c>
      <c r="D22" s="7" t="s">
        <v>335</v>
      </c>
      <c r="E22" s="3">
        <f>544/2</f>
        <v>272</v>
      </c>
      <c r="F22" s="8">
        <v>1</v>
      </c>
      <c r="G22" s="104" t="s">
        <v>938</v>
      </c>
      <c r="M22" s="4"/>
    </row>
    <row r="23" spans="1:13">
      <c r="A23" s="106"/>
      <c r="B23" s="5" t="s">
        <v>57</v>
      </c>
      <c r="C23" s="6"/>
      <c r="D23" s="7" t="s">
        <v>336</v>
      </c>
      <c r="M23" s="4"/>
    </row>
    <row r="24" spans="1:13">
      <c r="A24" s="106"/>
      <c r="B24" s="5" t="s">
        <v>59</v>
      </c>
      <c r="C24" s="6"/>
      <c r="D24" s="7" t="s">
        <v>337</v>
      </c>
      <c r="M24" s="4"/>
    </row>
    <row r="25" spans="1:13">
      <c r="A25" s="106"/>
      <c r="B25" s="5" t="s">
        <v>55</v>
      </c>
      <c r="C25" s="6"/>
      <c r="D25" s="7" t="s">
        <v>338</v>
      </c>
      <c r="M25" s="4"/>
    </row>
    <row r="26" spans="1:13">
      <c r="A26" s="106"/>
      <c r="B26" s="5" t="s">
        <v>56</v>
      </c>
      <c r="C26" s="6"/>
      <c r="D26" s="7" t="s">
        <v>339</v>
      </c>
      <c r="M26" s="4"/>
    </row>
    <row r="27" spans="1:13">
      <c r="A27" s="106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3" t="s">
        <v>925</v>
      </c>
      <c r="M27" s="4"/>
    </row>
    <row r="28" spans="1:13">
      <c r="A28" s="106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3" t="s">
        <v>925</v>
      </c>
      <c r="M28" s="4"/>
    </row>
    <row r="29" spans="1:13">
      <c r="A29" s="106"/>
      <c r="B29" s="5" t="s">
        <v>63</v>
      </c>
      <c r="C29" s="6"/>
      <c r="D29" s="7" t="s">
        <v>342</v>
      </c>
      <c r="F29" s="8">
        <f t="shared" si="1"/>
        <v>0.2</v>
      </c>
      <c r="G29" s="3" t="s">
        <v>925</v>
      </c>
      <c r="M29" s="4"/>
    </row>
    <row r="30" spans="1:13">
      <c r="A30" s="106"/>
      <c r="B30" s="5" t="s">
        <v>65</v>
      </c>
      <c r="C30" s="6"/>
      <c r="D30" s="7" t="s">
        <v>343</v>
      </c>
      <c r="F30" s="8">
        <f t="shared" si="1"/>
        <v>0.2</v>
      </c>
      <c r="G30" s="3" t="s">
        <v>925</v>
      </c>
      <c r="M30" s="4"/>
    </row>
    <row r="31" spans="1:13">
      <c r="A31" s="106"/>
      <c r="B31" s="5" t="s">
        <v>62</v>
      </c>
      <c r="C31" s="6"/>
      <c r="D31" s="7" t="s">
        <v>344</v>
      </c>
      <c r="F31" s="8">
        <f t="shared" si="1"/>
        <v>0.2</v>
      </c>
      <c r="G31" s="3" t="s">
        <v>925</v>
      </c>
      <c r="M31" s="4"/>
    </row>
    <row r="32" spans="1:13">
      <c r="A32" s="106" t="s">
        <v>7</v>
      </c>
      <c r="B32" s="5" t="s">
        <v>101</v>
      </c>
      <c r="C32" s="6"/>
      <c r="D32" s="7" t="s">
        <v>345</v>
      </c>
      <c r="M32" s="4"/>
    </row>
    <row r="33" spans="1:13">
      <c r="A33" s="106"/>
      <c r="B33" s="5" t="s">
        <v>102</v>
      </c>
      <c r="C33" s="6"/>
      <c r="D33" s="7" t="s">
        <v>346</v>
      </c>
      <c r="M33" s="4"/>
    </row>
    <row r="34" spans="1:13">
      <c r="A34" s="106"/>
      <c r="B34" s="5" t="s">
        <v>103</v>
      </c>
      <c r="C34" s="6"/>
      <c r="D34" s="7" t="s">
        <v>347</v>
      </c>
      <c r="M34" s="4"/>
    </row>
    <row r="35" spans="1:13">
      <c r="A35" s="106"/>
      <c r="B35" s="5" t="s">
        <v>100</v>
      </c>
      <c r="C35" s="6"/>
      <c r="D35" s="7" t="s">
        <v>348</v>
      </c>
      <c r="M35" s="4"/>
    </row>
    <row r="36" spans="1:13" ht="30">
      <c r="A36" s="106"/>
      <c r="B36" s="5" t="s">
        <v>97</v>
      </c>
      <c r="C36" s="25" t="s">
        <v>686</v>
      </c>
      <c r="D36" s="7" t="s">
        <v>349</v>
      </c>
      <c r="E36" s="3">
        <f>(450+400)/2</f>
        <v>425</v>
      </c>
      <c r="F36" s="8">
        <f>E36/SUM($E$36:$E$68)</f>
        <v>0.15044247787610621</v>
      </c>
      <c r="G36" s="104" t="s">
        <v>938</v>
      </c>
      <c r="M36" s="4"/>
    </row>
    <row r="37" spans="1:13">
      <c r="A37" s="106"/>
      <c r="B37" s="5" t="s">
        <v>98</v>
      </c>
      <c r="C37" s="6"/>
      <c r="D37" s="7" t="s">
        <v>350</v>
      </c>
      <c r="M37" s="4"/>
    </row>
    <row r="38" spans="1:13">
      <c r="A38" s="106"/>
      <c r="B38" s="5" t="s">
        <v>95</v>
      </c>
      <c r="C38" s="6"/>
      <c r="D38" s="7" t="s">
        <v>351</v>
      </c>
      <c r="M38" s="4"/>
    </row>
    <row r="39" spans="1:13">
      <c r="A39" s="106"/>
      <c r="B39" s="5" t="s">
        <v>96</v>
      </c>
      <c r="C39" s="6"/>
      <c r="D39" s="7" t="s">
        <v>352</v>
      </c>
      <c r="M39" s="4"/>
    </row>
    <row r="40" spans="1:13">
      <c r="A40" s="106"/>
      <c r="B40" s="5" t="s">
        <v>99</v>
      </c>
      <c r="C40" s="6"/>
      <c r="D40" s="7" t="s">
        <v>353</v>
      </c>
      <c r="M40" s="4"/>
    </row>
    <row r="41" spans="1:13">
      <c r="A41" s="106"/>
      <c r="B41" s="5" t="s">
        <v>93</v>
      </c>
      <c r="C41" s="6"/>
      <c r="D41" s="7" t="s">
        <v>354</v>
      </c>
      <c r="M41" s="4"/>
    </row>
    <row r="42" spans="1:13">
      <c r="A42" s="106"/>
      <c r="B42" s="5" t="s">
        <v>94</v>
      </c>
      <c r="C42" s="6"/>
      <c r="D42" s="7" t="s">
        <v>355</v>
      </c>
      <c r="M42" s="4"/>
    </row>
    <row r="43" spans="1:13">
      <c r="A43" s="106"/>
      <c r="B43" s="5" t="s">
        <v>92</v>
      </c>
      <c r="C43" s="6"/>
      <c r="D43" s="7" t="s">
        <v>356</v>
      </c>
      <c r="M43" s="4"/>
    </row>
    <row r="44" spans="1:13">
      <c r="A44" s="106"/>
      <c r="B44" s="5" t="s">
        <v>91</v>
      </c>
      <c r="C44" s="6"/>
      <c r="D44" s="7" t="s">
        <v>357</v>
      </c>
      <c r="M44" s="4"/>
    </row>
    <row r="45" spans="1:13">
      <c r="A45" s="106"/>
      <c r="B45" s="5" t="s">
        <v>90</v>
      </c>
      <c r="C45" s="6"/>
      <c r="D45" s="7" t="s">
        <v>358</v>
      </c>
      <c r="M45" s="4"/>
    </row>
    <row r="46" spans="1:13">
      <c r="A46" s="106"/>
      <c r="B46" s="5" t="s">
        <v>89</v>
      </c>
      <c r="C46" s="6"/>
      <c r="D46" s="7" t="s">
        <v>359</v>
      </c>
      <c r="M46" s="4"/>
    </row>
    <row r="47" spans="1:13">
      <c r="A47" s="106"/>
      <c r="B47" s="5" t="s">
        <v>88</v>
      </c>
      <c r="C47" s="6"/>
      <c r="D47" s="7" t="s">
        <v>360</v>
      </c>
      <c r="M47" s="4"/>
    </row>
    <row r="48" spans="1:13">
      <c r="A48" s="106"/>
      <c r="B48" s="5" t="s">
        <v>87</v>
      </c>
      <c r="C48" s="6"/>
      <c r="D48" s="7" t="s">
        <v>361</v>
      </c>
      <c r="M48" s="4"/>
    </row>
    <row r="49" spans="1:13">
      <c r="A49" s="106"/>
      <c r="B49" s="5" t="s">
        <v>86</v>
      </c>
      <c r="C49" s="6"/>
      <c r="D49" s="7" t="s">
        <v>362</v>
      </c>
      <c r="M49" s="4"/>
    </row>
    <row r="50" spans="1:13">
      <c r="A50" s="106"/>
      <c r="B50" s="5" t="s">
        <v>85</v>
      </c>
      <c r="C50" s="6"/>
      <c r="D50" s="7" t="s">
        <v>363</v>
      </c>
      <c r="M50" s="4"/>
    </row>
    <row r="51" spans="1:13">
      <c r="A51" s="106"/>
      <c r="B51" s="5" t="s">
        <v>84</v>
      </c>
      <c r="C51" s="6"/>
      <c r="D51" s="7" t="s">
        <v>364</v>
      </c>
      <c r="M51" s="4"/>
    </row>
    <row r="52" spans="1:13">
      <c r="A52" s="106"/>
      <c r="B52" s="5" t="s">
        <v>83</v>
      </c>
      <c r="C52" s="6"/>
      <c r="D52" s="7" t="s">
        <v>365</v>
      </c>
      <c r="M52" s="4"/>
    </row>
    <row r="53" spans="1:13">
      <c r="A53" s="106"/>
      <c r="B53" s="5" t="s">
        <v>82</v>
      </c>
      <c r="C53" s="6"/>
      <c r="D53" s="7" t="s">
        <v>366</v>
      </c>
      <c r="M53" s="4"/>
    </row>
    <row r="54" spans="1:13">
      <c r="A54" s="106"/>
      <c r="B54" s="5" t="s">
        <v>81</v>
      </c>
      <c r="C54" s="6"/>
      <c r="D54" s="7" t="s">
        <v>367</v>
      </c>
      <c r="M54" s="4"/>
    </row>
    <row r="55" spans="1:13">
      <c r="A55" s="106"/>
      <c r="B55" s="5" t="s">
        <v>78</v>
      </c>
      <c r="C55" s="3" t="s">
        <v>683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G55" s="104" t="s">
        <v>938</v>
      </c>
      <c r="M55" s="4"/>
    </row>
    <row r="56" spans="1:13" ht="30">
      <c r="A56" s="106"/>
      <c r="B56" s="5" t="s">
        <v>77</v>
      </c>
      <c r="C56" s="25" t="s">
        <v>687</v>
      </c>
      <c r="D56" s="7" t="s">
        <v>369</v>
      </c>
      <c r="E56" s="3">
        <f>(1165+1040+260)/2</f>
        <v>1232.5</v>
      </c>
      <c r="F56" s="8">
        <f t="shared" si="2"/>
        <v>0.43628318584070797</v>
      </c>
      <c r="G56" s="104" t="s">
        <v>938</v>
      </c>
      <c r="M56" s="4"/>
    </row>
    <row r="57" spans="1:13">
      <c r="A57" s="106"/>
      <c r="B57" s="5" t="s">
        <v>76</v>
      </c>
      <c r="C57" s="6"/>
      <c r="D57" s="7" t="s">
        <v>370</v>
      </c>
      <c r="M57" s="4"/>
    </row>
    <row r="58" spans="1:13">
      <c r="A58" s="106"/>
      <c r="B58" s="5" t="s">
        <v>79</v>
      </c>
      <c r="C58" s="6"/>
      <c r="D58" s="7" t="s">
        <v>371</v>
      </c>
      <c r="M58" s="4"/>
    </row>
    <row r="59" spans="1:13">
      <c r="A59" s="106"/>
      <c r="B59" s="5" t="s">
        <v>80</v>
      </c>
      <c r="C59" s="6"/>
      <c r="D59" s="7" t="s">
        <v>372</v>
      </c>
      <c r="M59" s="4"/>
    </row>
    <row r="60" spans="1:13">
      <c r="A60" s="106"/>
      <c r="B60" s="5" t="s">
        <v>75</v>
      </c>
      <c r="C60" s="6"/>
      <c r="D60" s="7" t="s">
        <v>373</v>
      </c>
      <c r="M60" s="4"/>
    </row>
    <row r="61" spans="1:13">
      <c r="A61" s="106"/>
      <c r="B61" s="5" t="s">
        <v>73</v>
      </c>
      <c r="C61" s="6"/>
      <c r="D61" s="7" t="s">
        <v>374</v>
      </c>
      <c r="M61" s="4"/>
    </row>
    <row r="62" spans="1:13">
      <c r="A62" s="106"/>
      <c r="B62" s="5" t="s">
        <v>74</v>
      </c>
      <c r="C62" s="3" t="s">
        <v>685</v>
      </c>
      <c r="D62" s="7" t="s">
        <v>375</v>
      </c>
      <c r="E62" s="3">
        <f>620/2</f>
        <v>310</v>
      </c>
      <c r="F62" s="8">
        <f t="shared" si="2"/>
        <v>0.10973451327433628</v>
      </c>
      <c r="G62" s="104" t="s">
        <v>938</v>
      </c>
      <c r="M62" s="4"/>
    </row>
    <row r="63" spans="1:13">
      <c r="A63" s="106"/>
      <c r="B63" s="5" t="s">
        <v>72</v>
      </c>
      <c r="C63" s="6"/>
      <c r="D63" s="7" t="s">
        <v>376</v>
      </c>
      <c r="M63" s="4"/>
    </row>
    <row r="64" spans="1:13">
      <c r="A64" s="106"/>
      <c r="B64" s="5" t="s">
        <v>69</v>
      </c>
      <c r="C64" s="6"/>
      <c r="D64" s="7" t="s">
        <v>377</v>
      </c>
      <c r="M64" s="4"/>
    </row>
    <row r="65" spans="1:13">
      <c r="A65" s="106"/>
      <c r="B65" s="5" t="s">
        <v>70</v>
      </c>
      <c r="C65" s="6"/>
      <c r="D65" s="7" t="s">
        <v>378</v>
      </c>
      <c r="M65" s="4"/>
    </row>
    <row r="66" spans="1:13">
      <c r="A66" s="106"/>
      <c r="B66" s="5" t="s">
        <v>68</v>
      </c>
      <c r="C66" s="3" t="s">
        <v>681</v>
      </c>
      <c r="D66" s="7" t="s">
        <v>379</v>
      </c>
      <c r="E66" s="3">
        <f>565/2</f>
        <v>282.5</v>
      </c>
      <c r="F66" s="8">
        <f t="shared" si="2"/>
        <v>0.1</v>
      </c>
      <c r="G66" s="104" t="s">
        <v>938</v>
      </c>
      <c r="M66" s="4"/>
    </row>
    <row r="67" spans="1:13">
      <c r="A67" s="106"/>
      <c r="B67" s="5" t="s">
        <v>71</v>
      </c>
      <c r="C67" s="6"/>
      <c r="D67" s="7" t="s">
        <v>380</v>
      </c>
      <c r="M67" s="4"/>
    </row>
    <row r="68" spans="1:13">
      <c r="A68" s="106"/>
      <c r="B68" s="5" t="s">
        <v>67</v>
      </c>
      <c r="C68" s="3" t="s">
        <v>684</v>
      </c>
      <c r="D68" s="7" t="s">
        <v>381</v>
      </c>
      <c r="E68" s="3">
        <f>100/2</f>
        <v>50</v>
      </c>
      <c r="F68" s="8">
        <f t="shared" si="2"/>
        <v>1.7699115044247787E-2</v>
      </c>
      <c r="G68" s="104" t="s">
        <v>938</v>
      </c>
      <c r="M68" s="4"/>
    </row>
    <row r="69" spans="1:13">
      <c r="A69" s="106"/>
      <c r="B69" s="5" t="s">
        <v>66</v>
      </c>
      <c r="C69" s="6"/>
      <c r="D69" s="7" t="s">
        <v>382</v>
      </c>
      <c r="M69" s="4"/>
    </row>
    <row r="70" spans="1:13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925</v>
      </c>
      <c r="M70" s="4"/>
    </row>
    <row r="71" spans="1:13">
      <c r="A71" s="106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925</v>
      </c>
      <c r="M71" s="4"/>
    </row>
    <row r="72" spans="1:13">
      <c r="A72" s="106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925</v>
      </c>
      <c r="M72" s="4"/>
    </row>
    <row r="73" spans="1:13">
      <c r="A73" s="106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925</v>
      </c>
      <c r="M73" s="4"/>
    </row>
    <row r="74" spans="1:13">
      <c r="A74" s="106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925</v>
      </c>
      <c r="M74" s="4"/>
    </row>
    <row r="75" spans="1:13">
      <c r="A75" s="106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925</v>
      </c>
      <c r="M75" s="4"/>
    </row>
    <row r="76" spans="1:13">
      <c r="A76" s="106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925</v>
      </c>
    </row>
    <row r="77" spans="1:13">
      <c r="A77" s="106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925</v>
      </c>
    </row>
    <row r="78" spans="1:13">
      <c r="A78" s="106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925</v>
      </c>
    </row>
    <row r="79" spans="1:13">
      <c r="A79" s="106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925</v>
      </c>
    </row>
    <row r="80" spans="1:13">
      <c r="A80" s="106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925</v>
      </c>
    </row>
    <row r="81" spans="1:7">
      <c r="A81" s="106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925</v>
      </c>
    </row>
    <row r="82" spans="1:7">
      <c r="A82" s="106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925</v>
      </c>
    </row>
    <row r="83" spans="1:7">
      <c r="A83" s="106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925</v>
      </c>
    </row>
    <row r="84" spans="1:7">
      <c r="A84" s="106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925</v>
      </c>
    </row>
    <row r="85" spans="1:7">
      <c r="A85" s="106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925</v>
      </c>
    </row>
    <row r="86" spans="1:7">
      <c r="A86" s="106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925</v>
      </c>
    </row>
    <row r="87" spans="1:7">
      <c r="A87" s="106" t="s">
        <v>10</v>
      </c>
      <c r="B87" s="5" t="s">
        <v>120</v>
      </c>
      <c r="C87" s="6"/>
      <c r="D87" s="7" t="s">
        <v>405</v>
      </c>
    </row>
    <row r="88" spans="1:7">
      <c r="A88" s="106"/>
      <c r="B88" s="5" t="s">
        <v>117</v>
      </c>
      <c r="C88" s="6"/>
      <c r="D88" s="7" t="s">
        <v>406</v>
      </c>
    </row>
    <row r="89" spans="1:7">
      <c r="A89" s="106"/>
      <c r="B89" s="5" t="s">
        <v>128</v>
      </c>
      <c r="C89" s="6"/>
      <c r="D89" s="7" t="s">
        <v>407</v>
      </c>
    </row>
    <row r="90" spans="1:7">
      <c r="A90" s="106"/>
      <c r="B90" s="5" t="s">
        <v>118</v>
      </c>
      <c r="C90" s="6"/>
      <c r="D90" s="7" t="s">
        <v>408</v>
      </c>
    </row>
    <row r="91" spans="1:7">
      <c r="A91" s="106"/>
      <c r="B91" s="5" t="s">
        <v>123</v>
      </c>
      <c r="C91" s="6"/>
      <c r="D91" s="7" t="s">
        <v>409</v>
      </c>
    </row>
    <row r="92" spans="1:7">
      <c r="A92" s="106"/>
      <c r="B92" s="5" t="s">
        <v>119</v>
      </c>
      <c r="C92" s="6"/>
      <c r="D92" s="7" t="s">
        <v>410</v>
      </c>
    </row>
    <row r="93" spans="1:7">
      <c r="A93" s="106"/>
      <c r="B93" s="5" t="s">
        <v>129</v>
      </c>
      <c r="C93" s="6"/>
      <c r="D93" s="7" t="s">
        <v>411</v>
      </c>
    </row>
    <row r="94" spans="1:7">
      <c r="A94" s="106"/>
      <c r="B94" s="5" t="s">
        <v>124</v>
      </c>
      <c r="C94" s="6"/>
      <c r="D94" s="7" t="s">
        <v>412</v>
      </c>
    </row>
    <row r="95" spans="1:7">
      <c r="A95" s="106"/>
      <c r="B95" s="5" t="s">
        <v>126</v>
      </c>
      <c r="C95" s="6"/>
      <c r="D95" s="7" t="s">
        <v>413</v>
      </c>
    </row>
    <row r="96" spans="1:7">
      <c r="A96" s="106"/>
      <c r="B96" s="5" t="s">
        <v>127</v>
      </c>
      <c r="C96" s="6" t="s">
        <v>662</v>
      </c>
      <c r="D96" s="7" t="s">
        <v>414</v>
      </c>
      <c r="E96" s="3">
        <f>102/2</f>
        <v>51</v>
      </c>
      <c r="F96" s="8">
        <f>E96/(E96+E98)</f>
        <v>6.8965517241379309E-2</v>
      </c>
      <c r="G96" s="104" t="s">
        <v>938</v>
      </c>
    </row>
    <row r="97" spans="1:7">
      <c r="A97" s="106"/>
      <c r="B97" s="5" t="s">
        <v>121</v>
      </c>
      <c r="C97" s="6"/>
      <c r="D97" s="7" t="s">
        <v>415</v>
      </c>
    </row>
    <row r="98" spans="1:7">
      <c r="A98" s="106"/>
      <c r="B98" s="5" t="s">
        <v>125</v>
      </c>
      <c r="C98" s="6" t="s">
        <v>661</v>
      </c>
      <c r="D98" s="7" t="s">
        <v>416</v>
      </c>
      <c r="E98" s="3">
        <f>(675+702)/2</f>
        <v>688.5</v>
      </c>
      <c r="F98" s="8">
        <f>E98/(E98+E96)</f>
        <v>0.93103448275862066</v>
      </c>
      <c r="G98" s="104" t="s">
        <v>938</v>
      </c>
    </row>
    <row r="99" spans="1:7">
      <c r="A99" s="106"/>
      <c r="B99" s="5" t="s">
        <v>122</v>
      </c>
      <c r="C99" s="6"/>
      <c r="D99" s="7" t="s">
        <v>417</v>
      </c>
    </row>
    <row r="100" spans="1:7">
      <c r="A100" s="106"/>
      <c r="B100" s="5" t="s">
        <v>418</v>
      </c>
      <c r="C100" s="6"/>
      <c r="D100" s="7" t="s">
        <v>419</v>
      </c>
    </row>
    <row r="101" spans="1:7">
      <c r="A101" s="106"/>
      <c r="B101" s="5" t="s">
        <v>130</v>
      </c>
      <c r="C101" s="6"/>
      <c r="D101" s="7" t="s">
        <v>420</v>
      </c>
    </row>
    <row r="102" spans="1:7">
      <c r="A102" s="106"/>
      <c r="B102" s="5" t="s">
        <v>116</v>
      </c>
      <c r="C102" s="6"/>
      <c r="D102" s="7" t="s">
        <v>421</v>
      </c>
    </row>
    <row r="103" spans="1:7">
      <c r="A103" s="106"/>
      <c r="B103" s="5" t="s">
        <v>422</v>
      </c>
      <c r="C103" s="6"/>
      <c r="D103" s="7" t="s">
        <v>423</v>
      </c>
    </row>
    <row r="104" spans="1:7">
      <c r="A104" s="106"/>
      <c r="B104" s="5" t="s">
        <v>424</v>
      </c>
      <c r="C104" s="6"/>
      <c r="D104" s="7" t="s">
        <v>425</v>
      </c>
    </row>
    <row r="105" spans="1:7">
      <c r="A105" s="106"/>
      <c r="B105" s="5" t="s">
        <v>426</v>
      </c>
      <c r="C105" s="6"/>
      <c r="D105" s="7" t="s">
        <v>427</v>
      </c>
    </row>
    <row r="106" spans="1:7">
      <c r="A106" s="106" t="s">
        <v>11</v>
      </c>
      <c r="B106" s="5" t="s">
        <v>132</v>
      </c>
      <c r="C106" s="6"/>
      <c r="D106" s="7" t="s">
        <v>428</v>
      </c>
    </row>
    <row r="107" spans="1:7">
      <c r="A107" s="106"/>
      <c r="B107" s="5" t="s">
        <v>143</v>
      </c>
      <c r="C107" s="6"/>
      <c r="D107" s="7" t="s">
        <v>429</v>
      </c>
    </row>
    <row r="108" spans="1:7">
      <c r="A108" s="106"/>
      <c r="B108" s="5" t="s">
        <v>141</v>
      </c>
      <c r="C108" s="6"/>
      <c r="D108" s="7" t="s">
        <v>430</v>
      </c>
    </row>
    <row r="109" spans="1:7">
      <c r="A109" s="106"/>
      <c r="B109" s="5" t="s">
        <v>138</v>
      </c>
      <c r="C109" s="6"/>
      <c r="D109" s="7" t="s">
        <v>431</v>
      </c>
    </row>
    <row r="110" spans="1:7">
      <c r="A110" s="106"/>
      <c r="B110" s="10" t="s">
        <v>145</v>
      </c>
      <c r="C110" s="7"/>
      <c r="D110" s="11" t="s">
        <v>432</v>
      </c>
    </row>
    <row r="111" spans="1:7" ht="30">
      <c r="A111" s="106"/>
      <c r="B111" s="10" t="s">
        <v>137</v>
      </c>
      <c r="C111" s="25" t="s">
        <v>666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  <c r="G111" s="104" t="s">
        <v>938</v>
      </c>
    </row>
    <row r="112" spans="1:7">
      <c r="A112" s="106"/>
      <c r="B112" s="5" t="s">
        <v>134</v>
      </c>
      <c r="C112" s="3" t="s">
        <v>663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  <c r="G112" s="104" t="s">
        <v>938</v>
      </c>
    </row>
    <row r="113" spans="1:7">
      <c r="A113" s="106"/>
      <c r="B113" s="5" t="s">
        <v>151</v>
      </c>
      <c r="C113" s="6"/>
      <c r="D113" s="7" t="s">
        <v>435</v>
      </c>
    </row>
    <row r="114" spans="1:7">
      <c r="A114" s="106"/>
      <c r="B114" s="5" t="s">
        <v>133</v>
      </c>
      <c r="C114" s="6"/>
      <c r="D114" s="7" t="s">
        <v>436</v>
      </c>
    </row>
    <row r="115" spans="1:7">
      <c r="A115" s="106"/>
      <c r="B115" s="5" t="s">
        <v>148</v>
      </c>
      <c r="C115" s="6"/>
      <c r="D115" s="7" t="s">
        <v>437</v>
      </c>
    </row>
    <row r="116" spans="1:7">
      <c r="A116" s="106"/>
      <c r="B116" s="5" t="s">
        <v>135</v>
      </c>
      <c r="C116" s="6"/>
      <c r="D116" s="7" t="s">
        <v>438</v>
      </c>
    </row>
    <row r="117" spans="1:7">
      <c r="A117" s="106"/>
      <c r="B117" s="5" t="s">
        <v>136</v>
      </c>
      <c r="C117" s="6"/>
      <c r="D117" s="7" t="s">
        <v>439</v>
      </c>
    </row>
    <row r="118" spans="1:7">
      <c r="A118" s="106"/>
      <c r="B118" s="5" t="s">
        <v>140</v>
      </c>
      <c r="C118" s="6"/>
      <c r="D118" s="7" t="s">
        <v>440</v>
      </c>
    </row>
    <row r="119" spans="1:7">
      <c r="A119" s="106"/>
      <c r="B119" s="5" t="s">
        <v>139</v>
      </c>
      <c r="C119" s="6"/>
      <c r="D119" s="7" t="s">
        <v>441</v>
      </c>
    </row>
    <row r="120" spans="1:7">
      <c r="A120" s="106"/>
      <c r="B120" s="5" t="s">
        <v>142</v>
      </c>
      <c r="C120" s="6"/>
      <c r="D120" s="7" t="s">
        <v>442</v>
      </c>
    </row>
    <row r="121" spans="1:7">
      <c r="A121" s="106"/>
      <c r="B121" s="5" t="s">
        <v>144</v>
      </c>
      <c r="C121" s="6"/>
      <c r="D121" s="7" t="s">
        <v>443</v>
      </c>
    </row>
    <row r="122" spans="1:7">
      <c r="A122" s="106"/>
      <c r="B122" s="5" t="s">
        <v>146</v>
      </c>
      <c r="C122" s="6"/>
      <c r="D122" s="7" t="s">
        <v>444</v>
      </c>
    </row>
    <row r="123" spans="1:7">
      <c r="A123" s="106"/>
      <c r="B123" s="5" t="s">
        <v>147</v>
      </c>
      <c r="C123" s="6"/>
      <c r="D123" s="7" t="s">
        <v>445</v>
      </c>
    </row>
    <row r="124" spans="1:7">
      <c r="A124" s="106"/>
      <c r="B124" s="5" t="s">
        <v>150</v>
      </c>
      <c r="C124" s="6"/>
      <c r="D124" s="7" t="s">
        <v>446</v>
      </c>
    </row>
    <row r="125" spans="1:7">
      <c r="A125" s="106"/>
      <c r="B125" s="5" t="s">
        <v>152</v>
      </c>
      <c r="C125" s="6" t="s">
        <v>664</v>
      </c>
      <c r="D125" s="7" t="s">
        <v>447</v>
      </c>
      <c r="E125" s="3">
        <f>250/2</f>
        <v>125</v>
      </c>
      <c r="F125" s="8">
        <f t="shared" si="5"/>
        <v>8.9605734767025089E-2</v>
      </c>
      <c r="G125" s="104" t="s">
        <v>938</v>
      </c>
    </row>
    <row r="126" spans="1:7" ht="30">
      <c r="A126" s="106"/>
      <c r="B126" s="5" t="s">
        <v>149</v>
      </c>
      <c r="C126" s="6" t="s">
        <v>665</v>
      </c>
      <c r="D126" s="7" t="s">
        <v>448</v>
      </c>
      <c r="E126" s="3">
        <f>(470+740)/2</f>
        <v>605</v>
      </c>
      <c r="F126" s="8">
        <f t="shared" si="5"/>
        <v>0.43369175627240142</v>
      </c>
      <c r="G126" s="104" t="s">
        <v>938</v>
      </c>
    </row>
    <row r="127" spans="1:7">
      <c r="A127" s="106"/>
      <c r="B127" s="5" t="s">
        <v>131</v>
      </c>
      <c r="C127" s="6"/>
      <c r="D127" s="7" t="s">
        <v>449</v>
      </c>
    </row>
    <row r="128" spans="1:7">
      <c r="A128" s="106"/>
      <c r="B128" s="5" t="s">
        <v>450</v>
      </c>
      <c r="C128" s="6"/>
      <c r="D128" s="7" t="s">
        <v>451</v>
      </c>
    </row>
    <row r="129" spans="1:7">
      <c r="A129" s="106"/>
      <c r="B129" s="5" t="s">
        <v>452</v>
      </c>
      <c r="C129" s="6"/>
      <c r="D129" s="7" t="s">
        <v>453</v>
      </c>
    </row>
    <row r="130" spans="1:7">
      <c r="A130" s="106"/>
      <c r="B130" s="5" t="s">
        <v>454</v>
      </c>
      <c r="C130" s="6"/>
      <c r="D130" s="7" t="s">
        <v>455</v>
      </c>
    </row>
    <row r="131" spans="1:7">
      <c r="A131" s="106"/>
      <c r="B131" s="5" t="s">
        <v>456</v>
      </c>
      <c r="C131" s="6"/>
      <c r="D131" s="7" t="s">
        <v>457</v>
      </c>
    </row>
    <row r="132" spans="1:7">
      <c r="A132" s="106"/>
      <c r="B132" s="5" t="s">
        <v>458</v>
      </c>
      <c r="C132" s="6"/>
      <c r="D132" s="7" t="s">
        <v>459</v>
      </c>
    </row>
    <row r="133" spans="1:7">
      <c r="A133" s="106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925</v>
      </c>
    </row>
    <row r="134" spans="1:7">
      <c r="A134" s="106"/>
      <c r="B134" s="5" t="s">
        <v>154</v>
      </c>
      <c r="C134" s="6"/>
      <c r="D134" s="7" t="s">
        <v>462</v>
      </c>
      <c r="F134" s="8">
        <f>0.5</f>
        <v>0.5</v>
      </c>
      <c r="G134" s="73" t="s">
        <v>925</v>
      </c>
    </row>
    <row r="135" spans="1:7">
      <c r="A135" s="106"/>
      <c r="B135" s="5" t="s">
        <v>153</v>
      </c>
      <c r="C135" s="6"/>
      <c r="D135" s="7"/>
      <c r="F135" s="91">
        <v>0.5</v>
      </c>
      <c r="G135" s="73" t="s">
        <v>925</v>
      </c>
    </row>
    <row r="136" spans="1:7">
      <c r="A136" s="106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925</v>
      </c>
    </row>
    <row r="137" spans="1:7">
      <c r="A137" s="106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925</v>
      </c>
    </row>
    <row r="138" spans="1:7">
      <c r="A138" s="106" t="s">
        <v>13</v>
      </c>
      <c r="B138" s="5" t="s">
        <v>163</v>
      </c>
      <c r="C138" s="6"/>
      <c r="D138" s="7" t="s">
        <v>467</v>
      </c>
    </row>
    <row r="139" spans="1:7">
      <c r="A139" s="106"/>
      <c r="B139" s="5" t="s">
        <v>156</v>
      </c>
      <c r="C139" s="6"/>
      <c r="D139" s="7" t="s">
        <v>468</v>
      </c>
    </row>
    <row r="140" spans="1:7">
      <c r="A140" s="106"/>
      <c r="B140" s="5" t="s">
        <v>167</v>
      </c>
      <c r="C140" s="6"/>
      <c r="D140" s="7" t="s">
        <v>469</v>
      </c>
    </row>
    <row r="141" spans="1:7">
      <c r="A141" s="106"/>
      <c r="B141" s="5" t="s">
        <v>166</v>
      </c>
      <c r="C141" s="6"/>
      <c r="D141" s="7" t="s">
        <v>470</v>
      </c>
    </row>
    <row r="142" spans="1:7">
      <c r="A142" s="106"/>
      <c r="B142" s="5" t="s">
        <v>175</v>
      </c>
      <c r="C142" s="6"/>
      <c r="D142" s="7" t="s">
        <v>471</v>
      </c>
    </row>
    <row r="143" spans="1:7">
      <c r="A143" s="106"/>
      <c r="B143" s="5" t="s">
        <v>164</v>
      </c>
      <c r="C143" s="6"/>
      <c r="D143" s="7" t="s">
        <v>472</v>
      </c>
    </row>
    <row r="144" spans="1:7">
      <c r="A144" s="106"/>
      <c r="B144" s="5" t="s">
        <v>171</v>
      </c>
      <c r="C144" s="6"/>
      <c r="D144" s="7" t="s">
        <v>473</v>
      </c>
    </row>
    <row r="145" spans="1:7">
      <c r="A145" s="106"/>
      <c r="B145" s="5" t="s">
        <v>174</v>
      </c>
      <c r="C145" s="3" t="s">
        <v>677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  <c r="G145" s="104" t="s">
        <v>938</v>
      </c>
    </row>
    <row r="146" spans="1:7">
      <c r="A146" s="106"/>
      <c r="B146" s="5" t="s">
        <v>173</v>
      </c>
      <c r="C146" s="6"/>
      <c r="D146" s="7" t="s">
        <v>475</v>
      </c>
    </row>
    <row r="147" spans="1:7">
      <c r="A147" s="106"/>
      <c r="B147" s="5" t="s">
        <v>172</v>
      </c>
      <c r="C147" s="6"/>
      <c r="D147" s="7" t="s">
        <v>476</v>
      </c>
    </row>
    <row r="148" spans="1:7">
      <c r="A148" s="106"/>
      <c r="B148" s="5" t="s">
        <v>161</v>
      </c>
      <c r="C148" s="3" t="s">
        <v>678</v>
      </c>
      <c r="D148" s="7" t="s">
        <v>477</v>
      </c>
      <c r="E148" s="3">
        <f>558.45/2</f>
        <v>279.22500000000002</v>
      </c>
      <c r="F148" s="8">
        <f t="shared" si="6"/>
        <v>0.35130374610763376</v>
      </c>
      <c r="G148" s="104" t="s">
        <v>938</v>
      </c>
    </row>
    <row r="149" spans="1:7">
      <c r="A149" s="106"/>
      <c r="B149" s="5" t="s">
        <v>162</v>
      </c>
      <c r="C149" s="6"/>
      <c r="D149" s="7" t="s">
        <v>478</v>
      </c>
    </row>
    <row r="150" spans="1:7" ht="30">
      <c r="A150" s="106"/>
      <c r="B150" s="5" t="s">
        <v>158</v>
      </c>
      <c r="C150" s="6"/>
      <c r="D150" s="7" t="s">
        <v>479</v>
      </c>
    </row>
    <row r="151" spans="1:7">
      <c r="A151" s="106"/>
      <c r="B151" s="5" t="s">
        <v>159</v>
      </c>
      <c r="C151" s="6"/>
      <c r="D151" s="7" t="s">
        <v>480</v>
      </c>
    </row>
    <row r="152" spans="1:7">
      <c r="A152" s="106"/>
      <c r="B152" s="5" t="s">
        <v>155</v>
      </c>
      <c r="C152" s="3" t="s">
        <v>679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  <c r="G152" s="104" t="s">
        <v>938</v>
      </c>
    </row>
    <row r="153" spans="1:7">
      <c r="A153" s="106"/>
      <c r="B153" s="5" t="s">
        <v>169</v>
      </c>
      <c r="C153" s="6"/>
      <c r="D153" s="7" t="s">
        <v>482</v>
      </c>
    </row>
    <row r="154" spans="1:7">
      <c r="A154" s="106"/>
      <c r="B154" s="5" t="s">
        <v>170</v>
      </c>
      <c r="C154" s="6"/>
      <c r="D154" s="7" t="s">
        <v>483</v>
      </c>
    </row>
    <row r="155" spans="1:7">
      <c r="A155" s="106"/>
      <c r="B155" s="5" t="s">
        <v>160</v>
      </c>
      <c r="C155" s="6"/>
      <c r="D155" s="7" t="s">
        <v>484</v>
      </c>
    </row>
    <row r="156" spans="1:7">
      <c r="A156" s="106"/>
      <c r="B156" s="5" t="s">
        <v>157</v>
      </c>
      <c r="C156" s="6"/>
      <c r="D156" s="7" t="s">
        <v>485</v>
      </c>
    </row>
    <row r="157" spans="1:7">
      <c r="A157" s="106"/>
      <c r="B157" s="5" t="s">
        <v>165</v>
      </c>
      <c r="C157" s="6"/>
      <c r="D157" s="7" t="s">
        <v>486</v>
      </c>
    </row>
    <row r="158" spans="1:7">
      <c r="A158" s="106"/>
      <c r="B158" s="5" t="s">
        <v>168</v>
      </c>
      <c r="C158" s="6"/>
      <c r="D158" s="7" t="s">
        <v>487</v>
      </c>
    </row>
    <row r="159" spans="1:7">
      <c r="A159" s="26" t="s">
        <v>623</v>
      </c>
      <c r="B159" s="5" t="s">
        <v>488</v>
      </c>
      <c r="C159" s="6"/>
      <c r="D159" s="7" t="s">
        <v>489</v>
      </c>
      <c r="F159" s="8">
        <v>1</v>
      </c>
      <c r="G159" s="3" t="s">
        <v>925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925</v>
      </c>
    </row>
    <row r="161" spans="1:7">
      <c r="A161" s="108" t="s">
        <v>1164</v>
      </c>
      <c r="B161" s="5" t="s">
        <v>491</v>
      </c>
      <c r="C161" s="6"/>
      <c r="D161" s="7" t="s">
        <v>492</v>
      </c>
      <c r="F161" s="8">
        <v>0.5</v>
      </c>
      <c r="G161" s="3" t="s">
        <v>925</v>
      </c>
    </row>
    <row r="162" spans="1:7">
      <c r="A162" s="106"/>
      <c r="B162" s="5" t="s">
        <v>493</v>
      </c>
      <c r="C162" s="6"/>
      <c r="D162" s="7" t="s">
        <v>494</v>
      </c>
      <c r="F162" s="8">
        <v>0.5</v>
      </c>
      <c r="G162" s="3" t="s">
        <v>925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925</v>
      </c>
    </row>
    <row r="164" spans="1:7">
      <c r="A164" s="106" t="s">
        <v>16</v>
      </c>
      <c r="B164" s="5" t="s">
        <v>182</v>
      </c>
      <c r="C164" s="6"/>
      <c r="D164" s="7" t="s">
        <v>495</v>
      </c>
    </row>
    <row r="165" spans="1:7">
      <c r="A165" s="106"/>
      <c r="B165" s="5" t="s">
        <v>181</v>
      </c>
      <c r="C165" s="6"/>
      <c r="D165" s="7" t="s">
        <v>496</v>
      </c>
    </row>
    <row r="166" spans="1:7">
      <c r="A166" s="106"/>
      <c r="B166" s="5" t="s">
        <v>180</v>
      </c>
      <c r="C166" s="6"/>
      <c r="D166" s="7" t="s">
        <v>497</v>
      </c>
    </row>
    <row r="167" spans="1:7">
      <c r="A167" s="106"/>
      <c r="B167" s="5" t="s">
        <v>179</v>
      </c>
      <c r="C167" s="6"/>
      <c r="D167" s="7" t="s">
        <v>498</v>
      </c>
    </row>
    <row r="168" spans="1:7">
      <c r="A168" s="106"/>
      <c r="B168" s="5" t="s">
        <v>184</v>
      </c>
      <c r="C168" s="6"/>
      <c r="D168" s="7" t="s">
        <v>499</v>
      </c>
    </row>
    <row r="169" spans="1:7">
      <c r="A169" s="106"/>
      <c r="B169" s="5" t="s">
        <v>183</v>
      </c>
      <c r="C169" s="3" t="s">
        <v>680</v>
      </c>
      <c r="D169" s="7" t="s">
        <v>500</v>
      </c>
      <c r="E169" s="3">
        <f>665000/2</f>
        <v>332500</v>
      </c>
      <c r="F169" s="8">
        <v>1</v>
      </c>
      <c r="G169" s="104" t="s">
        <v>938</v>
      </c>
    </row>
    <row r="170" spans="1:7">
      <c r="A170" s="106"/>
      <c r="B170" s="5" t="s">
        <v>178</v>
      </c>
      <c r="C170" s="6"/>
      <c r="D170" s="7" t="s">
        <v>501</v>
      </c>
    </row>
    <row r="171" spans="1:7">
      <c r="A171" s="106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925</v>
      </c>
    </row>
    <row r="173" spans="1:7">
      <c r="A173" s="106" t="s">
        <v>17</v>
      </c>
      <c r="B173" s="5" t="s">
        <v>193</v>
      </c>
      <c r="C173" s="6"/>
      <c r="D173" s="7" t="s">
        <v>505</v>
      </c>
    </row>
    <row r="174" spans="1:7">
      <c r="A174" s="106"/>
      <c r="B174" s="5" t="s">
        <v>195</v>
      </c>
      <c r="C174" s="6"/>
      <c r="D174" s="7" t="s">
        <v>506</v>
      </c>
    </row>
    <row r="175" spans="1:7">
      <c r="A175" s="106"/>
      <c r="B175" s="5" t="s">
        <v>197</v>
      </c>
      <c r="C175" s="6"/>
      <c r="D175" s="7" t="s">
        <v>507</v>
      </c>
    </row>
    <row r="176" spans="1:7">
      <c r="A176" s="106"/>
      <c r="B176" s="5" t="s">
        <v>188</v>
      </c>
      <c r="C176" s="6"/>
      <c r="D176" s="7" t="s">
        <v>508</v>
      </c>
    </row>
    <row r="177" spans="1:7">
      <c r="A177" s="106"/>
      <c r="B177" s="5" t="s">
        <v>194</v>
      </c>
      <c r="C177" s="6"/>
      <c r="D177" s="7" t="s">
        <v>509</v>
      </c>
    </row>
    <row r="178" spans="1:7">
      <c r="A178" s="106"/>
      <c r="B178" s="5" t="s">
        <v>196</v>
      </c>
      <c r="C178" s="6"/>
      <c r="D178" s="7" t="s">
        <v>510</v>
      </c>
    </row>
    <row r="179" spans="1:7">
      <c r="A179" s="106"/>
      <c r="B179" s="5" t="s">
        <v>190</v>
      </c>
      <c r="C179" s="6"/>
      <c r="D179" s="7" t="s">
        <v>511</v>
      </c>
    </row>
    <row r="180" spans="1:7">
      <c r="A180" s="106"/>
      <c r="B180" s="5" t="s">
        <v>189</v>
      </c>
      <c r="C180" s="6"/>
      <c r="D180" s="7" t="s">
        <v>512</v>
      </c>
    </row>
    <row r="181" spans="1:7">
      <c r="A181" s="106"/>
      <c r="B181" s="5" t="s">
        <v>186</v>
      </c>
      <c r="C181" s="6"/>
      <c r="D181" s="7" t="s">
        <v>513</v>
      </c>
    </row>
    <row r="182" spans="1:7">
      <c r="A182" s="106"/>
      <c r="B182" s="5" t="s">
        <v>187</v>
      </c>
      <c r="C182" s="3" t="s">
        <v>676</v>
      </c>
      <c r="D182" s="7" t="s">
        <v>514</v>
      </c>
      <c r="E182" s="3">
        <f>1825/2</f>
        <v>912.5</v>
      </c>
      <c r="F182" s="8">
        <f>E182/SUM(E$182:E$184)</f>
        <v>0.4466470876162506</v>
      </c>
      <c r="G182" s="104" t="s">
        <v>938</v>
      </c>
    </row>
    <row r="183" spans="1:7">
      <c r="A183" s="106"/>
      <c r="B183" s="5" t="s">
        <v>191</v>
      </c>
      <c r="C183" s="3" t="s">
        <v>675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  <c r="G183" s="104" t="s">
        <v>938</v>
      </c>
    </row>
    <row r="184" spans="1:7">
      <c r="A184" s="106"/>
      <c r="B184" s="5" t="s">
        <v>192</v>
      </c>
      <c r="C184" s="3" t="s">
        <v>674</v>
      </c>
      <c r="D184" s="7" t="s">
        <v>516</v>
      </c>
      <c r="E184" s="3">
        <f>1351/2</f>
        <v>675.5</v>
      </c>
      <c r="F184" s="8">
        <f t="shared" si="7"/>
        <v>0.33064121390112577</v>
      </c>
      <c r="G184" s="104" t="s">
        <v>938</v>
      </c>
    </row>
    <row r="185" spans="1:7">
      <c r="A185" s="106" t="s">
        <v>18</v>
      </c>
      <c r="B185" s="5" t="s">
        <v>206</v>
      </c>
      <c r="C185" s="6"/>
      <c r="D185" s="7" t="s">
        <v>517</v>
      </c>
    </row>
    <row r="186" spans="1:7">
      <c r="A186" s="106"/>
      <c r="B186" s="5" t="s">
        <v>204</v>
      </c>
      <c r="C186" s="6" t="s">
        <v>659</v>
      </c>
      <c r="D186" s="7" t="s">
        <v>518</v>
      </c>
      <c r="E186" s="3">
        <f>500/2</f>
        <v>250</v>
      </c>
      <c r="F186" s="8">
        <v>1</v>
      </c>
      <c r="G186" s="104" t="s">
        <v>938</v>
      </c>
    </row>
    <row r="187" spans="1:7">
      <c r="A187" s="106"/>
      <c r="B187" s="5" t="s">
        <v>203</v>
      </c>
      <c r="C187" s="6"/>
      <c r="D187" s="7" t="s">
        <v>519</v>
      </c>
    </row>
    <row r="188" spans="1:7">
      <c r="A188" s="106"/>
      <c r="B188" s="5" t="s">
        <v>205</v>
      </c>
      <c r="C188" s="6"/>
      <c r="D188" s="7" t="s">
        <v>520</v>
      </c>
    </row>
    <row r="189" spans="1:7">
      <c r="A189" s="106"/>
      <c r="B189" s="5" t="s">
        <v>200</v>
      </c>
      <c r="C189" s="6"/>
      <c r="D189" s="7" t="s">
        <v>521</v>
      </c>
    </row>
    <row r="190" spans="1:7">
      <c r="A190" s="106"/>
      <c r="B190" s="5" t="s">
        <v>202</v>
      </c>
      <c r="C190" s="6"/>
      <c r="D190" s="7" t="s">
        <v>522</v>
      </c>
    </row>
    <row r="191" spans="1:7">
      <c r="A191" s="106"/>
      <c r="B191" s="5" t="s">
        <v>201</v>
      </c>
      <c r="C191" s="6"/>
      <c r="D191" s="7" t="s">
        <v>523</v>
      </c>
    </row>
    <row r="192" spans="1:7">
      <c r="A192" s="106"/>
      <c r="B192" s="5" t="s">
        <v>199</v>
      </c>
      <c r="C192" s="6"/>
      <c r="D192" s="7" t="s">
        <v>524</v>
      </c>
    </row>
    <row r="193" spans="1:4">
      <c r="A193" s="106"/>
      <c r="B193" s="5" t="s">
        <v>198</v>
      </c>
      <c r="C193" s="6"/>
      <c r="D193" s="7" t="s">
        <v>525</v>
      </c>
    </row>
    <row r="194" spans="1:4">
      <c r="A194" s="106" t="s">
        <v>19</v>
      </c>
      <c r="B194" s="5" t="s">
        <v>219</v>
      </c>
      <c r="C194" s="6"/>
      <c r="D194" s="7" t="s">
        <v>526</v>
      </c>
    </row>
    <row r="195" spans="1:4">
      <c r="A195" s="106"/>
      <c r="B195" s="5" t="s">
        <v>210</v>
      </c>
      <c r="C195" s="6"/>
      <c r="D195" s="7" t="s">
        <v>527</v>
      </c>
    </row>
    <row r="196" spans="1:4">
      <c r="A196" s="106"/>
      <c r="B196" s="5" t="s">
        <v>221</v>
      </c>
      <c r="C196" s="6"/>
      <c r="D196" s="7" t="s">
        <v>528</v>
      </c>
    </row>
    <row r="197" spans="1:4">
      <c r="A197" s="106"/>
      <c r="B197" s="5" t="s">
        <v>207</v>
      </c>
      <c r="C197" s="6"/>
      <c r="D197" s="7" t="s">
        <v>529</v>
      </c>
    </row>
    <row r="198" spans="1:4">
      <c r="A198" s="106"/>
      <c r="B198" s="5" t="s">
        <v>216</v>
      </c>
      <c r="C198" s="6"/>
      <c r="D198" s="7" t="s">
        <v>530</v>
      </c>
    </row>
    <row r="199" spans="1:4">
      <c r="A199" s="106"/>
      <c r="B199" s="5" t="s">
        <v>218</v>
      </c>
      <c r="C199" s="6"/>
      <c r="D199" s="7" t="s">
        <v>531</v>
      </c>
    </row>
    <row r="200" spans="1:4">
      <c r="A200" s="106"/>
      <c r="B200" s="5" t="s">
        <v>213</v>
      </c>
      <c r="C200" s="6"/>
      <c r="D200" s="7" t="s">
        <v>532</v>
      </c>
    </row>
    <row r="201" spans="1:4">
      <c r="A201" s="106"/>
      <c r="B201" s="5" t="s">
        <v>220</v>
      </c>
      <c r="C201" s="6"/>
      <c r="D201" s="7" t="s">
        <v>533</v>
      </c>
    </row>
    <row r="202" spans="1:4">
      <c r="A202" s="106"/>
      <c r="B202" s="5" t="s">
        <v>208</v>
      </c>
      <c r="C202" s="6"/>
      <c r="D202" s="7" t="s">
        <v>534</v>
      </c>
    </row>
    <row r="203" spans="1:4">
      <c r="A203" s="106"/>
      <c r="B203" s="5" t="s">
        <v>211</v>
      </c>
      <c r="C203" s="6"/>
      <c r="D203" s="7" t="s">
        <v>535</v>
      </c>
    </row>
    <row r="204" spans="1:4">
      <c r="A204" s="106"/>
      <c r="B204" s="5" t="s">
        <v>223</v>
      </c>
      <c r="C204" s="6"/>
      <c r="D204" s="7" t="s">
        <v>536</v>
      </c>
    </row>
    <row r="205" spans="1:4">
      <c r="A205" s="106"/>
      <c r="B205" s="5" t="s">
        <v>222</v>
      </c>
      <c r="C205" s="6"/>
      <c r="D205" s="7" t="s">
        <v>537</v>
      </c>
    </row>
    <row r="206" spans="1:4">
      <c r="A206" s="106"/>
      <c r="B206" s="5" t="s">
        <v>217</v>
      </c>
      <c r="C206" s="6"/>
      <c r="D206" s="7" t="s">
        <v>538</v>
      </c>
    </row>
    <row r="207" spans="1:4">
      <c r="A207" s="106"/>
      <c r="B207" s="5" t="s">
        <v>209</v>
      </c>
      <c r="C207" s="6"/>
      <c r="D207" s="7" t="s">
        <v>539</v>
      </c>
    </row>
    <row r="208" spans="1:4">
      <c r="A208" s="106"/>
      <c r="B208" s="5" t="s">
        <v>212</v>
      </c>
      <c r="C208" s="6"/>
      <c r="D208" s="7" t="s">
        <v>540</v>
      </c>
    </row>
    <row r="209" spans="1:7">
      <c r="A209" s="106"/>
      <c r="B209" s="5" t="s">
        <v>214</v>
      </c>
      <c r="C209" s="6"/>
      <c r="D209" s="7" t="s">
        <v>541</v>
      </c>
    </row>
    <row r="210" spans="1:7">
      <c r="A210" s="106"/>
      <c r="B210" s="5" t="s">
        <v>215</v>
      </c>
      <c r="C210" s="3" t="s">
        <v>673</v>
      </c>
      <c r="D210" s="7" t="s">
        <v>542</v>
      </c>
      <c r="E210" s="3">
        <f>700/2</f>
        <v>350</v>
      </c>
      <c r="F210" s="8">
        <v>1</v>
      </c>
      <c r="G210" s="104" t="s">
        <v>938</v>
      </c>
    </row>
    <row r="211" spans="1:7">
      <c r="A211" s="106" t="s">
        <v>20</v>
      </c>
      <c r="B211" s="5" t="s">
        <v>226</v>
      </c>
      <c r="C211" s="6"/>
      <c r="D211" s="7" t="s">
        <v>543</v>
      </c>
    </row>
    <row r="212" spans="1:7">
      <c r="A212" s="106"/>
      <c r="B212" s="5" t="s">
        <v>225</v>
      </c>
      <c r="C212" s="6"/>
      <c r="D212" s="7" t="s">
        <v>544</v>
      </c>
    </row>
    <row r="213" spans="1:7">
      <c r="A213" s="106"/>
      <c r="B213" s="5" t="s">
        <v>228</v>
      </c>
      <c r="C213" s="6"/>
      <c r="D213" s="7" t="s">
        <v>545</v>
      </c>
    </row>
    <row r="214" spans="1:7">
      <c r="A214" s="106"/>
      <c r="B214" s="5" t="s">
        <v>224</v>
      </c>
      <c r="C214" s="6"/>
      <c r="D214" s="7" t="s">
        <v>546</v>
      </c>
    </row>
    <row r="215" spans="1:7">
      <c r="A215" s="106"/>
      <c r="B215" s="5" t="s">
        <v>227</v>
      </c>
      <c r="C215" s="3" t="s">
        <v>672</v>
      </c>
      <c r="D215" s="7" t="s">
        <v>547</v>
      </c>
      <c r="E215" s="3">
        <f>1000/2</f>
        <v>500</v>
      </c>
      <c r="F215" s="8">
        <v>1</v>
      </c>
      <c r="G215" s="104" t="s">
        <v>938</v>
      </c>
    </row>
    <row r="216" spans="1:7">
      <c r="A216" s="106"/>
      <c r="B216" s="5" t="s">
        <v>548</v>
      </c>
      <c r="C216" s="6"/>
      <c r="D216" s="7" t="s">
        <v>549</v>
      </c>
    </row>
    <row r="217" spans="1:7">
      <c r="A217" s="106"/>
      <c r="B217" s="5" t="s">
        <v>550</v>
      </c>
      <c r="C217" s="6"/>
      <c r="D217" s="7" t="s">
        <v>551</v>
      </c>
    </row>
    <row r="218" spans="1:7">
      <c r="A218" s="106" t="s">
        <v>21</v>
      </c>
      <c r="B218" s="5" t="s">
        <v>231</v>
      </c>
      <c r="C218" s="6"/>
      <c r="D218" s="7" t="s">
        <v>552</v>
      </c>
      <c r="F218" s="8">
        <f>E218/SUM($E$218:$E$225)</f>
        <v>0</v>
      </c>
    </row>
    <row r="219" spans="1:7">
      <c r="A219" s="106"/>
      <c r="B219" s="5" t="s">
        <v>236</v>
      </c>
      <c r="C219" s="6"/>
      <c r="D219" s="7" t="s">
        <v>553</v>
      </c>
      <c r="F219" s="8">
        <f t="shared" ref="F219:F227" si="8">E219/SUM($E$218:$E$225)</f>
        <v>0</v>
      </c>
    </row>
    <row r="220" spans="1:7">
      <c r="A220" s="106"/>
      <c r="B220" s="5" t="s">
        <v>232</v>
      </c>
      <c r="C220" s="6"/>
      <c r="D220" s="7" t="s">
        <v>554</v>
      </c>
      <c r="F220" s="8">
        <f t="shared" si="8"/>
        <v>0</v>
      </c>
    </row>
    <row r="221" spans="1:7">
      <c r="A221" s="106"/>
      <c r="B221" s="5" t="s">
        <v>230</v>
      </c>
      <c r="C221" s="6" t="s">
        <v>717</v>
      </c>
      <c r="D221" s="7" t="s">
        <v>555</v>
      </c>
      <c r="E221" s="3">
        <v>145</v>
      </c>
      <c r="F221" s="8">
        <f t="shared" si="8"/>
        <v>1</v>
      </c>
      <c r="G221" s="102" t="s">
        <v>1005</v>
      </c>
    </row>
    <row r="222" spans="1:7">
      <c r="A222" s="106"/>
      <c r="B222" s="5" t="s">
        <v>234</v>
      </c>
      <c r="C222" s="6"/>
      <c r="D222" s="7" t="s">
        <v>556</v>
      </c>
      <c r="F222" s="8">
        <f t="shared" si="8"/>
        <v>0</v>
      </c>
    </row>
    <row r="223" spans="1:7">
      <c r="A223" s="106"/>
      <c r="B223" s="5" t="s">
        <v>233</v>
      </c>
      <c r="C223" s="6"/>
      <c r="D223" s="7" t="s">
        <v>557</v>
      </c>
      <c r="F223" s="8">
        <f t="shared" si="8"/>
        <v>0</v>
      </c>
    </row>
    <row r="224" spans="1:7">
      <c r="A224" s="106"/>
      <c r="B224" s="5" t="s">
        <v>229</v>
      </c>
      <c r="C224" s="6"/>
      <c r="D224" s="7" t="s">
        <v>558</v>
      </c>
      <c r="F224" s="8">
        <f t="shared" si="8"/>
        <v>0</v>
      </c>
    </row>
    <row r="225" spans="1:7">
      <c r="A225" s="106"/>
      <c r="B225" s="5" t="s">
        <v>235</v>
      </c>
      <c r="C225" s="6"/>
      <c r="D225" s="7" t="s">
        <v>559</v>
      </c>
      <c r="F225" s="8">
        <f t="shared" si="8"/>
        <v>0</v>
      </c>
    </row>
    <row r="226" spans="1:7">
      <c r="A226" s="106" t="s">
        <v>22</v>
      </c>
      <c r="B226" s="5" t="s">
        <v>237</v>
      </c>
      <c r="C226" s="6"/>
      <c r="D226" s="7" t="s">
        <v>560</v>
      </c>
      <c r="F226" s="8">
        <v>0.5</v>
      </c>
      <c r="G226" s="109" t="s">
        <v>925</v>
      </c>
    </row>
    <row r="227" spans="1:7">
      <c r="A227" s="106"/>
      <c r="B227" s="5" t="s">
        <v>238</v>
      </c>
      <c r="C227" s="6"/>
      <c r="D227" s="7" t="s">
        <v>561</v>
      </c>
      <c r="F227" s="8">
        <v>0.5</v>
      </c>
      <c r="G227" s="109" t="s">
        <v>925</v>
      </c>
    </row>
    <row r="228" spans="1:7">
      <c r="A228" s="106" t="s">
        <v>23</v>
      </c>
      <c r="B228" s="5" t="s">
        <v>241</v>
      </c>
      <c r="C228" s="6" t="s">
        <v>671</v>
      </c>
      <c r="D228" s="7" t="s">
        <v>562</v>
      </c>
      <c r="E228" s="3">
        <f>220/2</f>
        <v>110</v>
      </c>
      <c r="F228" s="8">
        <v>1</v>
      </c>
      <c r="G228" s="104" t="s">
        <v>938</v>
      </c>
    </row>
    <row r="229" spans="1:7">
      <c r="A229" s="106"/>
      <c r="B229" s="5" t="s">
        <v>239</v>
      </c>
      <c r="C229" s="6"/>
      <c r="D229" s="7" t="s">
        <v>563</v>
      </c>
    </row>
    <row r="230" spans="1:7">
      <c r="A230" s="106"/>
      <c r="B230" s="5" t="s">
        <v>242</v>
      </c>
      <c r="C230" s="6"/>
      <c r="D230" s="7" t="s">
        <v>564</v>
      </c>
    </row>
    <row r="231" spans="1:7">
      <c r="A231" s="106"/>
      <c r="B231" s="5" t="s">
        <v>240</v>
      </c>
      <c r="C231" s="6"/>
      <c r="D231" s="7" t="s">
        <v>565</v>
      </c>
    </row>
    <row r="232" spans="1:7">
      <c r="A232" s="106" t="s">
        <v>24</v>
      </c>
      <c r="B232" s="5" t="s">
        <v>243</v>
      </c>
      <c r="C232" s="6"/>
      <c r="D232" s="7" t="s">
        <v>566</v>
      </c>
    </row>
    <row r="233" spans="1:7">
      <c r="A233" s="106"/>
      <c r="B233" s="5" t="s">
        <v>245</v>
      </c>
      <c r="C233" s="6" t="s">
        <v>660</v>
      </c>
      <c r="D233" s="7" t="s">
        <v>567</v>
      </c>
      <c r="E233" s="3">
        <f>420/2</f>
        <v>210</v>
      </c>
      <c r="F233" s="8">
        <v>1</v>
      </c>
      <c r="G233" s="104" t="s">
        <v>938</v>
      </c>
    </row>
    <row r="234" spans="1:7">
      <c r="A234" s="106"/>
      <c r="B234" s="5" t="s">
        <v>244</v>
      </c>
      <c r="C234" s="6"/>
      <c r="D234" s="7" t="s">
        <v>568</v>
      </c>
    </row>
    <row r="235" spans="1:7">
      <c r="A235" s="106"/>
      <c r="B235" s="5" t="s">
        <v>246</v>
      </c>
      <c r="C235" s="6"/>
      <c r="D235" s="7" t="s">
        <v>569</v>
      </c>
    </row>
    <row r="236" spans="1:7">
      <c r="A236" s="106"/>
      <c r="B236" s="5" t="s">
        <v>570</v>
      </c>
      <c r="C236" s="6"/>
      <c r="D236" s="7" t="s">
        <v>571</v>
      </c>
    </row>
    <row r="237" spans="1:7">
      <c r="A237" s="106" t="s">
        <v>25</v>
      </c>
      <c r="B237" s="5" t="s">
        <v>247</v>
      </c>
      <c r="C237" s="6"/>
      <c r="D237" s="7" t="s">
        <v>572</v>
      </c>
    </row>
    <row r="238" spans="1:7">
      <c r="A238" s="106"/>
      <c r="B238" s="5" t="s">
        <v>248</v>
      </c>
      <c r="C238" s="6"/>
      <c r="D238" s="7" t="s">
        <v>573</v>
      </c>
    </row>
    <row r="239" spans="1:7">
      <c r="A239" s="106"/>
      <c r="B239" s="5" t="s">
        <v>252</v>
      </c>
      <c r="C239" s="6"/>
      <c r="D239" s="7" t="s">
        <v>574</v>
      </c>
    </row>
    <row r="240" spans="1:7">
      <c r="A240" s="106"/>
      <c r="B240" s="5" t="s">
        <v>254</v>
      </c>
      <c r="C240" s="6"/>
      <c r="D240" s="7" t="s">
        <v>575</v>
      </c>
    </row>
    <row r="241" spans="1:7">
      <c r="A241" s="106"/>
      <c r="B241" s="5" t="s">
        <v>251</v>
      </c>
      <c r="C241" s="3" t="s">
        <v>667</v>
      </c>
      <c r="D241" s="7" t="s">
        <v>576</v>
      </c>
      <c r="E241" s="3">
        <f>625/2</f>
        <v>312.5</v>
      </c>
      <c r="F241" s="8">
        <v>1</v>
      </c>
      <c r="G241" s="104" t="s">
        <v>938</v>
      </c>
    </row>
    <row r="242" spans="1:7">
      <c r="A242" s="106"/>
      <c r="B242" s="5" t="s">
        <v>253</v>
      </c>
      <c r="C242" s="6"/>
      <c r="D242" s="7" t="s">
        <v>577</v>
      </c>
    </row>
    <row r="243" spans="1:7">
      <c r="A243" s="106"/>
      <c r="B243" s="5" t="s">
        <v>250</v>
      </c>
      <c r="C243" s="6"/>
      <c r="D243" s="7" t="s">
        <v>578</v>
      </c>
    </row>
    <row r="244" spans="1:7">
      <c r="A244" s="106"/>
      <c r="B244" s="5" t="s">
        <v>249</v>
      </c>
      <c r="C244" s="6"/>
      <c r="D244" s="7" t="s">
        <v>579</v>
      </c>
    </row>
    <row r="245" spans="1:7">
      <c r="A245" s="106" t="s">
        <v>26</v>
      </c>
      <c r="B245" s="5" t="s">
        <v>294</v>
      </c>
      <c r="C245" s="3" t="s">
        <v>670</v>
      </c>
      <c r="D245" s="7" t="s">
        <v>580</v>
      </c>
      <c r="E245" s="3">
        <f>865/2</f>
        <v>432.5</v>
      </c>
      <c r="F245" s="8">
        <f>E245/(E245+E282)</f>
        <v>0.37044967880085655</v>
      </c>
      <c r="G245" s="104" t="s">
        <v>938</v>
      </c>
    </row>
    <row r="246" spans="1:7">
      <c r="A246" s="106"/>
      <c r="B246" s="5" t="s">
        <v>268</v>
      </c>
      <c r="C246" s="6"/>
      <c r="D246" s="7" t="s">
        <v>581</v>
      </c>
    </row>
    <row r="247" spans="1:7">
      <c r="A247" s="106"/>
      <c r="B247" s="5" t="s">
        <v>280</v>
      </c>
      <c r="C247" s="6"/>
      <c r="D247" s="7" t="s">
        <v>582</v>
      </c>
    </row>
    <row r="248" spans="1:7">
      <c r="A248" s="106"/>
      <c r="B248" s="5" t="s">
        <v>270</v>
      </c>
      <c r="C248" s="6"/>
      <c r="D248" s="7" t="s">
        <v>583</v>
      </c>
    </row>
    <row r="249" spans="1:7">
      <c r="A249" s="106"/>
      <c r="B249" s="5" t="s">
        <v>285</v>
      </c>
      <c r="C249" s="6"/>
      <c r="D249" s="7" t="s">
        <v>584</v>
      </c>
    </row>
    <row r="250" spans="1:7">
      <c r="A250" s="106"/>
      <c r="B250" s="5" t="s">
        <v>264</v>
      </c>
      <c r="C250" s="6"/>
      <c r="D250" s="7" t="s">
        <v>585</v>
      </c>
    </row>
    <row r="251" spans="1:7">
      <c r="A251" s="106"/>
      <c r="B251" s="5" t="s">
        <v>269</v>
      </c>
      <c r="C251" s="6"/>
      <c r="D251" s="7" t="s">
        <v>586</v>
      </c>
    </row>
    <row r="252" spans="1:7" ht="30">
      <c r="A252" s="106"/>
      <c r="B252" s="5" t="s">
        <v>277</v>
      </c>
      <c r="C252" s="6"/>
      <c r="D252" s="7" t="s">
        <v>587</v>
      </c>
    </row>
    <row r="253" spans="1:7">
      <c r="A253" s="106"/>
      <c r="B253" s="5" t="s">
        <v>295</v>
      </c>
      <c r="C253" s="6"/>
      <c r="D253" s="7" t="s">
        <v>588</v>
      </c>
    </row>
    <row r="254" spans="1:7">
      <c r="A254" s="106"/>
      <c r="B254" s="5" t="s">
        <v>266</v>
      </c>
      <c r="C254" s="6"/>
      <c r="D254" s="7" t="s">
        <v>589</v>
      </c>
    </row>
    <row r="255" spans="1:7">
      <c r="A255" s="106"/>
      <c r="B255" s="5" t="s">
        <v>263</v>
      </c>
      <c r="C255" s="6"/>
      <c r="D255" s="7" t="s">
        <v>590</v>
      </c>
    </row>
    <row r="256" spans="1:7">
      <c r="A256" s="106"/>
      <c r="B256" s="5" t="s">
        <v>279</v>
      </c>
      <c r="C256" s="6"/>
      <c r="D256" s="7" t="s">
        <v>591</v>
      </c>
    </row>
    <row r="257" spans="1:4" ht="30">
      <c r="A257" s="106"/>
      <c r="B257" s="5" t="s">
        <v>272</v>
      </c>
      <c r="C257" s="6"/>
      <c r="D257" s="7" t="s">
        <v>592</v>
      </c>
    </row>
    <row r="258" spans="1:4">
      <c r="A258" s="106"/>
      <c r="B258" s="5" t="s">
        <v>271</v>
      </c>
      <c r="C258" s="6"/>
      <c r="D258" s="7" t="s">
        <v>593</v>
      </c>
    </row>
    <row r="259" spans="1:4" ht="30">
      <c r="A259" s="106"/>
      <c r="B259" s="5" t="s">
        <v>275</v>
      </c>
      <c r="C259" s="6"/>
      <c r="D259" s="7" t="s">
        <v>594</v>
      </c>
    </row>
    <row r="260" spans="1:4">
      <c r="A260" s="106"/>
      <c r="B260" s="5" t="s">
        <v>267</v>
      </c>
      <c r="C260" s="6"/>
      <c r="D260" s="7" t="s">
        <v>595</v>
      </c>
    </row>
    <row r="261" spans="1:4">
      <c r="A261" s="106"/>
      <c r="B261" s="5" t="s">
        <v>274</v>
      </c>
      <c r="C261" s="6"/>
      <c r="D261" s="7" t="s">
        <v>596</v>
      </c>
    </row>
    <row r="262" spans="1:4">
      <c r="A262" s="106"/>
      <c r="B262" s="5" t="s">
        <v>282</v>
      </c>
      <c r="C262" s="6"/>
      <c r="D262" s="7" t="s">
        <v>597</v>
      </c>
    </row>
    <row r="263" spans="1:4">
      <c r="A263" s="106"/>
      <c r="B263" s="5" t="s">
        <v>287</v>
      </c>
      <c r="C263" s="6"/>
      <c r="D263" s="7" t="s">
        <v>598</v>
      </c>
    </row>
    <row r="264" spans="1:4">
      <c r="A264" s="106"/>
      <c r="B264" s="5" t="s">
        <v>265</v>
      </c>
      <c r="C264" s="6"/>
      <c r="D264" s="7" t="s">
        <v>599</v>
      </c>
    </row>
    <row r="265" spans="1:4">
      <c r="A265" s="106"/>
      <c r="B265" s="5" t="s">
        <v>293</v>
      </c>
      <c r="C265" s="6"/>
      <c r="D265" s="7" t="s">
        <v>600</v>
      </c>
    </row>
    <row r="266" spans="1:4">
      <c r="A266" s="106"/>
      <c r="B266" s="5" t="s">
        <v>292</v>
      </c>
      <c r="C266" s="6"/>
      <c r="D266" s="7" t="s">
        <v>601</v>
      </c>
    </row>
    <row r="267" spans="1:4">
      <c r="A267" s="106"/>
      <c r="B267" s="5" t="s">
        <v>291</v>
      </c>
      <c r="C267" s="6"/>
      <c r="D267" s="7" t="s">
        <v>602</v>
      </c>
    </row>
    <row r="268" spans="1:4">
      <c r="A268" s="106"/>
      <c r="B268" s="5" t="s">
        <v>290</v>
      </c>
      <c r="C268" s="6"/>
      <c r="D268" s="7" t="s">
        <v>603</v>
      </c>
    </row>
    <row r="269" spans="1:4" ht="30">
      <c r="A269" s="106"/>
      <c r="B269" s="5" t="s">
        <v>289</v>
      </c>
      <c r="C269" s="6"/>
      <c r="D269" s="7" t="s">
        <v>604</v>
      </c>
    </row>
    <row r="270" spans="1:4" ht="30">
      <c r="A270" s="106"/>
      <c r="B270" s="5" t="s">
        <v>286</v>
      </c>
      <c r="C270" s="6"/>
      <c r="D270" s="7" t="s">
        <v>605</v>
      </c>
    </row>
    <row r="271" spans="1:4">
      <c r="A271" s="106"/>
      <c r="B271" s="5" t="s">
        <v>283</v>
      </c>
      <c r="C271" s="6"/>
      <c r="D271" s="7" t="s">
        <v>606</v>
      </c>
    </row>
    <row r="272" spans="1:4">
      <c r="A272" s="106"/>
      <c r="B272" s="5" t="s">
        <v>276</v>
      </c>
      <c r="C272" s="6"/>
      <c r="D272" s="7" t="s">
        <v>607</v>
      </c>
    </row>
    <row r="273" spans="1:7">
      <c r="A273" s="106"/>
      <c r="B273" s="5" t="s">
        <v>273</v>
      </c>
      <c r="C273" s="6"/>
      <c r="D273" s="7" t="s">
        <v>608</v>
      </c>
    </row>
    <row r="274" spans="1:7" ht="30">
      <c r="A274" s="106"/>
      <c r="B274" s="5" t="s">
        <v>288</v>
      </c>
      <c r="C274" s="6"/>
      <c r="D274" s="7" t="s">
        <v>609</v>
      </c>
    </row>
    <row r="275" spans="1:7">
      <c r="A275" s="106"/>
      <c r="B275" s="5" t="s">
        <v>284</v>
      </c>
      <c r="C275" s="6"/>
      <c r="D275" s="7" t="s">
        <v>610</v>
      </c>
    </row>
    <row r="276" spans="1:7">
      <c r="A276" s="106"/>
      <c r="B276" s="5" t="s">
        <v>281</v>
      </c>
      <c r="C276" s="6"/>
      <c r="D276" s="7" t="s">
        <v>611</v>
      </c>
    </row>
    <row r="277" spans="1:7">
      <c r="A277" s="106"/>
      <c r="B277" s="5" t="s">
        <v>278</v>
      </c>
      <c r="C277" s="6"/>
      <c r="D277" s="7" t="s">
        <v>612</v>
      </c>
    </row>
    <row r="278" spans="1:7">
      <c r="A278" s="106"/>
      <c r="B278" s="5" t="s">
        <v>255</v>
      </c>
      <c r="C278" s="6"/>
      <c r="D278" s="7" t="s">
        <v>613</v>
      </c>
    </row>
    <row r="279" spans="1:7">
      <c r="A279" s="106"/>
      <c r="B279" s="5" t="s">
        <v>256</v>
      </c>
      <c r="C279" s="6"/>
      <c r="D279" s="7" t="s">
        <v>614</v>
      </c>
    </row>
    <row r="280" spans="1:7">
      <c r="A280" s="106"/>
      <c r="B280" s="5" t="s">
        <v>261</v>
      </c>
      <c r="C280" s="6"/>
      <c r="D280" s="7" t="s">
        <v>615</v>
      </c>
    </row>
    <row r="281" spans="1:7">
      <c r="A281" s="106"/>
      <c r="B281" s="5" t="s">
        <v>259</v>
      </c>
      <c r="C281" s="6"/>
      <c r="D281" s="7" t="s">
        <v>616</v>
      </c>
    </row>
    <row r="282" spans="1:7" ht="30">
      <c r="A282" s="106"/>
      <c r="B282" s="5" t="s">
        <v>260</v>
      </c>
      <c r="C282" s="25" t="s">
        <v>669</v>
      </c>
      <c r="D282" s="7" t="s">
        <v>617</v>
      </c>
      <c r="E282" s="3">
        <f>(700+770)/2</f>
        <v>735</v>
      </c>
      <c r="F282" s="8">
        <f>E282/(E282+E245)</f>
        <v>0.62955032119914345</v>
      </c>
      <c r="G282" s="104" t="s">
        <v>938</v>
      </c>
    </row>
    <row r="283" spans="1:7">
      <c r="A283" s="106"/>
      <c r="B283" s="5" t="s">
        <v>258</v>
      </c>
      <c r="C283" s="6"/>
      <c r="D283" s="7" t="s">
        <v>618</v>
      </c>
    </row>
    <row r="284" spans="1:7">
      <c r="A284" s="106"/>
      <c r="B284" s="5" t="s">
        <v>257</v>
      </c>
      <c r="C284" s="6"/>
      <c r="D284" s="7" t="s">
        <v>619</v>
      </c>
    </row>
    <row r="285" spans="1:7">
      <c r="A285" s="106"/>
      <c r="B285" s="5" t="s">
        <v>262</v>
      </c>
      <c r="C285" s="6"/>
      <c r="D285" s="7" t="s">
        <v>620</v>
      </c>
    </row>
    <row r="286" spans="1:7">
      <c r="A286" s="106" t="s">
        <v>27</v>
      </c>
      <c r="B286" s="12" t="s">
        <v>298</v>
      </c>
      <c r="D286" s="11" t="s">
        <v>628</v>
      </c>
      <c r="F286" s="8">
        <f>1/ROWS(B286:B292)</f>
        <v>0.14285714285714285</v>
      </c>
      <c r="G286" s="3" t="s">
        <v>925</v>
      </c>
    </row>
    <row r="287" spans="1:7">
      <c r="A287" s="106"/>
      <c r="B287" s="11" t="s">
        <v>297</v>
      </c>
      <c r="D287" s="11" t="s">
        <v>629</v>
      </c>
      <c r="F287" s="8">
        <f t="shared" ref="F287:F292" si="9">1/ROWS(B287:B293)</f>
        <v>0.14285714285714285</v>
      </c>
      <c r="G287" s="3" t="s">
        <v>925</v>
      </c>
    </row>
    <row r="288" spans="1:7">
      <c r="A288" s="106"/>
      <c r="B288" s="11" t="s">
        <v>299</v>
      </c>
      <c r="D288" s="11" t="s">
        <v>630</v>
      </c>
      <c r="F288" s="8">
        <f t="shared" si="9"/>
        <v>0.14285714285714285</v>
      </c>
      <c r="G288" s="3" t="s">
        <v>925</v>
      </c>
    </row>
    <row r="289" spans="1:7">
      <c r="A289" s="106"/>
      <c r="B289" s="5" t="s">
        <v>624</v>
      </c>
      <c r="D289" s="11" t="s">
        <v>631</v>
      </c>
      <c r="F289" s="8">
        <f t="shared" si="9"/>
        <v>0.14285714285714285</v>
      </c>
      <c r="G289" s="3" t="s">
        <v>925</v>
      </c>
    </row>
    <row r="290" spans="1:7">
      <c r="A290" s="106"/>
      <c r="B290" s="12" t="s">
        <v>625</v>
      </c>
      <c r="D290" s="11" t="s">
        <v>632</v>
      </c>
      <c r="F290" s="8">
        <f t="shared" si="9"/>
        <v>0.14285714285714285</v>
      </c>
      <c r="G290" s="3" t="s">
        <v>925</v>
      </c>
    </row>
    <row r="291" spans="1:7">
      <c r="A291" s="106"/>
      <c r="B291" s="12" t="s">
        <v>626</v>
      </c>
      <c r="D291" s="11" t="s">
        <v>633</v>
      </c>
      <c r="F291" s="8">
        <f t="shared" si="9"/>
        <v>0.14285714285714285</v>
      </c>
      <c r="G291" s="3" t="s">
        <v>925</v>
      </c>
    </row>
    <row r="292" spans="1:7">
      <c r="A292" s="106"/>
      <c r="B292" s="12" t="s">
        <v>627</v>
      </c>
      <c r="D292" s="11" t="s">
        <v>634</v>
      </c>
      <c r="F292" s="8">
        <f t="shared" si="9"/>
        <v>0.14285714285714285</v>
      </c>
      <c r="G292" s="3" t="s">
        <v>925</v>
      </c>
    </row>
    <row r="293" spans="1:7">
      <c r="A293" s="106"/>
      <c r="B293" s="12" t="s">
        <v>302</v>
      </c>
      <c r="D293" s="11"/>
      <c r="F293" s="8">
        <f>F289*1.3/2.3</f>
        <v>8.0745341614906846E-2</v>
      </c>
    </row>
    <row r="294" spans="1:7">
      <c r="A294" s="106"/>
      <c r="B294" s="12" t="s">
        <v>301</v>
      </c>
      <c r="D294" s="11"/>
      <c r="F294" s="8">
        <f>F289*1/2.3</f>
        <v>6.2111801242236024E-2</v>
      </c>
    </row>
    <row r="295" spans="1:7">
      <c r="A295" s="106"/>
      <c r="B295" s="12" t="s">
        <v>300</v>
      </c>
      <c r="D295" s="11"/>
      <c r="F295" s="8">
        <f>F290</f>
        <v>0.14285714285714285</v>
      </c>
    </row>
    <row r="296" spans="1:7">
      <c r="A296" s="106"/>
      <c r="B296" s="12" t="s">
        <v>296</v>
      </c>
      <c r="D296" s="11"/>
      <c r="F296" s="8">
        <f>F291</f>
        <v>0.14285714285714285</v>
      </c>
    </row>
    <row r="297" spans="1:7">
      <c r="A297" s="106" t="s">
        <v>635</v>
      </c>
      <c r="B297" s="12" t="s">
        <v>305</v>
      </c>
      <c r="C297" s="13"/>
      <c r="D297" s="12" t="s">
        <v>636</v>
      </c>
      <c r="F297" s="8">
        <f t="shared" ref="F297:F303" si="10">1/ROWS(B297:B303)</f>
        <v>0.14285714285714285</v>
      </c>
      <c r="G297" s="3" t="s">
        <v>925</v>
      </c>
    </row>
    <row r="298" spans="1:7">
      <c r="A298" s="106"/>
      <c r="B298" s="12" t="s">
        <v>307</v>
      </c>
      <c r="C298" s="13"/>
      <c r="D298" s="12" t="s">
        <v>637</v>
      </c>
      <c r="F298" s="8">
        <f t="shared" si="10"/>
        <v>0.14285714285714285</v>
      </c>
      <c r="G298" s="3" t="s">
        <v>925</v>
      </c>
    </row>
    <row r="299" spans="1:7">
      <c r="A299" s="106"/>
      <c r="B299" s="12" t="s">
        <v>309</v>
      </c>
      <c r="C299" s="13"/>
      <c r="D299" s="12" t="s">
        <v>638</v>
      </c>
      <c r="F299" s="8">
        <f t="shared" si="10"/>
        <v>0.14285714285714285</v>
      </c>
      <c r="G299" s="3" t="s">
        <v>925</v>
      </c>
    </row>
    <row r="300" spans="1:7">
      <c r="A300" s="106"/>
      <c r="B300" s="12" t="s">
        <v>303</v>
      </c>
      <c r="C300" s="13"/>
      <c r="D300" s="12" t="s">
        <v>639</v>
      </c>
      <c r="F300" s="8">
        <f t="shared" si="10"/>
        <v>0.14285714285714285</v>
      </c>
      <c r="G300" s="3" t="s">
        <v>925</v>
      </c>
    </row>
    <row r="301" spans="1:7">
      <c r="A301" s="106"/>
      <c r="B301" s="12" t="s">
        <v>308</v>
      </c>
      <c r="C301" s="13"/>
      <c r="D301" s="12" t="s">
        <v>640</v>
      </c>
      <c r="F301" s="8">
        <f t="shared" si="10"/>
        <v>0.14285714285714285</v>
      </c>
      <c r="G301" s="3" t="s">
        <v>925</v>
      </c>
    </row>
    <row r="302" spans="1:7">
      <c r="A302" s="106"/>
      <c r="B302" s="12" t="s">
        <v>304</v>
      </c>
      <c r="C302" s="13"/>
      <c r="D302" s="12" t="s">
        <v>641</v>
      </c>
      <c r="F302" s="8">
        <f t="shared" si="10"/>
        <v>0.14285714285714285</v>
      </c>
      <c r="G302" s="3" t="s">
        <v>925</v>
      </c>
    </row>
    <row r="303" spans="1:7">
      <c r="A303" s="106"/>
      <c r="B303" s="12" t="s">
        <v>306</v>
      </c>
      <c r="C303" s="13"/>
      <c r="D303" s="12" t="s">
        <v>642</v>
      </c>
      <c r="F303" s="8">
        <f t="shared" si="10"/>
        <v>0.14285714285714285</v>
      </c>
      <c r="G303" s="3" t="s">
        <v>925</v>
      </c>
    </row>
    <row r="304" spans="1:7">
      <c r="A304" s="26" t="s">
        <v>28</v>
      </c>
      <c r="B304" s="28" t="s">
        <v>310</v>
      </c>
      <c r="C304" s="27"/>
      <c r="D304" s="28" t="s">
        <v>643</v>
      </c>
      <c r="F304" s="8">
        <v>1</v>
      </c>
      <c r="G304" s="3" t="s">
        <v>925</v>
      </c>
    </row>
    <row r="305" spans="1:7">
      <c r="A305" s="24" t="s">
        <v>29</v>
      </c>
      <c r="B305" s="11" t="s">
        <v>311</v>
      </c>
      <c r="C305" s="7"/>
      <c r="D305" s="7" t="s">
        <v>644</v>
      </c>
      <c r="F305" s="8">
        <v>1</v>
      </c>
      <c r="G305" s="3" t="s">
        <v>925</v>
      </c>
    </row>
    <row r="306" spans="1:7">
      <c r="A306" s="106" t="s">
        <v>30</v>
      </c>
      <c r="B306" s="11" t="s">
        <v>33</v>
      </c>
      <c r="C306" s="7"/>
      <c r="D306" s="11" t="s">
        <v>645</v>
      </c>
      <c r="F306" s="8">
        <v>0.33329999999999999</v>
      </c>
      <c r="G306" s="3" t="s">
        <v>925</v>
      </c>
    </row>
    <row r="307" spans="1:7">
      <c r="A307" s="106"/>
      <c r="B307" s="11" t="s">
        <v>34</v>
      </c>
      <c r="C307" s="7"/>
      <c r="D307" s="11" t="s">
        <v>646</v>
      </c>
      <c r="F307" s="8">
        <v>0.33329999999999999</v>
      </c>
      <c r="G307" s="3" t="s">
        <v>925</v>
      </c>
    </row>
    <row r="308" spans="1:7">
      <c r="A308" s="106"/>
      <c r="B308" s="11" t="s">
        <v>35</v>
      </c>
      <c r="C308" s="7"/>
      <c r="D308" s="11" t="s">
        <v>647</v>
      </c>
      <c r="F308" s="8">
        <v>0.33329999999999999</v>
      </c>
      <c r="G308" s="3" t="s">
        <v>925</v>
      </c>
    </row>
    <row r="309" spans="1:7">
      <c r="A309" s="106" t="s">
        <v>31</v>
      </c>
      <c r="B309" s="11" t="s">
        <v>315</v>
      </c>
      <c r="C309" s="7" t="s">
        <v>1011</v>
      </c>
      <c r="D309" s="11" t="s">
        <v>648</v>
      </c>
      <c r="E309" s="3">
        <f>85+120-85</f>
        <v>120</v>
      </c>
      <c r="F309" s="8">
        <v>1</v>
      </c>
      <c r="G309" s="102" t="s">
        <v>948</v>
      </c>
    </row>
    <row r="310" spans="1:7">
      <c r="A310" s="106"/>
      <c r="B310" s="11" t="s">
        <v>314</v>
      </c>
      <c r="C310" s="7"/>
      <c r="D310" s="11" t="s">
        <v>649</v>
      </c>
      <c r="F310" s="8">
        <v>0</v>
      </c>
    </row>
    <row r="311" spans="1:7">
      <c r="A311" s="106"/>
      <c r="B311" s="11" t="s">
        <v>313</v>
      </c>
      <c r="C311" s="7"/>
      <c r="D311" s="7" t="s">
        <v>650</v>
      </c>
      <c r="F311" s="8">
        <v>0</v>
      </c>
    </row>
    <row r="312" spans="1:7">
      <c r="A312" s="106"/>
      <c r="B312" s="11" t="s">
        <v>312</v>
      </c>
      <c r="C312" s="7"/>
      <c r="D312" s="7" t="s">
        <v>651</v>
      </c>
      <c r="F312" s="8">
        <v>0</v>
      </c>
    </row>
    <row r="313" spans="1:7">
      <c r="A313" s="26" t="s">
        <v>32</v>
      </c>
      <c r="B313" s="11" t="s">
        <v>1015</v>
      </c>
      <c r="F313" s="8">
        <v>1</v>
      </c>
      <c r="G313" s="3" t="s">
        <v>925</v>
      </c>
    </row>
    <row r="314" spans="1:7">
      <c r="A314" s="26" t="s">
        <v>1026</v>
      </c>
      <c r="B314" s="11" t="s">
        <v>654</v>
      </c>
      <c r="D314" s="3" t="s">
        <v>1026</v>
      </c>
      <c r="F314" s="8">
        <v>1</v>
      </c>
      <c r="G314" s="3" t="s">
        <v>925</v>
      </c>
    </row>
    <row r="315" spans="1:7">
      <c r="A315" s="26" t="s">
        <v>933</v>
      </c>
      <c r="B315" s="11" t="s">
        <v>653</v>
      </c>
      <c r="D315" s="3" t="s">
        <v>652</v>
      </c>
      <c r="F315" s="8">
        <v>1</v>
      </c>
      <c r="G315" s="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2"/>
  <sheetViews>
    <sheetView tabSelected="1" topLeftCell="A286" workbookViewId="0">
      <selection activeCell="E302" sqref="E302"/>
    </sheetView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4.125" style="3" customWidth="1"/>
    <col min="4" max="4" width="29.375" style="3" customWidth="1"/>
    <col min="5" max="5" width="21.125" style="3" customWidth="1"/>
    <col min="6" max="6" width="21.875" style="8" customWidth="1"/>
    <col min="7" max="7" width="24.625" style="3" customWidth="1"/>
    <col min="8" max="8" width="23.625" style="3" customWidth="1"/>
    <col min="9" max="9" width="21.625" style="3" customWidth="1"/>
    <col min="10" max="10" width="10" style="8" bestFit="1" customWidth="1"/>
    <col min="11" max="11" width="18.625" style="80" bestFit="1" customWidth="1"/>
    <col min="12" max="16384" width="10.875" style="3"/>
  </cols>
  <sheetData>
    <row r="1" spans="1:12">
      <c r="A1" s="22" t="s">
        <v>0</v>
      </c>
      <c r="B1" s="22" t="s">
        <v>1</v>
      </c>
      <c r="C1" s="22" t="s">
        <v>2</v>
      </c>
      <c r="D1" s="22" t="s">
        <v>655</v>
      </c>
      <c r="E1" s="35" t="s">
        <v>705</v>
      </c>
      <c r="F1" s="36" t="s">
        <v>707</v>
      </c>
      <c r="G1" s="2" t="s">
        <v>708</v>
      </c>
      <c r="H1" s="2" t="s">
        <v>709</v>
      </c>
      <c r="I1" s="22" t="s">
        <v>1094</v>
      </c>
      <c r="J1" s="23" t="s">
        <v>1095</v>
      </c>
      <c r="K1" s="102" t="s">
        <v>1182</v>
      </c>
    </row>
    <row r="2" spans="1:12" ht="30">
      <c r="A2" s="106" t="s">
        <v>3</v>
      </c>
      <c r="B2" s="5" t="s">
        <v>36</v>
      </c>
      <c r="C2" s="6"/>
      <c r="D2" s="7" t="s">
        <v>621</v>
      </c>
      <c r="F2" s="3"/>
      <c r="K2" s="5"/>
    </row>
    <row r="3" spans="1:12" ht="30">
      <c r="A3" s="106"/>
      <c r="B3" s="5" t="s">
        <v>46</v>
      </c>
      <c r="C3" s="6" t="s">
        <v>716</v>
      </c>
      <c r="D3" s="7" t="s">
        <v>316</v>
      </c>
      <c r="E3" s="102">
        <f>65+210</f>
        <v>275</v>
      </c>
      <c r="F3" s="3">
        <f>240+60+258</f>
        <v>558</v>
      </c>
      <c r="H3" s="11">
        <v>550</v>
      </c>
      <c r="I3" s="3">
        <f>SUM(E3:H3)</f>
        <v>1383</v>
      </c>
      <c r="J3" s="8">
        <v>0.93771626297577859</v>
      </c>
      <c r="K3" s="104" t="s">
        <v>1230</v>
      </c>
      <c r="L3" s="102"/>
    </row>
    <row r="4" spans="1:12">
      <c r="A4" s="106"/>
      <c r="B4" s="5" t="s">
        <v>40</v>
      </c>
      <c r="C4" s="6"/>
      <c r="D4" s="7" t="s">
        <v>317</v>
      </c>
      <c r="F4" s="3"/>
    </row>
    <row r="5" spans="1:12">
      <c r="A5" s="106"/>
      <c r="B5" s="5" t="s">
        <v>44</v>
      </c>
      <c r="C5" s="6" t="s">
        <v>1169</v>
      </c>
      <c r="D5" s="7" t="s">
        <v>318</v>
      </c>
      <c r="F5" s="3">
        <v>90</v>
      </c>
      <c r="I5" s="3">
        <f>SUM(E5:H5)</f>
        <v>90</v>
      </c>
      <c r="J5" s="8">
        <v>6.228373702422145E-2</v>
      </c>
      <c r="K5" s="104" t="s">
        <v>938</v>
      </c>
      <c r="L5" s="100"/>
    </row>
    <row r="6" spans="1:12">
      <c r="A6" s="106"/>
      <c r="B6" s="5" t="s">
        <v>45</v>
      </c>
      <c r="C6" s="6"/>
      <c r="D6" s="7" t="s">
        <v>319</v>
      </c>
      <c r="F6" s="3"/>
      <c r="K6" s="5"/>
    </row>
    <row r="7" spans="1:12">
      <c r="A7" s="106"/>
      <c r="B7" s="5" t="s">
        <v>37</v>
      </c>
      <c r="C7" s="6"/>
      <c r="D7" s="7" t="s">
        <v>320</v>
      </c>
      <c r="F7" s="3"/>
      <c r="K7" s="5"/>
    </row>
    <row r="8" spans="1:12">
      <c r="A8" s="106"/>
      <c r="B8" s="5" t="s">
        <v>43</v>
      </c>
      <c r="C8" s="6"/>
      <c r="D8" s="7" t="s">
        <v>321</v>
      </c>
      <c r="F8" s="3"/>
      <c r="K8" s="5"/>
    </row>
    <row r="9" spans="1:12">
      <c r="A9" s="106"/>
      <c r="B9" s="5" t="s">
        <v>42</v>
      </c>
      <c r="C9" s="6"/>
      <c r="D9" s="7" t="s">
        <v>322</v>
      </c>
      <c r="F9" s="3"/>
      <c r="K9" s="5"/>
    </row>
    <row r="10" spans="1:12">
      <c r="A10" s="106"/>
      <c r="B10" s="5" t="s">
        <v>41</v>
      </c>
      <c r="C10" s="6"/>
      <c r="D10" s="7" t="s">
        <v>323</v>
      </c>
      <c r="F10" s="3"/>
      <c r="K10" s="5"/>
    </row>
    <row r="11" spans="1:12">
      <c r="A11" s="106"/>
      <c r="B11" s="5" t="s">
        <v>39</v>
      </c>
      <c r="C11" s="6"/>
      <c r="D11" s="7" t="s">
        <v>324</v>
      </c>
      <c r="F11" s="3"/>
      <c r="K11" s="5"/>
    </row>
    <row r="12" spans="1:12">
      <c r="A12" s="106"/>
      <c r="B12" s="5" t="s">
        <v>38</v>
      </c>
      <c r="C12" s="6"/>
      <c r="D12" s="7" t="s">
        <v>325</v>
      </c>
      <c r="F12" s="3"/>
      <c r="K12" s="5"/>
    </row>
    <row r="13" spans="1:12">
      <c r="A13" s="106" t="s">
        <v>4</v>
      </c>
      <c r="B13" s="5" t="s">
        <v>47</v>
      </c>
      <c r="C13" s="6"/>
      <c r="D13" s="7" t="s">
        <v>326</v>
      </c>
      <c r="F13" s="3"/>
      <c r="J13" s="8">
        <f t="shared" ref="J13:J18" si="0" xml:space="preserve"> 1/ROWS(B13:B18)</f>
        <v>0.16666666666666666</v>
      </c>
      <c r="K13" s="5" t="s">
        <v>925</v>
      </c>
    </row>
    <row r="14" spans="1:12">
      <c r="A14" s="106"/>
      <c r="B14" s="5" t="s">
        <v>49</v>
      </c>
      <c r="C14" s="6"/>
      <c r="D14" s="7" t="s">
        <v>327</v>
      </c>
      <c r="F14" s="3"/>
      <c r="J14" s="8">
        <f t="shared" si="0"/>
        <v>0.16666666666666666</v>
      </c>
      <c r="K14" s="5" t="s">
        <v>925</v>
      </c>
    </row>
    <row r="15" spans="1:12">
      <c r="A15" s="106"/>
      <c r="B15" s="5" t="s">
        <v>50</v>
      </c>
      <c r="C15" s="6"/>
      <c r="D15" s="7" t="s">
        <v>328</v>
      </c>
      <c r="F15" s="3"/>
      <c r="J15" s="8">
        <f t="shared" si="0"/>
        <v>0.16666666666666666</v>
      </c>
      <c r="K15" s="5" t="s">
        <v>925</v>
      </c>
    </row>
    <row r="16" spans="1:12">
      <c r="A16" s="106"/>
      <c r="B16" s="5" t="s">
        <v>51</v>
      </c>
      <c r="C16" s="6"/>
      <c r="D16" s="7" t="s">
        <v>329</v>
      </c>
      <c r="F16" s="3"/>
      <c r="J16" s="8">
        <f t="shared" si="0"/>
        <v>0.16666666666666666</v>
      </c>
      <c r="K16" s="5" t="s">
        <v>925</v>
      </c>
    </row>
    <row r="17" spans="1:11">
      <c r="A17" s="106"/>
      <c r="B17" s="5" t="s">
        <v>52</v>
      </c>
      <c r="C17" s="6"/>
      <c r="D17" s="7" t="s">
        <v>330</v>
      </c>
      <c r="F17" s="3"/>
      <c r="J17" s="8">
        <f t="shared" si="0"/>
        <v>0.16666666666666666</v>
      </c>
      <c r="K17" s="5" t="s">
        <v>925</v>
      </c>
    </row>
    <row r="18" spans="1:11">
      <c r="A18" s="106"/>
      <c r="B18" s="5" t="s">
        <v>48</v>
      </c>
      <c r="C18" s="6"/>
      <c r="D18" s="7" t="s">
        <v>331</v>
      </c>
      <c r="F18" s="3"/>
      <c r="J18" s="8">
        <f t="shared" si="0"/>
        <v>0.16666666666666666</v>
      </c>
      <c r="K18" s="5" t="s">
        <v>925</v>
      </c>
    </row>
    <row r="19" spans="1:11">
      <c r="A19" s="106" t="s">
        <v>5</v>
      </c>
      <c r="B19" s="5" t="s">
        <v>54</v>
      </c>
      <c r="C19" s="6"/>
      <c r="D19" s="7" t="s">
        <v>332</v>
      </c>
      <c r="F19" s="3"/>
      <c r="J19" s="8">
        <f t="shared" ref="J19:J26" si="1" xml:space="preserve"> 1/ROWS(B19:B26)</f>
        <v>0.125</v>
      </c>
      <c r="K19" s="5" t="s">
        <v>925</v>
      </c>
    </row>
    <row r="20" spans="1:11">
      <c r="A20" s="106"/>
      <c r="B20" s="5" t="s">
        <v>53</v>
      </c>
      <c r="C20" s="6"/>
      <c r="D20" s="7" t="s">
        <v>333</v>
      </c>
      <c r="F20" s="3"/>
      <c r="J20" s="8">
        <f t="shared" si="1"/>
        <v>0.125</v>
      </c>
      <c r="K20" s="5" t="s">
        <v>925</v>
      </c>
    </row>
    <row r="21" spans="1:11">
      <c r="A21" s="106"/>
      <c r="B21" s="5" t="s">
        <v>60</v>
      </c>
      <c r="C21" s="6"/>
      <c r="D21" s="7" t="s">
        <v>334</v>
      </c>
      <c r="F21" s="3"/>
      <c r="J21" s="8">
        <f t="shared" si="1"/>
        <v>0.125</v>
      </c>
      <c r="K21" s="5" t="s">
        <v>925</v>
      </c>
    </row>
    <row r="22" spans="1:11">
      <c r="A22" s="106"/>
      <c r="B22" s="5" t="s">
        <v>58</v>
      </c>
      <c r="D22" s="7" t="s">
        <v>335</v>
      </c>
      <c r="F22" s="3"/>
      <c r="J22" s="8">
        <f t="shared" si="1"/>
        <v>0.125</v>
      </c>
      <c r="K22" s="5" t="s">
        <v>925</v>
      </c>
    </row>
    <row r="23" spans="1:11">
      <c r="A23" s="106"/>
      <c r="B23" s="5" t="s">
        <v>57</v>
      </c>
      <c r="C23" s="6"/>
      <c r="D23" s="7" t="s">
        <v>336</v>
      </c>
      <c r="F23" s="3"/>
      <c r="J23" s="8">
        <f t="shared" si="1"/>
        <v>0.125</v>
      </c>
      <c r="K23" s="5" t="s">
        <v>925</v>
      </c>
    </row>
    <row r="24" spans="1:11">
      <c r="A24" s="106"/>
      <c r="B24" s="5" t="s">
        <v>59</v>
      </c>
      <c r="C24" s="6"/>
      <c r="D24" s="7" t="s">
        <v>337</v>
      </c>
      <c r="F24" s="3"/>
      <c r="J24" s="8">
        <f t="shared" si="1"/>
        <v>0.125</v>
      </c>
      <c r="K24" s="5" t="s">
        <v>925</v>
      </c>
    </row>
    <row r="25" spans="1:11">
      <c r="A25" s="106"/>
      <c r="B25" s="5" t="s">
        <v>55</v>
      </c>
      <c r="C25" s="6"/>
      <c r="D25" s="7" t="s">
        <v>338</v>
      </c>
      <c r="F25" s="3"/>
      <c r="J25" s="8">
        <f t="shared" si="1"/>
        <v>0.125</v>
      </c>
      <c r="K25" s="5" t="s">
        <v>925</v>
      </c>
    </row>
    <row r="26" spans="1:11">
      <c r="A26" s="106"/>
      <c r="B26" s="5" t="s">
        <v>56</v>
      </c>
      <c r="C26" s="6"/>
      <c r="D26" s="7" t="s">
        <v>339</v>
      </c>
      <c r="F26" s="3"/>
      <c r="J26" s="8">
        <f t="shared" si="1"/>
        <v>0.125</v>
      </c>
      <c r="K26" s="5" t="s">
        <v>925</v>
      </c>
    </row>
    <row r="27" spans="1:11">
      <c r="A27" s="106" t="s">
        <v>6</v>
      </c>
      <c r="B27" s="5" t="s">
        <v>64</v>
      </c>
      <c r="C27" s="6"/>
      <c r="D27" s="7" t="s">
        <v>340</v>
      </c>
      <c r="F27" s="3"/>
      <c r="J27" s="8">
        <f xml:space="preserve"> 1/ROWS(B27:B31)</f>
        <v>0.2</v>
      </c>
      <c r="K27" s="5" t="s">
        <v>925</v>
      </c>
    </row>
    <row r="28" spans="1:11">
      <c r="A28" s="106"/>
      <c r="B28" s="5" t="s">
        <v>61</v>
      </c>
      <c r="C28" s="6"/>
      <c r="D28" s="7" t="s">
        <v>341</v>
      </c>
      <c r="F28" s="3"/>
      <c r="J28" s="8">
        <f xml:space="preserve"> 1/ROWS(B28:B32)</f>
        <v>0.2</v>
      </c>
      <c r="K28" s="5" t="s">
        <v>925</v>
      </c>
    </row>
    <row r="29" spans="1:11">
      <c r="A29" s="106"/>
      <c r="B29" s="5" t="s">
        <v>63</v>
      </c>
      <c r="C29" s="6"/>
      <c r="D29" s="7" t="s">
        <v>342</v>
      </c>
      <c r="F29" s="3"/>
      <c r="J29" s="8">
        <f xml:space="preserve"> 1/ROWS(B29:B33)</f>
        <v>0.2</v>
      </c>
      <c r="K29" s="5" t="s">
        <v>925</v>
      </c>
    </row>
    <row r="30" spans="1:11">
      <c r="A30" s="106"/>
      <c r="B30" s="5" t="s">
        <v>65</v>
      </c>
      <c r="C30" s="6"/>
      <c r="D30" s="7" t="s">
        <v>343</v>
      </c>
      <c r="F30" s="3"/>
      <c r="J30" s="8">
        <f xml:space="preserve"> 1/ROWS(B30:B34)</f>
        <v>0.2</v>
      </c>
      <c r="K30" s="5" t="s">
        <v>925</v>
      </c>
    </row>
    <row r="31" spans="1:11">
      <c r="A31" s="106"/>
      <c r="B31" s="5" t="s">
        <v>62</v>
      </c>
      <c r="C31" s="6"/>
      <c r="D31" s="7" t="s">
        <v>344</v>
      </c>
      <c r="F31" s="3"/>
      <c r="J31" s="8">
        <f xml:space="preserve"> 1/ROWS(B31:B35)</f>
        <v>0.2</v>
      </c>
      <c r="K31" s="5" t="s">
        <v>925</v>
      </c>
    </row>
    <row r="32" spans="1:11">
      <c r="A32" s="106" t="s">
        <v>7</v>
      </c>
      <c r="B32" s="5" t="s">
        <v>101</v>
      </c>
      <c r="C32" s="6"/>
      <c r="D32" s="7" t="s">
        <v>345</v>
      </c>
      <c r="F32" s="3"/>
      <c r="K32" s="5"/>
    </row>
    <row r="33" spans="1:12">
      <c r="A33" s="106"/>
      <c r="B33" s="5" t="s">
        <v>102</v>
      </c>
      <c r="C33" s="6" t="s">
        <v>1171</v>
      </c>
      <c r="D33" s="7" t="s">
        <v>346</v>
      </c>
      <c r="F33" s="3">
        <v>300</v>
      </c>
      <c r="I33" s="3">
        <f>SUM(E33:H33)</f>
        <v>300</v>
      </c>
      <c r="J33" s="8">
        <f>I33/SUM($I$32:$I$69)</f>
        <v>6.1475409836065573E-2</v>
      </c>
      <c r="K33" s="109" t="s">
        <v>938</v>
      </c>
    </row>
    <row r="34" spans="1:12">
      <c r="A34" s="106"/>
      <c r="B34" s="5" t="s">
        <v>103</v>
      </c>
      <c r="C34" s="6"/>
      <c r="D34" s="7" t="s">
        <v>347</v>
      </c>
      <c r="F34" s="3"/>
      <c r="K34" s="5"/>
    </row>
    <row r="35" spans="1:12">
      <c r="A35" s="106"/>
      <c r="B35" s="5" t="s">
        <v>100</v>
      </c>
      <c r="C35" s="6"/>
      <c r="D35" s="7" t="s">
        <v>348</v>
      </c>
      <c r="F35" s="3"/>
      <c r="K35" s="5"/>
    </row>
    <row r="36" spans="1:12">
      <c r="A36" s="106"/>
      <c r="B36" s="5" t="s">
        <v>97</v>
      </c>
      <c r="C36" s="25" t="s">
        <v>682</v>
      </c>
      <c r="D36" s="7" t="s">
        <v>349</v>
      </c>
      <c r="F36" s="3">
        <v>160</v>
      </c>
      <c r="I36" s="3">
        <f>SUM(E36:H36)</f>
        <v>160</v>
      </c>
      <c r="J36" s="8">
        <f>I36/SUM($I$32:$I$69)</f>
        <v>3.2786885245901641E-2</v>
      </c>
      <c r="K36" s="109" t="s">
        <v>938</v>
      </c>
    </row>
    <row r="37" spans="1:12">
      <c r="A37" s="106"/>
      <c r="B37" s="5" t="s">
        <v>98</v>
      </c>
      <c r="C37" s="6"/>
      <c r="D37" s="7" t="s">
        <v>350</v>
      </c>
      <c r="F37" s="3"/>
      <c r="K37" s="5"/>
    </row>
    <row r="38" spans="1:12">
      <c r="A38" s="106"/>
      <c r="B38" s="5" t="s">
        <v>95</v>
      </c>
      <c r="C38" s="6"/>
      <c r="D38" s="7" t="s">
        <v>351</v>
      </c>
      <c r="F38" s="3"/>
      <c r="K38" s="5"/>
    </row>
    <row r="39" spans="1:12">
      <c r="A39" s="106"/>
      <c r="B39" s="5" t="s">
        <v>96</v>
      </c>
      <c r="C39" s="6"/>
      <c r="D39" s="7" t="s">
        <v>352</v>
      </c>
      <c r="F39" s="3"/>
      <c r="K39" s="5"/>
    </row>
    <row r="40" spans="1:12">
      <c r="A40" s="106"/>
      <c r="B40" s="5" t="s">
        <v>99</v>
      </c>
      <c r="C40" s="6"/>
      <c r="D40" s="7" t="s">
        <v>353</v>
      </c>
      <c r="F40" s="3"/>
      <c r="K40" s="5"/>
    </row>
    <row r="41" spans="1:12">
      <c r="A41" s="106"/>
      <c r="B41" s="5" t="s">
        <v>93</v>
      </c>
      <c r="C41" s="6"/>
      <c r="D41" s="7" t="s">
        <v>354</v>
      </c>
      <c r="F41" s="3"/>
      <c r="K41" s="5"/>
    </row>
    <row r="42" spans="1:12">
      <c r="A42" s="106"/>
      <c r="B42" s="5" t="s">
        <v>94</v>
      </c>
      <c r="C42" s="6"/>
      <c r="D42" s="7" t="s">
        <v>355</v>
      </c>
      <c r="F42" s="3"/>
      <c r="K42" s="5"/>
    </row>
    <row r="43" spans="1:12">
      <c r="A43" s="106"/>
      <c r="B43" s="5" t="s">
        <v>92</v>
      </c>
      <c r="C43" s="6"/>
      <c r="D43" s="7" t="s">
        <v>356</v>
      </c>
      <c r="F43" s="3"/>
      <c r="K43" s="5"/>
    </row>
    <row r="44" spans="1:12">
      <c r="A44" s="106"/>
      <c r="B44" s="5" t="s">
        <v>91</v>
      </c>
      <c r="C44" s="6" t="s">
        <v>706</v>
      </c>
      <c r="D44" s="7" t="s">
        <v>357</v>
      </c>
      <c r="E44" s="3">
        <v>52</v>
      </c>
      <c r="F44" s="3">
        <v>70</v>
      </c>
      <c r="G44" s="101">
        <v>40</v>
      </c>
      <c r="H44" s="101">
        <v>70</v>
      </c>
      <c r="I44" s="3">
        <f>SUM(E44:H44)</f>
        <v>232</v>
      </c>
      <c r="J44" s="8">
        <f>I44/SUM($I$32:$I$69)</f>
        <v>4.7540983606557376E-2</v>
      </c>
      <c r="K44" s="109" t="s">
        <v>1248</v>
      </c>
      <c r="L44" s="110"/>
    </row>
    <row r="45" spans="1:12">
      <c r="A45" s="106"/>
      <c r="B45" s="5" t="s">
        <v>90</v>
      </c>
      <c r="C45" s="6"/>
      <c r="D45" s="7" t="s">
        <v>358</v>
      </c>
      <c r="F45" s="3"/>
      <c r="K45" s="5"/>
    </row>
    <row r="46" spans="1:12">
      <c r="A46" s="106"/>
      <c r="B46" s="5" t="s">
        <v>89</v>
      </c>
      <c r="C46" s="6"/>
      <c r="D46" s="7" t="s">
        <v>359</v>
      </c>
      <c r="F46" s="3"/>
      <c r="K46" s="5"/>
    </row>
    <row r="47" spans="1:12">
      <c r="A47" s="106"/>
      <c r="B47" s="5" t="s">
        <v>88</v>
      </c>
      <c r="C47" s="6"/>
      <c r="D47" s="7" t="s">
        <v>360</v>
      </c>
      <c r="F47" s="3"/>
      <c r="K47" s="5"/>
    </row>
    <row r="48" spans="1:12">
      <c r="A48" s="106"/>
      <c r="B48" s="5" t="s">
        <v>87</v>
      </c>
      <c r="C48" s="6"/>
      <c r="D48" s="7" t="s">
        <v>361</v>
      </c>
      <c r="F48" s="3"/>
      <c r="K48" s="5"/>
    </row>
    <row r="49" spans="1:12">
      <c r="A49" s="106"/>
      <c r="B49" s="5" t="s">
        <v>86</v>
      </c>
      <c r="C49" s="6"/>
      <c r="D49" s="7" t="s">
        <v>362</v>
      </c>
      <c r="F49" s="3"/>
      <c r="K49" s="5"/>
    </row>
    <row r="50" spans="1:12">
      <c r="A50" s="106"/>
      <c r="B50" s="5" t="s">
        <v>85</v>
      </c>
      <c r="C50" s="6"/>
      <c r="D50" s="7" t="s">
        <v>363</v>
      </c>
      <c r="F50" s="3"/>
      <c r="K50" s="5"/>
    </row>
    <row r="51" spans="1:12">
      <c r="A51" s="106"/>
      <c r="B51" s="5" t="s">
        <v>84</v>
      </c>
      <c r="C51" s="6"/>
      <c r="D51" s="7" t="s">
        <v>364</v>
      </c>
      <c r="F51" s="3"/>
      <c r="K51" s="5"/>
    </row>
    <row r="52" spans="1:12">
      <c r="A52" s="106"/>
      <c r="B52" s="5" t="s">
        <v>83</v>
      </c>
      <c r="C52" s="6"/>
      <c r="D52" s="7" t="s">
        <v>365</v>
      </c>
      <c r="F52" s="3"/>
      <c r="K52" s="5"/>
    </row>
    <row r="53" spans="1:12">
      <c r="A53" s="106"/>
      <c r="B53" s="5" t="s">
        <v>82</v>
      </c>
      <c r="C53" s="6"/>
      <c r="D53" s="7" t="s">
        <v>366</v>
      </c>
      <c r="F53" s="3"/>
      <c r="K53" s="5"/>
    </row>
    <row r="54" spans="1:12">
      <c r="A54" s="106"/>
      <c r="B54" s="5" t="s">
        <v>81</v>
      </c>
      <c r="C54" s="6" t="s">
        <v>704</v>
      </c>
      <c r="D54" s="7" t="s">
        <v>367</v>
      </c>
      <c r="E54" s="3">
        <v>60</v>
      </c>
      <c r="F54" s="3">
        <v>75</v>
      </c>
      <c r="I54" s="3">
        <f>SUM(E54:H54)</f>
        <v>135</v>
      </c>
      <c r="J54" s="8">
        <f>I54/SUM($I$32:$I$69)</f>
        <v>2.7663934426229508E-2</v>
      </c>
      <c r="K54" s="109" t="s">
        <v>938</v>
      </c>
    </row>
    <row r="55" spans="1:12" ht="30">
      <c r="A55" s="106"/>
      <c r="B55" s="5" t="s">
        <v>78</v>
      </c>
      <c r="C55" s="25" t="s">
        <v>701</v>
      </c>
      <c r="D55" s="7" t="s">
        <v>368</v>
      </c>
      <c r="E55" s="3">
        <f>30+170+150</f>
        <v>350</v>
      </c>
      <c r="F55" s="3">
        <f>410+250</f>
        <v>660</v>
      </c>
      <c r="G55" s="101">
        <v>70</v>
      </c>
      <c r="H55" s="101">
        <v>190</v>
      </c>
      <c r="I55" s="3">
        <f>SUM(E55:H55)</f>
        <v>1270</v>
      </c>
      <c r="J55" s="8">
        <f>I55/SUM($I$32:$I$69)</f>
        <v>0.26024590163934425</v>
      </c>
      <c r="K55" s="109" t="s">
        <v>1250</v>
      </c>
      <c r="L55" s="102"/>
    </row>
    <row r="56" spans="1:12" ht="45">
      <c r="A56" s="106"/>
      <c r="B56" s="5" t="s">
        <v>77</v>
      </c>
      <c r="C56" s="25" t="s">
        <v>710</v>
      </c>
      <c r="D56" s="7" t="s">
        <v>369</v>
      </c>
      <c r="E56" s="3">
        <f>140+130+100</f>
        <v>370</v>
      </c>
      <c r="F56" s="3">
        <f>280+510+160</f>
        <v>950</v>
      </c>
      <c r="G56" s="3">
        <f>280/2+218/2</f>
        <v>249</v>
      </c>
      <c r="H56" s="3">
        <f>280/2+218/2</f>
        <v>249</v>
      </c>
      <c r="I56" s="3">
        <f>SUM(E56:H56)</f>
        <v>1818</v>
      </c>
      <c r="J56" s="8">
        <f>I56/SUM($I$32:$I$69)</f>
        <v>0.37254098360655735</v>
      </c>
      <c r="K56" s="109" t="s">
        <v>938</v>
      </c>
      <c r="L56" s="103"/>
    </row>
    <row r="57" spans="1:12">
      <c r="A57" s="106"/>
      <c r="B57" s="5" t="s">
        <v>76</v>
      </c>
      <c r="C57" s="6"/>
      <c r="D57" s="7" t="s">
        <v>370</v>
      </c>
      <c r="F57" s="3"/>
      <c r="K57" s="5"/>
    </row>
    <row r="58" spans="1:12">
      <c r="A58" s="106"/>
      <c r="B58" s="5" t="s">
        <v>79</v>
      </c>
      <c r="C58" s="6"/>
      <c r="D58" s="7" t="s">
        <v>371</v>
      </c>
      <c r="F58" s="3"/>
      <c r="K58" s="5"/>
    </row>
    <row r="59" spans="1:12">
      <c r="A59" s="106"/>
      <c r="B59" s="5" t="s">
        <v>80</v>
      </c>
      <c r="C59" s="6"/>
      <c r="D59" s="7" t="s">
        <v>372</v>
      </c>
      <c r="F59" s="3"/>
      <c r="K59" s="5"/>
    </row>
    <row r="60" spans="1:12">
      <c r="A60" s="106"/>
      <c r="B60" s="5" t="s">
        <v>75</v>
      </c>
      <c r="C60" s="6"/>
      <c r="D60" s="7" t="s">
        <v>373</v>
      </c>
      <c r="F60" s="3"/>
      <c r="K60" s="5"/>
    </row>
    <row r="61" spans="1:12">
      <c r="A61" s="106"/>
      <c r="B61" s="5" t="s">
        <v>73</v>
      </c>
      <c r="C61" s="6"/>
      <c r="D61" s="7" t="s">
        <v>374</v>
      </c>
      <c r="F61" s="3"/>
      <c r="K61" s="5"/>
    </row>
    <row r="62" spans="1:12">
      <c r="A62" s="106"/>
      <c r="B62" s="5" t="s">
        <v>74</v>
      </c>
      <c r="C62" s="3" t="s">
        <v>685</v>
      </c>
      <c r="D62" s="7" t="s">
        <v>375</v>
      </c>
      <c r="E62" s="3">
        <v>85</v>
      </c>
      <c r="F62" s="3">
        <v>320</v>
      </c>
      <c r="I62" s="3">
        <f>SUM(E62:H62)</f>
        <v>405</v>
      </c>
      <c r="J62" s="8">
        <f>I62/SUM($I$32:$I$69)</f>
        <v>8.299180327868852E-2</v>
      </c>
      <c r="K62" s="109" t="s">
        <v>1251</v>
      </c>
    </row>
    <row r="63" spans="1:12">
      <c r="A63" s="106"/>
      <c r="B63" s="5" t="s">
        <v>72</v>
      </c>
      <c r="C63" s="6"/>
      <c r="D63" s="7" t="s">
        <v>376</v>
      </c>
      <c r="F63" s="3"/>
      <c r="K63" s="5"/>
    </row>
    <row r="64" spans="1:12">
      <c r="A64" s="106"/>
      <c r="B64" s="5" t="s">
        <v>69</v>
      </c>
      <c r="C64" s="6"/>
      <c r="D64" s="7" t="s">
        <v>377</v>
      </c>
      <c r="F64" s="3"/>
      <c r="K64" s="5"/>
    </row>
    <row r="65" spans="1:12">
      <c r="A65" s="106"/>
      <c r="B65" s="5" t="s">
        <v>70</v>
      </c>
      <c r="C65" s="6"/>
      <c r="D65" s="7" t="s">
        <v>378</v>
      </c>
      <c r="F65" s="3"/>
      <c r="K65" s="5"/>
    </row>
    <row r="66" spans="1:12">
      <c r="A66" s="106"/>
      <c r="B66" s="5" t="s">
        <v>68</v>
      </c>
      <c r="C66" s="3" t="s">
        <v>681</v>
      </c>
      <c r="D66" s="7" t="s">
        <v>379</v>
      </c>
      <c r="F66" s="3">
        <v>300</v>
      </c>
      <c r="I66" s="3">
        <f>SUM(E66:H66)</f>
        <v>300</v>
      </c>
      <c r="J66" s="8">
        <f>I66/SUM($I$32:$I$69)</f>
        <v>6.1475409836065573E-2</v>
      </c>
      <c r="K66" s="109" t="s">
        <v>938</v>
      </c>
    </row>
    <row r="67" spans="1:12">
      <c r="A67" s="106"/>
      <c r="B67" s="5" t="s">
        <v>71</v>
      </c>
      <c r="C67" s="6"/>
      <c r="D67" s="7" t="s">
        <v>380</v>
      </c>
      <c r="F67" s="3"/>
      <c r="K67" s="5"/>
    </row>
    <row r="68" spans="1:12">
      <c r="A68" s="106"/>
      <c r="B68" s="5" t="s">
        <v>67</v>
      </c>
      <c r="C68" s="3" t="s">
        <v>684</v>
      </c>
      <c r="D68" s="7" t="s">
        <v>381</v>
      </c>
      <c r="E68" s="3">
        <v>125</v>
      </c>
      <c r="F68" s="3">
        <v>120</v>
      </c>
      <c r="G68" s="101">
        <v>15</v>
      </c>
      <c r="I68" s="3">
        <f>SUM(E68:H68)</f>
        <v>260</v>
      </c>
      <c r="J68" s="8">
        <f>I68/SUM($I$32:$I$69)</f>
        <v>5.3278688524590161E-2</v>
      </c>
      <c r="K68" s="109" t="s">
        <v>1253</v>
      </c>
      <c r="L68" s="102"/>
    </row>
    <row r="69" spans="1:12">
      <c r="A69" s="106"/>
      <c r="B69" s="5" t="s">
        <v>66</v>
      </c>
      <c r="C69" s="6"/>
      <c r="D69" s="7" t="s">
        <v>382</v>
      </c>
      <c r="F69" s="3"/>
      <c r="K69" s="5"/>
    </row>
    <row r="70" spans="1:12">
      <c r="A70" s="24" t="s">
        <v>622</v>
      </c>
      <c r="B70" s="5" t="s">
        <v>383</v>
      </c>
      <c r="C70" s="6"/>
      <c r="D70" s="7" t="s">
        <v>384</v>
      </c>
      <c r="F70" s="3"/>
      <c r="J70" s="8">
        <v>1</v>
      </c>
      <c r="K70" s="5" t="s">
        <v>925</v>
      </c>
    </row>
    <row r="71" spans="1:12">
      <c r="A71" s="106" t="s">
        <v>8</v>
      </c>
      <c r="B71" s="5" t="s">
        <v>106</v>
      </c>
      <c r="C71" s="6"/>
      <c r="D71" s="7" t="s">
        <v>385</v>
      </c>
      <c r="F71" s="3"/>
      <c r="J71" s="8">
        <f xml:space="preserve"> 1/ ROWS(B71:B73)</f>
        <v>0.33333333333333331</v>
      </c>
      <c r="K71" s="5" t="s">
        <v>925</v>
      </c>
    </row>
    <row r="72" spans="1:12">
      <c r="A72" s="106"/>
      <c r="B72" s="5" t="s">
        <v>105</v>
      </c>
      <c r="C72" s="6"/>
      <c r="D72" s="7" t="s">
        <v>386</v>
      </c>
      <c r="F72" s="3"/>
      <c r="J72" s="8">
        <f xml:space="preserve"> 1/ ROWS(B72:B74)</f>
        <v>0.33333333333333331</v>
      </c>
      <c r="K72" s="5" t="s">
        <v>925</v>
      </c>
    </row>
    <row r="73" spans="1:12">
      <c r="A73" s="106"/>
      <c r="B73" s="5" t="s">
        <v>104</v>
      </c>
      <c r="C73" s="6"/>
      <c r="D73" s="7" t="s">
        <v>387</v>
      </c>
      <c r="F73" s="3"/>
      <c r="J73" s="8">
        <f xml:space="preserve"> 1/ ROWS(B73:B75)</f>
        <v>0.33333333333333331</v>
      </c>
      <c r="K73" s="5" t="s">
        <v>925</v>
      </c>
    </row>
    <row r="74" spans="1:12">
      <c r="A74" s="106" t="s">
        <v>9</v>
      </c>
      <c r="B74" s="5" t="s">
        <v>114</v>
      </c>
      <c r="C74" s="6"/>
      <c r="D74" s="7" t="s">
        <v>388</v>
      </c>
      <c r="F74" s="3"/>
      <c r="J74" s="8">
        <f t="shared" ref="J74:J86" si="2" xml:space="preserve"> 1/ ROWS(B74:B86)</f>
        <v>7.6923076923076927E-2</v>
      </c>
      <c r="K74" s="5" t="s">
        <v>925</v>
      </c>
    </row>
    <row r="75" spans="1:12">
      <c r="A75" s="106"/>
      <c r="B75" s="5" t="s">
        <v>389</v>
      </c>
      <c r="C75" s="6"/>
      <c r="D75" s="7" t="s">
        <v>390</v>
      </c>
      <c r="F75" s="3"/>
      <c r="J75" s="8">
        <f t="shared" si="2"/>
        <v>7.6923076923076927E-2</v>
      </c>
      <c r="K75" s="5" t="s">
        <v>925</v>
      </c>
    </row>
    <row r="76" spans="1:12">
      <c r="A76" s="106"/>
      <c r="B76" s="5" t="s">
        <v>391</v>
      </c>
      <c r="C76" s="6"/>
      <c r="D76" s="7" t="s">
        <v>392</v>
      </c>
      <c r="F76" s="3"/>
      <c r="J76" s="8">
        <f t="shared" si="2"/>
        <v>7.6923076923076927E-2</v>
      </c>
      <c r="K76" s="5" t="s">
        <v>925</v>
      </c>
    </row>
    <row r="77" spans="1:12">
      <c r="A77" s="106"/>
      <c r="B77" s="5" t="s">
        <v>393</v>
      </c>
      <c r="C77" s="6"/>
      <c r="D77" s="7" t="s">
        <v>394</v>
      </c>
      <c r="F77" s="3"/>
      <c r="J77" s="8">
        <f t="shared" si="2"/>
        <v>7.6923076923076927E-2</v>
      </c>
      <c r="K77" s="5" t="s">
        <v>925</v>
      </c>
    </row>
    <row r="78" spans="1:12">
      <c r="A78" s="106"/>
      <c r="B78" s="5" t="s">
        <v>115</v>
      </c>
      <c r="C78" s="6"/>
      <c r="D78" s="7" t="s">
        <v>395</v>
      </c>
      <c r="F78" s="3"/>
      <c r="J78" s="8">
        <f t="shared" si="2"/>
        <v>7.6923076923076927E-2</v>
      </c>
      <c r="K78" s="5" t="s">
        <v>925</v>
      </c>
    </row>
    <row r="79" spans="1:12">
      <c r="A79" s="106"/>
      <c r="B79" s="5" t="s">
        <v>110</v>
      </c>
      <c r="C79" s="6"/>
      <c r="D79" s="7" t="s">
        <v>396</v>
      </c>
      <c r="F79" s="3"/>
      <c r="J79" s="8">
        <f t="shared" si="2"/>
        <v>7.6923076923076927E-2</v>
      </c>
      <c r="K79" s="5" t="s">
        <v>925</v>
      </c>
    </row>
    <row r="80" spans="1:12">
      <c r="A80" s="106"/>
      <c r="B80" s="5" t="s">
        <v>112</v>
      </c>
      <c r="C80" s="6"/>
      <c r="D80" s="7" t="s">
        <v>397</v>
      </c>
      <c r="F80" s="3"/>
      <c r="J80" s="8">
        <f t="shared" si="2"/>
        <v>7.6923076923076927E-2</v>
      </c>
      <c r="K80" s="5" t="s">
        <v>925</v>
      </c>
    </row>
    <row r="81" spans="1:11">
      <c r="A81" s="106"/>
      <c r="B81" s="5" t="s">
        <v>111</v>
      </c>
      <c r="C81" s="6"/>
      <c r="D81" s="7" t="s">
        <v>398</v>
      </c>
      <c r="F81" s="3"/>
      <c r="J81" s="8">
        <f t="shared" si="2"/>
        <v>7.6923076923076927E-2</v>
      </c>
      <c r="K81" s="5" t="s">
        <v>925</v>
      </c>
    </row>
    <row r="82" spans="1:11">
      <c r="A82" s="106"/>
      <c r="B82" s="5" t="s">
        <v>107</v>
      </c>
      <c r="C82" s="6"/>
      <c r="D82" s="7" t="s">
        <v>399</v>
      </c>
      <c r="F82" s="3"/>
      <c r="J82" s="8">
        <f t="shared" si="2"/>
        <v>7.6923076923076927E-2</v>
      </c>
      <c r="K82" s="5" t="s">
        <v>925</v>
      </c>
    </row>
    <row r="83" spans="1:11">
      <c r="A83" s="106"/>
      <c r="B83" s="5" t="s">
        <v>400</v>
      </c>
      <c r="C83" s="6"/>
      <c r="D83" s="7" t="s">
        <v>401</v>
      </c>
      <c r="F83" s="3"/>
      <c r="J83" s="8">
        <f t="shared" si="2"/>
        <v>7.6923076923076927E-2</v>
      </c>
      <c r="K83" s="5" t="s">
        <v>925</v>
      </c>
    </row>
    <row r="84" spans="1:11">
      <c r="A84" s="106"/>
      <c r="B84" s="5" t="s">
        <v>113</v>
      </c>
      <c r="C84" s="6"/>
      <c r="D84" s="7" t="s">
        <v>402</v>
      </c>
      <c r="F84" s="3"/>
      <c r="J84" s="8">
        <f t="shared" si="2"/>
        <v>7.6923076923076927E-2</v>
      </c>
      <c r="K84" s="5" t="s">
        <v>925</v>
      </c>
    </row>
    <row r="85" spans="1:11">
      <c r="A85" s="106"/>
      <c r="B85" s="5" t="s">
        <v>108</v>
      </c>
      <c r="C85" s="6"/>
      <c r="D85" s="7" t="s">
        <v>403</v>
      </c>
      <c r="F85" s="3"/>
      <c r="J85" s="8">
        <f t="shared" si="2"/>
        <v>7.6923076923076927E-2</v>
      </c>
      <c r="K85" s="5" t="s">
        <v>925</v>
      </c>
    </row>
    <row r="86" spans="1:11">
      <c r="A86" s="106"/>
      <c r="B86" s="5" t="s">
        <v>109</v>
      </c>
      <c r="C86" s="6"/>
      <c r="D86" s="7" t="s">
        <v>404</v>
      </c>
      <c r="F86" s="3"/>
      <c r="J86" s="8">
        <f t="shared" si="2"/>
        <v>7.6923076923076927E-2</v>
      </c>
      <c r="K86" s="5" t="s">
        <v>925</v>
      </c>
    </row>
    <row r="87" spans="1:11">
      <c r="A87" s="106" t="s">
        <v>10</v>
      </c>
      <c r="B87" s="5" t="s">
        <v>120</v>
      </c>
      <c r="C87" s="6"/>
      <c r="D87" s="7" t="s">
        <v>405</v>
      </c>
      <c r="F87" s="3"/>
    </row>
    <row r="88" spans="1:11">
      <c r="A88" s="106"/>
      <c r="B88" s="5" t="s">
        <v>117</v>
      </c>
      <c r="C88" s="6"/>
      <c r="D88" s="7" t="s">
        <v>406</v>
      </c>
      <c r="F88" s="3"/>
    </row>
    <row r="89" spans="1:11">
      <c r="A89" s="106"/>
      <c r="B89" s="5" t="s">
        <v>128</v>
      </c>
      <c r="C89" s="6"/>
      <c r="D89" s="7" t="s">
        <v>407</v>
      </c>
      <c r="F89" s="3"/>
    </row>
    <row r="90" spans="1:11">
      <c r="A90" s="106"/>
      <c r="B90" s="5" t="s">
        <v>118</v>
      </c>
      <c r="C90" s="6"/>
      <c r="D90" s="7" t="s">
        <v>408</v>
      </c>
      <c r="F90" s="3"/>
    </row>
    <row r="91" spans="1:11">
      <c r="A91" s="106"/>
      <c r="B91" s="5" t="s">
        <v>123</v>
      </c>
      <c r="C91" s="6"/>
      <c r="D91" s="7" t="s">
        <v>409</v>
      </c>
      <c r="F91" s="3"/>
    </row>
    <row r="92" spans="1:11">
      <c r="A92" s="106"/>
      <c r="B92" s="5" t="s">
        <v>119</v>
      </c>
      <c r="C92" s="6"/>
      <c r="D92" s="7" t="s">
        <v>410</v>
      </c>
      <c r="F92" s="3"/>
    </row>
    <row r="93" spans="1:11">
      <c r="A93" s="106"/>
      <c r="B93" s="5" t="s">
        <v>129</v>
      </c>
      <c r="C93" s="6"/>
      <c r="D93" s="7" t="s">
        <v>411</v>
      </c>
      <c r="F93" s="3"/>
    </row>
    <row r="94" spans="1:11">
      <c r="A94" s="106"/>
      <c r="B94" s="5" t="s">
        <v>124</v>
      </c>
      <c r="C94" s="6"/>
      <c r="D94" s="7" t="s">
        <v>412</v>
      </c>
      <c r="F94" s="3"/>
    </row>
    <row r="95" spans="1:11">
      <c r="A95" s="106"/>
      <c r="B95" s="5" t="s">
        <v>126</v>
      </c>
      <c r="C95" s="6"/>
      <c r="D95" s="7" t="s">
        <v>413</v>
      </c>
      <c r="F95" s="3"/>
    </row>
    <row r="96" spans="1:11">
      <c r="A96" s="106"/>
      <c r="B96" s="5" t="s">
        <v>127</v>
      </c>
      <c r="C96" s="6" t="s">
        <v>662</v>
      </c>
      <c r="D96" s="7" t="s">
        <v>414</v>
      </c>
      <c r="F96" s="3">
        <v>125</v>
      </c>
      <c r="I96" s="3">
        <f>SUM(E96:H96)</f>
        <v>125</v>
      </c>
      <c r="J96" s="8">
        <f>I96/SUM($I$96:$I$101)</f>
        <v>7.5346594333936104E-2</v>
      </c>
      <c r="K96" s="109" t="s">
        <v>938</v>
      </c>
    </row>
    <row r="97" spans="1:13">
      <c r="A97" s="106"/>
      <c r="B97" s="5" t="s">
        <v>121</v>
      </c>
      <c r="C97" s="6"/>
      <c r="D97" s="7" t="s">
        <v>415</v>
      </c>
      <c r="F97" s="3"/>
    </row>
    <row r="98" spans="1:13">
      <c r="A98" s="106"/>
      <c r="B98" s="5" t="s">
        <v>125</v>
      </c>
      <c r="C98" s="6" t="s">
        <v>661</v>
      </c>
      <c r="D98" s="7" t="s">
        <v>416</v>
      </c>
      <c r="F98" s="3">
        <v>180</v>
      </c>
      <c r="I98" s="3">
        <f>SUM(E98:H98)</f>
        <v>180</v>
      </c>
      <c r="J98" s="8">
        <f t="shared" ref="J98:J101" si="3">I98/SUM($I$96:$I$101)</f>
        <v>0.10849909584086799</v>
      </c>
      <c r="K98" s="104" t="s">
        <v>948</v>
      </c>
    </row>
    <row r="99" spans="1:13">
      <c r="A99" s="106"/>
      <c r="B99" s="5" t="s">
        <v>122</v>
      </c>
      <c r="C99" s="6"/>
      <c r="D99" s="7" t="s">
        <v>417</v>
      </c>
      <c r="F99" s="3"/>
    </row>
    <row r="100" spans="1:13">
      <c r="A100" s="106"/>
      <c r="B100" s="5" t="s">
        <v>418</v>
      </c>
      <c r="C100" s="6"/>
      <c r="D100" s="7" t="s">
        <v>419</v>
      </c>
      <c r="F100" s="3"/>
    </row>
    <row r="101" spans="1:13" ht="30">
      <c r="A101" s="106"/>
      <c r="B101" s="5" t="s">
        <v>130</v>
      </c>
      <c r="C101" s="6" t="s">
        <v>698</v>
      </c>
      <c r="D101" s="7" t="s">
        <v>420</v>
      </c>
      <c r="E101" s="3">
        <f>200+(125+94)</f>
        <v>419</v>
      </c>
      <c r="F101" s="3">
        <f>245+400</f>
        <v>645</v>
      </c>
      <c r="G101" s="101">
        <f>40+150</f>
        <v>190</v>
      </c>
      <c r="H101" s="101">
        <v>100</v>
      </c>
      <c r="I101" s="3">
        <f>SUM(E101:H101)</f>
        <v>1354</v>
      </c>
      <c r="J101" s="8">
        <f t="shared" si="3"/>
        <v>0.81615430982519588</v>
      </c>
      <c r="K101" s="109" t="s">
        <v>1254</v>
      </c>
      <c r="L101" s="104"/>
      <c r="M101" s="104"/>
    </row>
    <row r="102" spans="1:13">
      <c r="A102" s="106"/>
      <c r="B102" s="5" t="s">
        <v>116</v>
      </c>
      <c r="C102" s="6"/>
      <c r="D102" s="7" t="s">
        <v>421</v>
      </c>
      <c r="F102" s="3"/>
    </row>
    <row r="103" spans="1:13">
      <c r="A103" s="106"/>
      <c r="B103" s="5" t="s">
        <v>422</v>
      </c>
      <c r="C103" s="6"/>
      <c r="D103" s="7" t="s">
        <v>423</v>
      </c>
      <c r="F103" s="3"/>
    </row>
    <row r="104" spans="1:13">
      <c r="A104" s="106"/>
      <c r="B104" s="5" t="s">
        <v>424</v>
      </c>
      <c r="C104" s="6"/>
      <c r="D104" s="7" t="s">
        <v>425</v>
      </c>
      <c r="F104" s="3"/>
    </row>
    <row r="105" spans="1:13">
      <c r="A105" s="106"/>
      <c r="B105" s="5" t="s">
        <v>426</v>
      </c>
      <c r="C105" s="6"/>
      <c r="D105" s="7" t="s">
        <v>427</v>
      </c>
      <c r="F105" s="3"/>
    </row>
    <row r="106" spans="1:13">
      <c r="A106" s="106" t="s">
        <v>11</v>
      </c>
      <c r="B106" s="5" t="s">
        <v>132</v>
      </c>
      <c r="C106" s="6"/>
      <c r="D106" s="7" t="s">
        <v>428</v>
      </c>
      <c r="F106" s="3"/>
    </row>
    <row r="107" spans="1:13">
      <c r="A107" s="106"/>
      <c r="B107" s="5" t="s">
        <v>143</v>
      </c>
      <c r="C107" s="6"/>
      <c r="D107" s="7" t="s">
        <v>429</v>
      </c>
      <c r="F107" s="3"/>
    </row>
    <row r="108" spans="1:13">
      <c r="A108" s="106"/>
      <c r="B108" s="5" t="s">
        <v>141</v>
      </c>
      <c r="C108" s="6"/>
      <c r="D108" s="7" t="s">
        <v>430</v>
      </c>
      <c r="F108" s="3"/>
    </row>
    <row r="109" spans="1:13">
      <c r="A109" s="106"/>
      <c r="B109" s="5" t="s">
        <v>138</v>
      </c>
      <c r="C109" s="6"/>
      <c r="D109" s="7" t="s">
        <v>431</v>
      </c>
      <c r="F109" s="3"/>
    </row>
    <row r="110" spans="1:13">
      <c r="A110" s="106"/>
      <c r="B110" s="10" t="s">
        <v>145</v>
      </c>
      <c r="C110" s="7"/>
      <c r="D110" s="11" t="s">
        <v>432</v>
      </c>
      <c r="F110" s="3"/>
    </row>
    <row r="111" spans="1:13">
      <c r="A111" s="106"/>
      <c r="B111" s="10" t="s">
        <v>137</v>
      </c>
      <c r="C111" s="25" t="s">
        <v>699</v>
      </c>
      <c r="D111" s="11" t="s">
        <v>433</v>
      </c>
      <c r="E111" s="3">
        <v>30</v>
      </c>
      <c r="F111" s="3">
        <v>274</v>
      </c>
      <c r="G111" s="3">
        <f>180/2</f>
        <v>90</v>
      </c>
      <c r="H111" s="3">
        <f>180/2</f>
        <v>90</v>
      </c>
      <c r="I111" s="3">
        <f>SUM(E111:H111)</f>
        <v>484</v>
      </c>
      <c r="J111" s="8">
        <f>I111/SUM($I$111:$I$126)</f>
        <v>0.41760138050043139</v>
      </c>
      <c r="K111" s="102" t="s">
        <v>1172</v>
      </c>
    </row>
    <row r="112" spans="1:13">
      <c r="A112" s="106"/>
      <c r="B112" s="5" t="s">
        <v>134</v>
      </c>
      <c r="D112" s="7" t="s">
        <v>434</v>
      </c>
      <c r="F112" s="3"/>
    </row>
    <row r="113" spans="1:11">
      <c r="A113" s="106"/>
      <c r="B113" s="5" t="s">
        <v>151</v>
      </c>
      <c r="C113" s="6"/>
      <c r="D113" s="7" t="s">
        <v>435</v>
      </c>
      <c r="F113" s="3"/>
    </row>
    <row r="114" spans="1:11">
      <c r="A114" s="106"/>
      <c r="B114" s="5" t="s">
        <v>133</v>
      </c>
      <c r="C114" s="6"/>
      <c r="D114" s="7" t="s">
        <v>436</v>
      </c>
      <c r="F114" s="3"/>
    </row>
    <row r="115" spans="1:11">
      <c r="A115" s="106"/>
      <c r="B115" s="5" t="s">
        <v>148</v>
      </c>
      <c r="C115" s="6"/>
      <c r="D115" s="7" t="s">
        <v>437</v>
      </c>
      <c r="F115" s="3"/>
    </row>
    <row r="116" spans="1:11">
      <c r="A116" s="106"/>
      <c r="B116" s="5" t="s">
        <v>135</v>
      </c>
      <c r="C116" s="6" t="s">
        <v>711</v>
      </c>
      <c r="D116" s="7" t="s">
        <v>438</v>
      </c>
      <c r="F116" s="3">
        <v>325</v>
      </c>
      <c r="I116" s="3">
        <f>SUM(E116:H116)</f>
        <v>325</v>
      </c>
      <c r="J116" s="8">
        <f t="shared" ref="J116:J125" si="4">I116/SUM($I$111:$I$126)</f>
        <v>0.28041415012942189</v>
      </c>
      <c r="K116" s="102" t="s">
        <v>938</v>
      </c>
    </row>
    <row r="117" spans="1:11">
      <c r="A117" s="106"/>
      <c r="B117" s="5" t="s">
        <v>136</v>
      </c>
      <c r="C117" s="6"/>
      <c r="D117" s="7" t="s">
        <v>439</v>
      </c>
      <c r="F117" s="3"/>
    </row>
    <row r="118" spans="1:11">
      <c r="A118" s="106"/>
      <c r="B118" s="5" t="s">
        <v>140</v>
      </c>
      <c r="C118" s="6"/>
      <c r="D118" s="7" t="s">
        <v>440</v>
      </c>
      <c r="F118" s="3"/>
    </row>
    <row r="119" spans="1:11">
      <c r="A119" s="106"/>
      <c r="B119" s="5" t="s">
        <v>139</v>
      </c>
      <c r="C119" s="6"/>
      <c r="D119" s="7" t="s">
        <v>441</v>
      </c>
      <c r="F119" s="3"/>
    </row>
    <row r="120" spans="1:11">
      <c r="A120" s="106"/>
      <c r="B120" s="5" t="s">
        <v>142</v>
      </c>
      <c r="C120" s="6"/>
      <c r="D120" s="7" t="s">
        <v>442</v>
      </c>
      <c r="F120" s="3"/>
    </row>
    <row r="121" spans="1:11">
      <c r="A121" s="106"/>
      <c r="B121" s="5" t="s">
        <v>144</v>
      </c>
      <c r="C121" s="6"/>
      <c r="D121" s="7" t="s">
        <v>443</v>
      </c>
      <c r="F121" s="3"/>
    </row>
    <row r="122" spans="1:11">
      <c r="A122" s="106"/>
      <c r="B122" s="5" t="s">
        <v>146</v>
      </c>
      <c r="C122" s="6"/>
      <c r="D122" s="7" t="s">
        <v>444</v>
      </c>
      <c r="F122" s="3"/>
    </row>
    <row r="123" spans="1:11">
      <c r="A123" s="106"/>
      <c r="B123" s="5" t="s">
        <v>147</v>
      </c>
      <c r="C123" s="6"/>
      <c r="D123" s="7" t="s">
        <v>445</v>
      </c>
      <c r="F123" s="3"/>
    </row>
    <row r="124" spans="1:11">
      <c r="A124" s="106"/>
      <c r="B124" s="5" t="s">
        <v>150</v>
      </c>
      <c r="C124" s="6"/>
      <c r="D124" s="7" t="s">
        <v>446</v>
      </c>
      <c r="F124" s="3"/>
    </row>
    <row r="125" spans="1:11">
      <c r="A125" s="106"/>
      <c r="B125" s="5" t="s">
        <v>152</v>
      </c>
      <c r="C125" s="6" t="s">
        <v>664</v>
      </c>
      <c r="D125" s="7" t="s">
        <v>447</v>
      </c>
      <c r="E125" s="3">
        <v>40</v>
      </c>
      <c r="F125" s="3">
        <v>70</v>
      </c>
      <c r="I125" s="3">
        <f>SUM(E125:H125)</f>
        <v>110</v>
      </c>
      <c r="J125" s="8">
        <f t="shared" si="4"/>
        <v>9.4909404659188956E-2</v>
      </c>
      <c r="K125" s="102" t="s">
        <v>938</v>
      </c>
    </row>
    <row r="126" spans="1:11">
      <c r="A126" s="106"/>
      <c r="B126" s="5" t="s">
        <v>149</v>
      </c>
      <c r="C126" s="6" t="s">
        <v>718</v>
      </c>
      <c r="D126" s="7" t="s">
        <v>448</v>
      </c>
      <c r="F126" s="3">
        <v>240</v>
      </c>
      <c r="I126" s="3">
        <f>SUM(E126:H126)</f>
        <v>240</v>
      </c>
      <c r="J126" s="8">
        <f>I126/SUM($I$111:$I$126)</f>
        <v>0.20707506471095771</v>
      </c>
      <c r="K126" s="102" t="s">
        <v>938</v>
      </c>
    </row>
    <row r="127" spans="1:11">
      <c r="A127" s="106"/>
      <c r="B127" s="5" t="s">
        <v>131</v>
      </c>
      <c r="C127" s="6"/>
      <c r="D127" s="7" t="s">
        <v>449</v>
      </c>
      <c r="F127" s="3"/>
    </row>
    <row r="128" spans="1:11">
      <c r="A128" s="106"/>
      <c r="B128" s="5" t="s">
        <v>450</v>
      </c>
      <c r="C128" s="6"/>
      <c r="D128" s="7" t="s">
        <v>451</v>
      </c>
      <c r="F128" s="3"/>
    </row>
    <row r="129" spans="1:11">
      <c r="A129" s="106"/>
      <c r="B129" s="5" t="s">
        <v>452</v>
      </c>
      <c r="C129" s="6"/>
      <c r="D129" s="7" t="s">
        <v>453</v>
      </c>
      <c r="F129" s="3"/>
    </row>
    <row r="130" spans="1:11">
      <c r="A130" s="106"/>
      <c r="B130" s="5" t="s">
        <v>454</v>
      </c>
      <c r="C130" s="6"/>
      <c r="D130" s="7" t="s">
        <v>455</v>
      </c>
      <c r="F130" s="3"/>
    </row>
    <row r="131" spans="1:11">
      <c r="A131" s="106"/>
      <c r="B131" s="5" t="s">
        <v>456</v>
      </c>
      <c r="C131" s="6"/>
      <c r="D131" s="7" t="s">
        <v>457</v>
      </c>
      <c r="F131" s="3"/>
    </row>
    <row r="132" spans="1:11">
      <c r="A132" s="106"/>
      <c r="B132" s="5" t="s">
        <v>458</v>
      </c>
      <c r="C132" s="6"/>
      <c r="D132" s="7" t="s">
        <v>459</v>
      </c>
      <c r="F132" s="3"/>
    </row>
    <row r="133" spans="1:11">
      <c r="A133" s="106" t="s">
        <v>12</v>
      </c>
      <c r="B133" s="11" t="s">
        <v>460</v>
      </c>
      <c r="C133" s="7"/>
      <c r="D133" s="11" t="s">
        <v>461</v>
      </c>
      <c r="F133" s="3"/>
      <c r="J133" s="8">
        <v>0.16666666666666666</v>
      </c>
      <c r="K133" s="80" t="s">
        <v>925</v>
      </c>
    </row>
    <row r="134" spans="1:11">
      <c r="A134" s="106"/>
      <c r="B134" s="5" t="s">
        <v>154</v>
      </c>
      <c r="C134" s="6"/>
      <c r="D134" s="7" t="s">
        <v>462</v>
      </c>
      <c r="F134" s="3"/>
      <c r="J134" s="8">
        <v>0.5</v>
      </c>
      <c r="K134" s="80" t="s">
        <v>925</v>
      </c>
    </row>
    <row r="135" spans="1:11">
      <c r="A135" s="106"/>
      <c r="B135" s="5" t="s">
        <v>153</v>
      </c>
      <c r="C135" s="6"/>
      <c r="D135" s="7"/>
      <c r="F135" s="3"/>
      <c r="J135" s="8">
        <v>0.5</v>
      </c>
      <c r="K135" s="80" t="s">
        <v>925</v>
      </c>
    </row>
    <row r="136" spans="1:11">
      <c r="A136" s="106"/>
      <c r="B136" s="5" t="s">
        <v>463</v>
      </c>
      <c r="C136" s="6"/>
      <c r="D136" s="7" t="s">
        <v>464</v>
      </c>
      <c r="F136" s="3"/>
      <c r="J136" s="8">
        <v>0.16666666666666666</v>
      </c>
      <c r="K136" s="80" t="s">
        <v>925</v>
      </c>
    </row>
    <row r="137" spans="1:11">
      <c r="A137" s="106"/>
      <c r="B137" s="5" t="s">
        <v>465</v>
      </c>
      <c r="C137" s="6"/>
      <c r="D137" s="7" t="s">
        <v>466</v>
      </c>
      <c r="F137" s="3"/>
      <c r="J137" s="8">
        <v>0.16666666666666666</v>
      </c>
      <c r="K137" s="80" t="s">
        <v>925</v>
      </c>
    </row>
    <row r="138" spans="1:11">
      <c r="A138" s="106" t="s">
        <v>13</v>
      </c>
      <c r="B138" s="5" t="s">
        <v>163</v>
      </c>
      <c r="C138" s="6"/>
      <c r="D138" s="7" t="s">
        <v>467</v>
      </c>
      <c r="F138" s="3"/>
    </row>
    <row r="139" spans="1:11">
      <c r="A139" s="106"/>
      <c r="B139" s="5" t="s">
        <v>156</v>
      </c>
      <c r="C139" s="6"/>
      <c r="D139" s="7" t="s">
        <v>468</v>
      </c>
      <c r="F139" s="3"/>
    </row>
    <row r="140" spans="1:11">
      <c r="A140" s="106"/>
      <c r="B140" s="5" t="s">
        <v>167</v>
      </c>
      <c r="C140" s="6"/>
      <c r="D140" s="7" t="s">
        <v>469</v>
      </c>
      <c r="F140" s="3"/>
    </row>
    <row r="141" spans="1:11">
      <c r="A141" s="106"/>
      <c r="B141" s="5" t="s">
        <v>166</v>
      </c>
      <c r="C141" s="6"/>
      <c r="D141" s="7" t="s">
        <v>470</v>
      </c>
      <c r="F141" s="3"/>
    </row>
    <row r="142" spans="1:11">
      <c r="A142" s="106"/>
      <c r="B142" s="5" t="s">
        <v>175</v>
      </c>
      <c r="C142" s="6"/>
      <c r="D142" s="7" t="s">
        <v>471</v>
      </c>
      <c r="F142" s="3"/>
    </row>
    <row r="143" spans="1:11">
      <c r="A143" s="106"/>
      <c r="B143" s="5" t="s">
        <v>164</v>
      </c>
      <c r="C143" s="6"/>
      <c r="D143" s="7" t="s">
        <v>472</v>
      </c>
      <c r="F143" s="3"/>
    </row>
    <row r="144" spans="1:11">
      <c r="A144" s="106"/>
      <c r="B144" s="5" t="s">
        <v>171</v>
      </c>
      <c r="C144" s="6"/>
      <c r="D144" s="7" t="s">
        <v>473</v>
      </c>
      <c r="F144" s="3"/>
    </row>
    <row r="145" spans="1:11">
      <c r="A145" s="106"/>
      <c r="B145" s="5" t="s">
        <v>174</v>
      </c>
      <c r="D145" s="7" t="s">
        <v>474</v>
      </c>
      <c r="F145" s="3"/>
    </row>
    <row r="146" spans="1:11">
      <c r="A146" s="106"/>
      <c r="B146" s="5" t="s">
        <v>173</v>
      </c>
      <c r="C146" s="6"/>
      <c r="D146" s="7" t="s">
        <v>475</v>
      </c>
      <c r="F146" s="3"/>
    </row>
    <row r="147" spans="1:11">
      <c r="A147" s="106"/>
      <c r="B147" s="5" t="s">
        <v>172</v>
      </c>
      <c r="C147" s="6"/>
      <c r="D147" s="7" t="s">
        <v>476</v>
      </c>
      <c r="F147" s="3"/>
    </row>
    <row r="148" spans="1:11">
      <c r="A148" s="106"/>
      <c r="B148" s="5" t="s">
        <v>161</v>
      </c>
      <c r="C148" s="3" t="s">
        <v>695</v>
      </c>
      <c r="D148" s="7" t="s">
        <v>477</v>
      </c>
      <c r="E148" s="3">
        <v>180</v>
      </c>
      <c r="F148" s="3">
        <v>425</v>
      </c>
      <c r="G148" s="3">
        <f>130/2</f>
        <v>65</v>
      </c>
      <c r="H148" s="3">
        <f>130/2</f>
        <v>65</v>
      </c>
      <c r="I148" s="3">
        <f>SUM(E148:H148)</f>
        <v>735</v>
      </c>
      <c r="J148" s="8">
        <f>I148/SUM($I$148:$I$152)</f>
        <v>0.46964856230031948</v>
      </c>
      <c r="K148" s="102" t="s">
        <v>1172</v>
      </c>
    </row>
    <row r="149" spans="1:11" ht="30">
      <c r="A149" s="106"/>
      <c r="B149" s="5" t="s">
        <v>162</v>
      </c>
      <c r="C149" s="6" t="s">
        <v>714</v>
      </c>
      <c r="D149" s="7" t="s">
        <v>478</v>
      </c>
      <c r="F149" s="3">
        <f>(85+85+30+50)</f>
        <v>250</v>
      </c>
      <c r="G149" s="3">
        <f>345/2</f>
        <v>172.5</v>
      </c>
      <c r="H149" s="3">
        <f>345/2</f>
        <v>172.5</v>
      </c>
      <c r="I149" s="3">
        <f>SUM(E149:H149)</f>
        <v>595</v>
      </c>
      <c r="J149" s="8">
        <f t="shared" ref="J149:J152" si="5">I149/SUM($I$148:$I$152)</f>
        <v>0.38019169329073482</v>
      </c>
      <c r="K149" s="104" t="s">
        <v>1231</v>
      </c>
    </row>
    <row r="150" spans="1:11" ht="30">
      <c r="A150" s="106"/>
      <c r="B150" s="5" t="s">
        <v>158</v>
      </c>
      <c r="C150" s="6"/>
      <c r="D150" s="7" t="s">
        <v>479</v>
      </c>
      <c r="F150" s="3"/>
    </row>
    <row r="151" spans="1:11">
      <c r="A151" s="106"/>
      <c r="B151" s="5" t="s">
        <v>159</v>
      </c>
      <c r="C151" s="6"/>
      <c r="D151" s="7" t="s">
        <v>480</v>
      </c>
      <c r="F151" s="3"/>
    </row>
    <row r="152" spans="1:11">
      <c r="A152" s="106"/>
      <c r="B152" s="5" t="s">
        <v>155</v>
      </c>
      <c r="C152" s="3" t="s">
        <v>694</v>
      </c>
      <c r="D152" s="7" t="s">
        <v>481</v>
      </c>
      <c r="E152" s="3">
        <v>55</v>
      </c>
      <c r="F152" s="3">
        <v>180</v>
      </c>
      <c r="I152" s="3">
        <f>SUM(E152:H152)</f>
        <v>235</v>
      </c>
      <c r="J152" s="8">
        <f t="shared" si="5"/>
        <v>0.15015974440894569</v>
      </c>
      <c r="K152" s="104" t="s">
        <v>938</v>
      </c>
    </row>
    <row r="153" spans="1:11">
      <c r="A153" s="106"/>
      <c r="B153" s="5" t="s">
        <v>169</v>
      </c>
      <c r="C153" s="6"/>
      <c r="D153" s="7" t="s">
        <v>482</v>
      </c>
      <c r="F153" s="3"/>
    </row>
    <row r="154" spans="1:11">
      <c r="A154" s="106"/>
      <c r="B154" s="5" t="s">
        <v>170</v>
      </c>
      <c r="C154" s="6"/>
      <c r="D154" s="7" t="s">
        <v>483</v>
      </c>
      <c r="F154" s="3"/>
    </row>
    <row r="155" spans="1:11">
      <c r="A155" s="106"/>
      <c r="B155" s="5" t="s">
        <v>160</v>
      </c>
      <c r="C155" s="6"/>
      <c r="D155" s="7" t="s">
        <v>484</v>
      </c>
      <c r="F155" s="3"/>
    </row>
    <row r="156" spans="1:11">
      <c r="A156" s="106"/>
      <c r="B156" s="5" t="s">
        <v>157</v>
      </c>
      <c r="C156" s="6"/>
      <c r="D156" s="7" t="s">
        <v>485</v>
      </c>
      <c r="F156" s="3"/>
    </row>
    <row r="157" spans="1:11">
      <c r="A157" s="106"/>
      <c r="B157" s="5" t="s">
        <v>165</v>
      </c>
      <c r="C157" s="6"/>
      <c r="D157" s="7" t="s">
        <v>486</v>
      </c>
      <c r="F157" s="3"/>
    </row>
    <row r="158" spans="1:11">
      <c r="A158" s="106"/>
      <c r="B158" s="5" t="s">
        <v>168</v>
      </c>
      <c r="C158" s="6"/>
      <c r="D158" s="7" t="s">
        <v>487</v>
      </c>
      <c r="F158" s="3"/>
    </row>
    <row r="159" spans="1:11">
      <c r="A159" s="26" t="s">
        <v>623</v>
      </c>
      <c r="B159" s="5" t="s">
        <v>488</v>
      </c>
      <c r="C159" s="6"/>
      <c r="D159" s="7" t="s">
        <v>489</v>
      </c>
      <c r="F159" s="3"/>
      <c r="J159" s="8">
        <v>1</v>
      </c>
      <c r="K159" s="80" t="s">
        <v>925</v>
      </c>
    </row>
    <row r="160" spans="1:11">
      <c r="A160" s="26" t="s">
        <v>14</v>
      </c>
      <c r="B160" s="5" t="s">
        <v>176</v>
      </c>
      <c r="C160" s="6"/>
      <c r="D160" s="7" t="s">
        <v>490</v>
      </c>
      <c r="F160" s="3"/>
      <c r="J160" s="8">
        <v>1</v>
      </c>
      <c r="K160" s="80" t="s">
        <v>925</v>
      </c>
    </row>
    <row r="161" spans="1:11">
      <c r="A161" s="106" t="s">
        <v>1164</v>
      </c>
      <c r="B161" s="5" t="s">
        <v>491</v>
      </c>
      <c r="C161" s="6"/>
      <c r="D161" s="7" t="s">
        <v>492</v>
      </c>
      <c r="F161" s="3"/>
      <c r="J161" s="8">
        <v>0.5</v>
      </c>
      <c r="K161" s="80" t="s">
        <v>925</v>
      </c>
    </row>
    <row r="162" spans="1:11">
      <c r="A162" s="106"/>
      <c r="B162" s="5" t="s">
        <v>493</v>
      </c>
      <c r="C162" s="6"/>
      <c r="D162" s="7" t="s">
        <v>494</v>
      </c>
      <c r="F162" s="3"/>
      <c r="J162" s="8">
        <v>0.5</v>
      </c>
      <c r="K162" s="80" t="s">
        <v>925</v>
      </c>
    </row>
    <row r="163" spans="1:11">
      <c r="A163" s="26" t="s">
        <v>15</v>
      </c>
      <c r="B163" s="5" t="s">
        <v>177</v>
      </c>
      <c r="C163" s="6"/>
      <c r="D163" s="7" t="s">
        <v>15</v>
      </c>
      <c r="F163" s="3"/>
      <c r="J163" s="8">
        <v>1</v>
      </c>
      <c r="K163" s="80" t="s">
        <v>925</v>
      </c>
    </row>
    <row r="164" spans="1:11">
      <c r="A164" s="106" t="s">
        <v>16</v>
      </c>
      <c r="B164" s="5" t="s">
        <v>182</v>
      </c>
      <c r="C164" s="6"/>
      <c r="D164" s="7" t="s">
        <v>495</v>
      </c>
      <c r="F164" s="3"/>
    </row>
    <row r="165" spans="1:11">
      <c r="A165" s="106"/>
      <c r="B165" s="5" t="s">
        <v>181</v>
      </c>
      <c r="C165" s="6" t="s">
        <v>703</v>
      </c>
      <c r="D165" s="7" t="s">
        <v>496</v>
      </c>
      <c r="E165" s="3">
        <v>110</v>
      </c>
      <c r="F165" s="3"/>
      <c r="G165" s="101">
        <v>50</v>
      </c>
      <c r="I165" s="3">
        <f>SUM(E165:H165)</f>
        <v>160</v>
      </c>
      <c r="J165" s="8">
        <v>1</v>
      </c>
      <c r="K165" s="109" t="s">
        <v>1255</v>
      </c>
    </row>
    <row r="166" spans="1:11">
      <c r="A166" s="106"/>
      <c r="B166" s="5" t="s">
        <v>180</v>
      </c>
      <c r="C166" s="6"/>
      <c r="D166" s="7" t="s">
        <v>497</v>
      </c>
      <c r="F166" s="3"/>
    </row>
    <row r="167" spans="1:11">
      <c r="A167" s="106"/>
      <c r="B167" s="5" t="s">
        <v>179</v>
      </c>
      <c r="C167" s="6"/>
      <c r="D167" s="7" t="s">
        <v>498</v>
      </c>
      <c r="F167" s="3"/>
    </row>
    <row r="168" spans="1:11">
      <c r="A168" s="106"/>
      <c r="B168" s="5" t="s">
        <v>184</v>
      </c>
      <c r="C168" s="6"/>
      <c r="D168" s="7" t="s">
        <v>499</v>
      </c>
      <c r="F168" s="3"/>
    </row>
    <row r="169" spans="1:11">
      <c r="A169" s="106"/>
      <c r="B169" s="5" t="s">
        <v>183</v>
      </c>
      <c r="D169" s="7" t="s">
        <v>500</v>
      </c>
      <c r="F169" s="3"/>
    </row>
    <row r="170" spans="1:11">
      <c r="A170" s="106"/>
      <c r="B170" s="5" t="s">
        <v>178</v>
      </c>
      <c r="C170" s="6"/>
      <c r="D170" s="7" t="s">
        <v>501</v>
      </c>
      <c r="F170" s="3"/>
    </row>
    <row r="171" spans="1:11">
      <c r="A171" s="106"/>
      <c r="B171" s="5" t="s">
        <v>185</v>
      </c>
      <c r="C171" s="6"/>
      <c r="D171" s="7" t="s">
        <v>502</v>
      </c>
      <c r="F171" s="3"/>
    </row>
    <row r="172" spans="1:11">
      <c r="A172" s="26" t="s">
        <v>504</v>
      </c>
      <c r="B172" s="5" t="s">
        <v>503</v>
      </c>
      <c r="C172" s="6"/>
      <c r="D172" s="7" t="s">
        <v>504</v>
      </c>
      <c r="F172" s="3"/>
      <c r="J172" s="8">
        <v>1</v>
      </c>
      <c r="K172" s="80" t="s">
        <v>925</v>
      </c>
    </row>
    <row r="173" spans="1:11">
      <c r="A173" s="106" t="s">
        <v>17</v>
      </c>
      <c r="B173" s="5" t="s">
        <v>193</v>
      </c>
      <c r="C173" s="6"/>
      <c r="D173" s="7" t="s">
        <v>505</v>
      </c>
      <c r="F173" s="3"/>
    </row>
    <row r="174" spans="1:11">
      <c r="A174" s="106"/>
      <c r="B174" s="5" t="s">
        <v>195</v>
      </c>
      <c r="C174" s="6"/>
      <c r="D174" s="7" t="s">
        <v>506</v>
      </c>
      <c r="F174" s="3"/>
    </row>
    <row r="175" spans="1:11">
      <c r="A175" s="106"/>
      <c r="B175" s="5" t="s">
        <v>197</v>
      </c>
      <c r="C175" s="6"/>
      <c r="D175" s="7" t="s">
        <v>507</v>
      </c>
      <c r="F175" s="3"/>
    </row>
    <row r="176" spans="1:11">
      <c r="A176" s="106"/>
      <c r="B176" s="5" t="s">
        <v>188</v>
      </c>
      <c r="C176" s="6"/>
      <c r="D176" s="7" t="s">
        <v>508</v>
      </c>
      <c r="F176" s="3"/>
    </row>
    <row r="177" spans="1:13">
      <c r="A177" s="106"/>
      <c r="B177" s="5" t="s">
        <v>194</v>
      </c>
      <c r="C177" s="6"/>
      <c r="D177" s="7" t="s">
        <v>509</v>
      </c>
      <c r="F177" s="3"/>
    </row>
    <row r="178" spans="1:13">
      <c r="A178" s="106"/>
      <c r="B178" s="5" t="s">
        <v>196</v>
      </c>
      <c r="C178" s="6"/>
      <c r="D178" s="7" t="s">
        <v>510</v>
      </c>
      <c r="F178" s="3"/>
    </row>
    <row r="179" spans="1:13">
      <c r="A179" s="106"/>
      <c r="B179" s="5" t="s">
        <v>190</v>
      </c>
      <c r="C179" s="6"/>
      <c r="D179" s="7" t="s">
        <v>511</v>
      </c>
      <c r="F179" s="3"/>
    </row>
    <row r="180" spans="1:13">
      <c r="A180" s="106"/>
      <c r="B180" s="5" t="s">
        <v>189</v>
      </c>
      <c r="C180" s="6"/>
      <c r="D180" s="7" t="s">
        <v>512</v>
      </c>
      <c r="F180" s="3"/>
    </row>
    <row r="181" spans="1:13" ht="30">
      <c r="A181" s="106"/>
      <c r="B181" s="5" t="s">
        <v>186</v>
      </c>
      <c r="C181" s="6" t="s">
        <v>1173</v>
      </c>
      <c r="D181" s="7" t="s">
        <v>513</v>
      </c>
      <c r="E181" s="3">
        <v>100</v>
      </c>
      <c r="F181" s="3">
        <v>785</v>
      </c>
      <c r="G181" s="3">
        <v>0</v>
      </c>
      <c r="H181" s="3">
        <v>720</v>
      </c>
      <c r="I181" s="3">
        <f>SUM(E181:H181)</f>
        <v>1605</v>
      </c>
      <c r="J181" s="8">
        <f>I181/SUM($I$181:$I$184)</f>
        <v>0.43852459016393441</v>
      </c>
      <c r="K181" s="104" t="s">
        <v>1235</v>
      </c>
      <c r="L181" s="102"/>
      <c r="M181" s="93"/>
    </row>
    <row r="182" spans="1:13">
      <c r="A182" s="106"/>
      <c r="B182" s="5" t="s">
        <v>187</v>
      </c>
      <c r="C182" s="3" t="s">
        <v>676</v>
      </c>
      <c r="D182" s="7" t="s">
        <v>514</v>
      </c>
      <c r="F182" s="3">
        <v>915</v>
      </c>
      <c r="I182" s="3">
        <f>SUM(E182:H182)</f>
        <v>915</v>
      </c>
      <c r="J182" s="8">
        <f t="shared" ref="J182:J184" si="6">I182/SUM($I$181:$I$184)</f>
        <v>0.25</v>
      </c>
      <c r="K182" s="102" t="s">
        <v>938</v>
      </c>
    </row>
    <row r="183" spans="1:13">
      <c r="A183" s="106"/>
      <c r="B183" s="5" t="s">
        <v>191</v>
      </c>
      <c r="C183" s="3" t="s">
        <v>675</v>
      </c>
      <c r="D183" s="7" t="s">
        <v>515</v>
      </c>
      <c r="E183" s="3">
        <v>240</v>
      </c>
      <c r="F183" s="3">
        <v>550</v>
      </c>
      <c r="G183" s="102"/>
      <c r="I183" s="3">
        <f>SUM(E183:H183)</f>
        <v>790</v>
      </c>
      <c r="J183" s="8">
        <f t="shared" si="6"/>
        <v>0.21584699453551912</v>
      </c>
      <c r="K183" s="102" t="s">
        <v>938</v>
      </c>
    </row>
    <row r="184" spans="1:13">
      <c r="A184" s="106"/>
      <c r="B184" s="5" t="s">
        <v>192</v>
      </c>
      <c r="C184" s="3" t="s">
        <v>674</v>
      </c>
      <c r="D184" s="7" t="s">
        <v>516</v>
      </c>
      <c r="F184" s="3">
        <v>350</v>
      </c>
      <c r="I184" s="3">
        <f>SUM(E184:H184)</f>
        <v>350</v>
      </c>
      <c r="J184" s="8">
        <f t="shared" si="6"/>
        <v>9.5628415300546443E-2</v>
      </c>
      <c r="K184" s="102" t="s">
        <v>938</v>
      </c>
    </row>
    <row r="185" spans="1:13">
      <c r="A185" s="106" t="s">
        <v>18</v>
      </c>
      <c r="B185" s="5" t="s">
        <v>206</v>
      </c>
      <c r="C185" s="6"/>
      <c r="D185" s="7" t="s">
        <v>517</v>
      </c>
      <c r="F185" s="3"/>
    </row>
    <row r="186" spans="1:13">
      <c r="A186" s="106"/>
      <c r="B186" s="5" t="s">
        <v>204</v>
      </c>
      <c r="C186" s="6" t="s">
        <v>1175</v>
      </c>
      <c r="D186" s="7" t="s">
        <v>518</v>
      </c>
      <c r="F186" s="3"/>
      <c r="I186" s="3">
        <v>1</v>
      </c>
      <c r="J186" s="8">
        <f t="shared" ref="J186" si="7">I186/SUM($I$185:$I$193)</f>
        <v>1</v>
      </c>
      <c r="K186" s="102" t="s">
        <v>1176</v>
      </c>
    </row>
    <row r="187" spans="1:13">
      <c r="A187" s="106"/>
      <c r="B187" s="5" t="s">
        <v>203</v>
      </c>
      <c r="C187" s="6"/>
      <c r="D187" s="7" t="s">
        <v>519</v>
      </c>
      <c r="F187" s="3"/>
    </row>
    <row r="188" spans="1:13">
      <c r="A188" s="106"/>
      <c r="B188" s="5" t="s">
        <v>205</v>
      </c>
      <c r="C188" s="6"/>
      <c r="D188" s="7" t="s">
        <v>520</v>
      </c>
      <c r="F188" s="3"/>
    </row>
    <row r="189" spans="1:13">
      <c r="A189" s="106"/>
      <c r="B189" s="5" t="s">
        <v>200</v>
      </c>
      <c r="C189" s="6"/>
      <c r="D189" s="7" t="s">
        <v>521</v>
      </c>
      <c r="F189" s="3"/>
    </row>
    <row r="190" spans="1:13">
      <c r="A190" s="106"/>
      <c r="B190" s="5" t="s">
        <v>202</v>
      </c>
      <c r="C190" s="6"/>
      <c r="D190" s="7" t="s">
        <v>522</v>
      </c>
      <c r="F190" s="3"/>
    </row>
    <row r="191" spans="1:13">
      <c r="A191" s="106"/>
      <c r="B191" s="5" t="s">
        <v>201</v>
      </c>
      <c r="C191" s="6"/>
      <c r="D191" s="7" t="s">
        <v>523</v>
      </c>
      <c r="F191" s="3"/>
    </row>
    <row r="192" spans="1:13">
      <c r="A192" s="106"/>
      <c r="B192" s="5" t="s">
        <v>199</v>
      </c>
      <c r="C192" s="6"/>
      <c r="D192" s="7" t="s">
        <v>524</v>
      </c>
      <c r="F192" s="3"/>
    </row>
    <row r="193" spans="1:11">
      <c r="A193" s="106"/>
      <c r="B193" s="5" t="s">
        <v>198</v>
      </c>
      <c r="C193" s="6"/>
      <c r="D193" s="7" t="s">
        <v>525</v>
      </c>
      <c r="F193" s="3"/>
    </row>
    <row r="194" spans="1:11">
      <c r="A194" s="106" t="s">
        <v>19</v>
      </c>
      <c r="B194" s="5" t="s">
        <v>219</v>
      </c>
      <c r="C194" s="6"/>
      <c r="D194" s="7" t="s">
        <v>526</v>
      </c>
      <c r="F194" s="3"/>
    </row>
    <row r="195" spans="1:11">
      <c r="A195" s="106"/>
      <c r="B195" s="5" t="s">
        <v>210</v>
      </c>
      <c r="C195" s="6"/>
      <c r="D195" s="7" t="s">
        <v>527</v>
      </c>
      <c r="F195" s="3"/>
    </row>
    <row r="196" spans="1:11">
      <c r="A196" s="106"/>
      <c r="B196" s="5" t="s">
        <v>221</v>
      </c>
      <c r="C196" s="6"/>
      <c r="D196" s="7" t="s">
        <v>528</v>
      </c>
      <c r="F196" s="3"/>
    </row>
    <row r="197" spans="1:11">
      <c r="A197" s="106"/>
      <c r="B197" s="5" t="s">
        <v>207</v>
      </c>
      <c r="C197" s="6"/>
      <c r="D197" s="7" t="s">
        <v>529</v>
      </c>
      <c r="F197" s="3"/>
    </row>
    <row r="198" spans="1:11">
      <c r="A198" s="106"/>
      <c r="B198" s="5" t="s">
        <v>216</v>
      </c>
      <c r="C198" s="6"/>
      <c r="D198" s="7" t="s">
        <v>530</v>
      </c>
      <c r="F198" s="3"/>
    </row>
    <row r="199" spans="1:11">
      <c r="A199" s="106"/>
      <c r="B199" s="5" t="s">
        <v>218</v>
      </c>
      <c r="C199" s="6"/>
      <c r="D199" s="7" t="s">
        <v>531</v>
      </c>
      <c r="F199" s="3"/>
    </row>
    <row r="200" spans="1:11">
      <c r="A200" s="106"/>
      <c r="B200" s="5" t="s">
        <v>213</v>
      </c>
      <c r="C200" s="6"/>
      <c r="D200" s="7" t="s">
        <v>532</v>
      </c>
      <c r="F200" s="3"/>
    </row>
    <row r="201" spans="1:11">
      <c r="A201" s="106"/>
      <c r="B201" s="5" t="s">
        <v>220</v>
      </c>
      <c r="C201" s="6" t="s">
        <v>715</v>
      </c>
      <c r="D201" s="7" t="s">
        <v>533</v>
      </c>
      <c r="F201" s="3"/>
      <c r="G201" s="101">
        <v>60</v>
      </c>
      <c r="H201" s="101">
        <v>400</v>
      </c>
      <c r="I201" s="3">
        <f>SUM(E201:H201)</f>
        <v>460</v>
      </c>
      <c r="J201" s="8">
        <f>I201/SUM($I$201:$I$210)</f>
        <v>0.65714285714285714</v>
      </c>
      <c r="K201" s="109" t="s">
        <v>1256</v>
      </c>
    </row>
    <row r="202" spans="1:11">
      <c r="A202" s="106"/>
      <c r="B202" s="5" t="s">
        <v>208</v>
      </c>
      <c r="C202" s="6"/>
      <c r="D202" s="7" t="s">
        <v>534</v>
      </c>
      <c r="F202" s="3"/>
    </row>
    <row r="203" spans="1:11">
      <c r="A203" s="106"/>
      <c r="B203" s="5" t="s">
        <v>211</v>
      </c>
      <c r="C203" s="6"/>
      <c r="D203" s="7" t="s">
        <v>535</v>
      </c>
      <c r="F203" s="3"/>
    </row>
    <row r="204" spans="1:11">
      <c r="A204" s="106"/>
      <c r="B204" s="5" t="s">
        <v>223</v>
      </c>
      <c r="C204" s="6"/>
      <c r="D204" s="7" t="s">
        <v>536</v>
      </c>
      <c r="F204" s="3"/>
    </row>
    <row r="205" spans="1:11">
      <c r="A205" s="106"/>
      <c r="B205" s="5" t="s">
        <v>222</v>
      </c>
      <c r="C205" s="6"/>
      <c r="D205" s="7" t="s">
        <v>537</v>
      </c>
      <c r="F205" s="3"/>
    </row>
    <row r="206" spans="1:11">
      <c r="A206" s="106"/>
      <c r="B206" s="5" t="s">
        <v>217</v>
      </c>
      <c r="C206" s="6"/>
      <c r="D206" s="7" t="s">
        <v>538</v>
      </c>
      <c r="F206" s="3"/>
    </row>
    <row r="207" spans="1:11">
      <c r="A207" s="106"/>
      <c r="B207" s="5" t="s">
        <v>209</v>
      </c>
      <c r="C207" s="6"/>
      <c r="D207" s="7" t="s">
        <v>539</v>
      </c>
      <c r="F207" s="3"/>
    </row>
    <row r="208" spans="1:11">
      <c r="A208" s="106"/>
      <c r="B208" s="5" t="s">
        <v>212</v>
      </c>
      <c r="C208" s="6"/>
      <c r="D208" s="7" t="s">
        <v>540</v>
      </c>
      <c r="F208" s="3"/>
    </row>
    <row r="209" spans="1:11">
      <c r="A209" s="106"/>
      <c r="B209" s="5" t="s">
        <v>214</v>
      </c>
      <c r="C209" s="6"/>
      <c r="D209" s="7" t="s">
        <v>541</v>
      </c>
      <c r="F209" s="3"/>
    </row>
    <row r="210" spans="1:11">
      <c r="A210" s="106"/>
      <c r="B210" s="5" t="s">
        <v>215</v>
      </c>
      <c r="C210" s="3" t="s">
        <v>673</v>
      </c>
      <c r="D210" s="7" t="s">
        <v>542</v>
      </c>
      <c r="E210" s="3">
        <v>180</v>
      </c>
      <c r="F210" s="3"/>
      <c r="G210" s="101">
        <v>10</v>
      </c>
      <c r="H210" s="101">
        <v>50</v>
      </c>
      <c r="I210" s="3">
        <f>SUM(E210:H210)</f>
        <v>240</v>
      </c>
      <c r="J210" s="8">
        <f t="shared" ref="J210" si="8">I210/SUM($I$201:$I$210)</f>
        <v>0.34285714285714286</v>
      </c>
      <c r="K210" s="109" t="s">
        <v>1257</v>
      </c>
    </row>
    <row r="211" spans="1:11">
      <c r="A211" s="106" t="s">
        <v>20</v>
      </c>
      <c r="B211" s="5" t="s">
        <v>226</v>
      </c>
      <c r="C211" s="6" t="s">
        <v>702</v>
      </c>
      <c r="D211" s="7" t="s">
        <v>543</v>
      </c>
      <c r="E211" s="3">
        <v>154</v>
      </c>
      <c r="F211" s="3">
        <v>57</v>
      </c>
      <c r="G211" s="3">
        <v>55</v>
      </c>
      <c r="H211" s="3">
        <v>135</v>
      </c>
      <c r="I211" s="3">
        <f>SUM(E211:H211)</f>
        <v>401</v>
      </c>
      <c r="J211" s="8">
        <v>1</v>
      </c>
      <c r="K211" s="102" t="s">
        <v>938</v>
      </c>
    </row>
    <row r="212" spans="1:11">
      <c r="A212" s="106"/>
      <c r="B212" s="5" t="s">
        <v>225</v>
      </c>
      <c r="C212" s="6"/>
      <c r="D212" s="7" t="s">
        <v>544</v>
      </c>
      <c r="F212" s="3"/>
    </row>
    <row r="213" spans="1:11">
      <c r="A213" s="106"/>
      <c r="B213" s="5" t="s">
        <v>228</v>
      </c>
      <c r="C213" s="6"/>
      <c r="D213" s="7" t="s">
        <v>545</v>
      </c>
      <c r="F213" s="3"/>
    </row>
    <row r="214" spans="1:11">
      <c r="A214" s="106"/>
      <c r="B214" s="5" t="s">
        <v>224</v>
      </c>
      <c r="C214" s="6"/>
      <c r="D214" s="7" t="s">
        <v>546</v>
      </c>
      <c r="F214" s="3"/>
    </row>
    <row r="215" spans="1:11">
      <c r="A215" s="106"/>
      <c r="B215" s="5" t="s">
        <v>227</v>
      </c>
      <c r="D215" s="7" t="s">
        <v>547</v>
      </c>
      <c r="F215" s="3"/>
    </row>
    <row r="216" spans="1:11">
      <c r="A216" s="106"/>
      <c r="B216" s="5" t="s">
        <v>548</v>
      </c>
      <c r="C216" s="6"/>
      <c r="D216" s="7" t="s">
        <v>549</v>
      </c>
      <c r="F216" s="3"/>
    </row>
    <row r="217" spans="1:11">
      <c r="A217" s="106"/>
      <c r="B217" s="5" t="s">
        <v>550</v>
      </c>
      <c r="C217" s="6"/>
      <c r="D217" s="7" t="s">
        <v>551</v>
      </c>
      <c r="F217" s="3"/>
    </row>
    <row r="218" spans="1:11">
      <c r="A218" s="106" t="s">
        <v>21</v>
      </c>
      <c r="B218" s="5" t="s">
        <v>231</v>
      </c>
      <c r="C218" s="6"/>
      <c r="D218" s="7" t="s">
        <v>552</v>
      </c>
      <c r="F218" s="3"/>
    </row>
    <row r="219" spans="1:11">
      <c r="A219" s="106"/>
      <c r="B219" s="5" t="s">
        <v>236</v>
      </c>
      <c r="C219" s="6"/>
      <c r="D219" s="7" t="s">
        <v>553</v>
      </c>
      <c r="F219" s="3"/>
    </row>
    <row r="220" spans="1:11">
      <c r="A220" s="106"/>
      <c r="B220" s="5" t="s">
        <v>232</v>
      </c>
      <c r="C220" s="6"/>
      <c r="D220" s="7" t="s">
        <v>554</v>
      </c>
      <c r="F220" s="3"/>
    </row>
    <row r="221" spans="1:11">
      <c r="A221" s="106"/>
      <c r="B221" s="5" t="s">
        <v>230</v>
      </c>
      <c r="C221" s="6" t="s">
        <v>717</v>
      </c>
      <c r="D221" s="7" t="s">
        <v>555</v>
      </c>
      <c r="F221" s="3"/>
      <c r="I221" s="3">
        <v>21</v>
      </c>
      <c r="J221" s="8">
        <f>I221/SUM($I$218:$I$225)</f>
        <v>0.29577464788732394</v>
      </c>
      <c r="K221" s="104" t="s">
        <v>1014</v>
      </c>
    </row>
    <row r="222" spans="1:11" ht="45">
      <c r="A222" s="106"/>
      <c r="B222" s="5" t="s">
        <v>234</v>
      </c>
      <c r="C222" s="6" t="s">
        <v>1177</v>
      </c>
      <c r="D222" s="7" t="s">
        <v>556</v>
      </c>
      <c r="F222" s="3"/>
      <c r="I222" s="3">
        <v>50</v>
      </c>
      <c r="J222" s="8">
        <f>I222/SUM($I$218:$I$225)</f>
        <v>0.70422535211267601</v>
      </c>
      <c r="K222" s="104" t="s">
        <v>1132</v>
      </c>
    </row>
    <row r="223" spans="1:11">
      <c r="A223" s="106"/>
      <c r="B223" s="5" t="s">
        <v>233</v>
      </c>
      <c r="D223" s="7" t="s">
        <v>557</v>
      </c>
      <c r="F223" s="3"/>
    </row>
    <row r="224" spans="1:11">
      <c r="A224" s="106"/>
      <c r="B224" s="5" t="s">
        <v>229</v>
      </c>
      <c r="C224" s="6"/>
      <c r="D224" s="7" t="s">
        <v>558</v>
      </c>
      <c r="F224" s="3"/>
    </row>
    <row r="225" spans="1:11">
      <c r="A225" s="106"/>
      <c r="B225" s="5" t="s">
        <v>235</v>
      </c>
      <c r="C225" s="6"/>
      <c r="D225" s="7" t="s">
        <v>559</v>
      </c>
      <c r="F225" s="3"/>
    </row>
    <row r="226" spans="1:11">
      <c r="A226" s="106" t="s">
        <v>22</v>
      </c>
      <c r="B226" s="5" t="s">
        <v>237</v>
      </c>
      <c r="C226" s="6"/>
      <c r="D226" s="7" t="s">
        <v>560</v>
      </c>
      <c r="F226" s="3"/>
      <c r="J226" s="8">
        <v>0.5</v>
      </c>
      <c r="K226" s="80" t="s">
        <v>925</v>
      </c>
    </row>
    <row r="227" spans="1:11">
      <c r="A227" s="106"/>
      <c r="B227" s="5" t="s">
        <v>238</v>
      </c>
      <c r="C227" s="6"/>
      <c r="D227" s="7" t="s">
        <v>561</v>
      </c>
      <c r="F227" s="3"/>
      <c r="J227" s="8">
        <v>0.5</v>
      </c>
      <c r="K227" s="80" t="s">
        <v>925</v>
      </c>
    </row>
    <row r="228" spans="1:11">
      <c r="A228" s="106" t="s">
        <v>23</v>
      </c>
      <c r="B228" s="5" t="s">
        <v>241</v>
      </c>
      <c r="C228" s="6" t="s">
        <v>671</v>
      </c>
      <c r="D228" s="7" t="s">
        <v>562</v>
      </c>
      <c r="E228" s="3">
        <v>86</v>
      </c>
      <c r="F228" s="3"/>
      <c r="G228" s="101">
        <v>15</v>
      </c>
      <c r="H228" s="101">
        <v>50</v>
      </c>
      <c r="I228" s="3">
        <f>SUM(E228:H228)</f>
        <v>151</v>
      </c>
      <c r="J228" s="8">
        <v>1</v>
      </c>
      <c r="K228" s="109" t="s">
        <v>1257</v>
      </c>
    </row>
    <row r="229" spans="1:11">
      <c r="A229" s="106"/>
      <c r="B229" s="5" t="s">
        <v>239</v>
      </c>
      <c r="C229" s="6"/>
      <c r="D229" s="7" t="s">
        <v>563</v>
      </c>
      <c r="F229" s="3"/>
    </row>
    <row r="230" spans="1:11">
      <c r="A230" s="106"/>
      <c r="B230" s="5" t="s">
        <v>242</v>
      </c>
      <c r="C230" s="6"/>
      <c r="D230" s="7" t="s">
        <v>564</v>
      </c>
      <c r="F230" s="3"/>
    </row>
    <row r="231" spans="1:11">
      <c r="A231" s="106"/>
      <c r="B231" s="5" t="s">
        <v>240</v>
      </c>
      <c r="C231" s="6"/>
      <c r="D231" s="7" t="s">
        <v>565</v>
      </c>
      <c r="F231" s="3"/>
    </row>
    <row r="232" spans="1:11">
      <c r="A232" s="106" t="s">
        <v>24</v>
      </c>
      <c r="B232" s="5" t="s">
        <v>243</v>
      </c>
      <c r="C232" s="6"/>
      <c r="D232" s="7" t="s">
        <v>566</v>
      </c>
      <c r="F232" s="3"/>
    </row>
    <row r="233" spans="1:11">
      <c r="A233" s="106"/>
      <c r="B233" s="5" t="s">
        <v>245</v>
      </c>
      <c r="C233" s="6" t="s">
        <v>660</v>
      </c>
      <c r="D233" s="7" t="s">
        <v>567</v>
      </c>
      <c r="F233" s="3">
        <v>150</v>
      </c>
      <c r="I233" s="3">
        <f>SUM(E233:H233)</f>
        <v>150</v>
      </c>
      <c r="J233" s="8">
        <v>1</v>
      </c>
      <c r="K233" s="102" t="s">
        <v>938</v>
      </c>
    </row>
    <row r="234" spans="1:11">
      <c r="A234" s="106"/>
      <c r="B234" s="5" t="s">
        <v>244</v>
      </c>
      <c r="C234" s="6"/>
      <c r="D234" s="7" t="s">
        <v>568</v>
      </c>
      <c r="F234" s="3"/>
    </row>
    <row r="235" spans="1:11">
      <c r="A235" s="106"/>
      <c r="B235" s="5" t="s">
        <v>246</v>
      </c>
      <c r="C235" s="6"/>
      <c r="D235" s="7" t="s">
        <v>569</v>
      </c>
      <c r="F235" s="3"/>
    </row>
    <row r="236" spans="1:11">
      <c r="A236" s="106"/>
      <c r="B236" s="5" t="s">
        <v>570</v>
      </c>
      <c r="C236" s="6"/>
      <c r="D236" s="7" t="s">
        <v>571</v>
      </c>
      <c r="F236" s="3"/>
    </row>
    <row r="237" spans="1:11">
      <c r="A237" s="106" t="s">
        <v>25</v>
      </c>
      <c r="B237" s="5" t="s">
        <v>247</v>
      </c>
      <c r="C237" s="6"/>
      <c r="D237" s="7" t="s">
        <v>572</v>
      </c>
      <c r="F237" s="3"/>
      <c r="J237" s="8">
        <f t="shared" ref="J237:J244" si="9" xml:space="preserve"> 1/ ROWS(B237:B244)</f>
        <v>0.125</v>
      </c>
      <c r="K237" s="80" t="s">
        <v>925</v>
      </c>
    </row>
    <row r="238" spans="1:11">
      <c r="A238" s="106"/>
      <c r="B238" s="5" t="s">
        <v>248</v>
      </c>
      <c r="C238" s="6"/>
      <c r="D238" s="7" t="s">
        <v>573</v>
      </c>
      <c r="F238" s="3"/>
      <c r="J238" s="8">
        <f t="shared" si="9"/>
        <v>0.125</v>
      </c>
      <c r="K238" s="80" t="s">
        <v>925</v>
      </c>
    </row>
    <row r="239" spans="1:11">
      <c r="A239" s="106"/>
      <c r="B239" s="5" t="s">
        <v>252</v>
      </c>
      <c r="C239" s="6"/>
      <c r="D239" s="7" t="s">
        <v>574</v>
      </c>
      <c r="F239" s="3"/>
      <c r="J239" s="8">
        <f t="shared" si="9"/>
        <v>0.125</v>
      </c>
      <c r="K239" s="80" t="s">
        <v>925</v>
      </c>
    </row>
    <row r="240" spans="1:11">
      <c r="A240" s="106"/>
      <c r="B240" s="5" t="s">
        <v>254</v>
      </c>
      <c r="C240" s="6"/>
      <c r="D240" s="7" t="s">
        <v>575</v>
      </c>
      <c r="F240" s="3"/>
      <c r="J240" s="8">
        <f t="shared" si="9"/>
        <v>0.125</v>
      </c>
      <c r="K240" s="80" t="s">
        <v>925</v>
      </c>
    </row>
    <row r="241" spans="1:11">
      <c r="A241" s="106"/>
      <c r="B241" s="5" t="s">
        <v>251</v>
      </c>
      <c r="D241" s="7" t="s">
        <v>576</v>
      </c>
      <c r="F241" s="3"/>
      <c r="J241" s="8">
        <f t="shared" si="9"/>
        <v>0.125</v>
      </c>
      <c r="K241" s="80" t="s">
        <v>925</v>
      </c>
    </row>
    <row r="242" spans="1:11">
      <c r="A242" s="106"/>
      <c r="B242" s="5" t="s">
        <v>253</v>
      </c>
      <c r="C242" s="6"/>
      <c r="D242" s="7" t="s">
        <v>577</v>
      </c>
      <c r="F242" s="3"/>
      <c r="J242" s="8">
        <f t="shared" si="9"/>
        <v>0.125</v>
      </c>
      <c r="K242" s="80" t="s">
        <v>925</v>
      </c>
    </row>
    <row r="243" spans="1:11">
      <c r="A243" s="106"/>
      <c r="B243" s="5" t="s">
        <v>250</v>
      </c>
      <c r="C243" s="6"/>
      <c r="D243" s="7" t="s">
        <v>578</v>
      </c>
      <c r="F243" s="3"/>
      <c r="J243" s="8">
        <f t="shared" si="9"/>
        <v>0.125</v>
      </c>
      <c r="K243" s="80" t="s">
        <v>925</v>
      </c>
    </row>
    <row r="244" spans="1:11">
      <c r="A244" s="106"/>
      <c r="B244" s="5" t="s">
        <v>249</v>
      </c>
      <c r="C244" s="6"/>
      <c r="D244" s="7" t="s">
        <v>579</v>
      </c>
      <c r="F244" s="3"/>
      <c r="J244" s="8">
        <f t="shared" si="9"/>
        <v>0.125</v>
      </c>
      <c r="K244" s="80" t="s">
        <v>925</v>
      </c>
    </row>
    <row r="245" spans="1:11" ht="30">
      <c r="A245" s="106" t="s">
        <v>26</v>
      </c>
      <c r="B245" s="5" t="s">
        <v>294</v>
      </c>
      <c r="C245" s="103" t="s">
        <v>1181</v>
      </c>
      <c r="D245" s="7" t="s">
        <v>580</v>
      </c>
      <c r="E245" s="3">
        <v>330</v>
      </c>
      <c r="F245" s="3">
        <v>510</v>
      </c>
      <c r="I245" s="3">
        <f>SUM(E245:H245)</f>
        <v>840</v>
      </c>
      <c r="J245" s="8">
        <f>I245/SUM($I$245:$I$282)</f>
        <v>0.50755287009063443</v>
      </c>
      <c r="K245" s="102" t="s">
        <v>938</v>
      </c>
    </row>
    <row r="246" spans="1:11">
      <c r="A246" s="106"/>
      <c r="B246" s="5" t="s">
        <v>268</v>
      </c>
      <c r="C246" s="6"/>
      <c r="D246" s="7" t="s">
        <v>581</v>
      </c>
      <c r="F246" s="3"/>
    </row>
    <row r="247" spans="1:11">
      <c r="A247" s="106"/>
      <c r="B247" s="5" t="s">
        <v>280</v>
      </c>
      <c r="C247" s="6"/>
      <c r="D247" s="7" t="s">
        <v>582</v>
      </c>
      <c r="F247" s="3"/>
    </row>
    <row r="248" spans="1:11">
      <c r="A248" s="106"/>
      <c r="B248" s="5" t="s">
        <v>270</v>
      </c>
      <c r="C248" s="6"/>
      <c r="D248" s="7" t="s">
        <v>583</v>
      </c>
      <c r="F248" s="3"/>
    </row>
    <row r="249" spans="1:11">
      <c r="A249" s="106"/>
      <c r="B249" s="5" t="s">
        <v>285</v>
      </c>
      <c r="C249" s="6"/>
      <c r="D249" s="7" t="s">
        <v>584</v>
      </c>
      <c r="F249" s="3"/>
    </row>
    <row r="250" spans="1:11">
      <c r="A250" s="106"/>
      <c r="B250" s="5" t="s">
        <v>264</v>
      </c>
      <c r="C250" s="6" t="s">
        <v>712</v>
      </c>
      <c r="D250" s="7" t="s">
        <v>585</v>
      </c>
      <c r="E250" s="3">
        <v>80</v>
      </c>
      <c r="F250" s="3">
        <v>240</v>
      </c>
      <c r="I250" s="3">
        <f>SUM(E250:H250)</f>
        <v>320</v>
      </c>
      <c r="J250" s="8">
        <f t="shared" ref="J250:J282" si="10">I250/SUM($I$245:$I$282)</f>
        <v>0.19335347432024169</v>
      </c>
      <c r="K250" s="102" t="s">
        <v>938</v>
      </c>
    </row>
    <row r="251" spans="1:11">
      <c r="A251" s="106"/>
      <c r="B251" s="5" t="s">
        <v>269</v>
      </c>
      <c r="C251" s="6"/>
      <c r="D251" s="7" t="s">
        <v>586</v>
      </c>
      <c r="F251" s="3"/>
    </row>
    <row r="252" spans="1:11" ht="30">
      <c r="A252" s="106"/>
      <c r="B252" s="5" t="s">
        <v>277</v>
      </c>
      <c r="C252" s="6" t="s">
        <v>713</v>
      </c>
      <c r="D252" s="7" t="s">
        <v>587</v>
      </c>
      <c r="F252" s="3">
        <v>200</v>
      </c>
      <c r="I252" s="3">
        <f>SUM(E252:H252)</f>
        <v>200</v>
      </c>
      <c r="J252" s="8">
        <f t="shared" si="10"/>
        <v>0.12084592145015106</v>
      </c>
      <c r="K252" s="102" t="s">
        <v>938</v>
      </c>
    </row>
    <row r="253" spans="1:11">
      <c r="A253" s="106"/>
      <c r="B253" s="5" t="s">
        <v>295</v>
      </c>
      <c r="C253" s="6"/>
      <c r="D253" s="7" t="s">
        <v>588</v>
      </c>
      <c r="F253" s="3"/>
    </row>
    <row r="254" spans="1:11">
      <c r="A254" s="106"/>
      <c r="B254" s="5" t="s">
        <v>266</v>
      </c>
      <c r="C254" s="6"/>
      <c r="D254" s="7" t="s">
        <v>589</v>
      </c>
      <c r="F254" s="3"/>
    </row>
    <row r="255" spans="1:11">
      <c r="A255" s="106"/>
      <c r="B255" s="5" t="s">
        <v>263</v>
      </c>
      <c r="C255" s="6"/>
      <c r="D255" s="7" t="s">
        <v>590</v>
      </c>
      <c r="F255" s="3"/>
    </row>
    <row r="256" spans="1:11">
      <c r="A256" s="106"/>
      <c r="B256" s="5" t="s">
        <v>279</v>
      </c>
      <c r="C256" s="6"/>
      <c r="D256" s="7" t="s">
        <v>591</v>
      </c>
      <c r="F256" s="3"/>
    </row>
    <row r="257" spans="1:6" ht="30">
      <c r="A257" s="106"/>
      <c r="B257" s="5" t="s">
        <v>272</v>
      </c>
      <c r="C257" s="6"/>
      <c r="D257" s="7" t="s">
        <v>592</v>
      </c>
      <c r="F257" s="3"/>
    </row>
    <row r="258" spans="1:6">
      <c r="A258" s="106"/>
      <c r="B258" s="5" t="s">
        <v>271</v>
      </c>
      <c r="C258" s="6"/>
      <c r="D258" s="7" t="s">
        <v>593</v>
      </c>
      <c r="F258" s="3"/>
    </row>
    <row r="259" spans="1:6" ht="30">
      <c r="A259" s="106"/>
      <c r="B259" s="5" t="s">
        <v>275</v>
      </c>
      <c r="C259" s="6"/>
      <c r="D259" s="7" t="s">
        <v>594</v>
      </c>
      <c r="F259" s="3"/>
    </row>
    <row r="260" spans="1:6">
      <c r="A260" s="106"/>
      <c r="B260" s="5" t="s">
        <v>267</v>
      </c>
      <c r="C260" s="6"/>
      <c r="D260" s="7" t="s">
        <v>595</v>
      </c>
      <c r="F260" s="3"/>
    </row>
    <row r="261" spans="1:6">
      <c r="A261" s="106"/>
      <c r="B261" s="5" t="s">
        <v>274</v>
      </c>
      <c r="C261" s="6"/>
      <c r="D261" s="7" t="s">
        <v>596</v>
      </c>
      <c r="F261" s="3"/>
    </row>
    <row r="262" spans="1:6">
      <c r="A262" s="106"/>
      <c r="B262" s="5" t="s">
        <v>282</v>
      </c>
      <c r="C262" s="6"/>
      <c r="D262" s="7" t="s">
        <v>597</v>
      </c>
      <c r="F262" s="3"/>
    </row>
    <row r="263" spans="1:6">
      <c r="A263" s="106"/>
      <c r="B263" s="5" t="s">
        <v>287</v>
      </c>
      <c r="C263" s="6"/>
      <c r="D263" s="7" t="s">
        <v>598</v>
      </c>
      <c r="F263" s="3"/>
    </row>
    <row r="264" spans="1:6">
      <c r="A264" s="106"/>
      <c r="B264" s="5" t="s">
        <v>265</v>
      </c>
      <c r="C264" s="6"/>
      <c r="D264" s="7" t="s">
        <v>599</v>
      </c>
      <c r="F264" s="3"/>
    </row>
    <row r="265" spans="1:6">
      <c r="A265" s="106"/>
      <c r="B265" s="5" t="s">
        <v>293</v>
      </c>
      <c r="C265" s="6"/>
      <c r="D265" s="7" t="s">
        <v>600</v>
      </c>
      <c r="F265" s="3"/>
    </row>
    <row r="266" spans="1:6">
      <c r="A266" s="106"/>
      <c r="B266" s="5" t="s">
        <v>292</v>
      </c>
      <c r="C266" s="6"/>
      <c r="D266" s="7" t="s">
        <v>601</v>
      </c>
      <c r="F266" s="3"/>
    </row>
    <row r="267" spans="1:6">
      <c r="A267" s="106"/>
      <c r="B267" s="5" t="s">
        <v>291</v>
      </c>
      <c r="C267" s="6"/>
      <c r="D267" s="7" t="s">
        <v>602</v>
      </c>
      <c r="F267" s="3"/>
    </row>
    <row r="268" spans="1:6">
      <c r="A268" s="106"/>
      <c r="B268" s="5" t="s">
        <v>290</v>
      </c>
      <c r="C268" s="6"/>
      <c r="D268" s="7" t="s">
        <v>603</v>
      </c>
      <c r="F268" s="3"/>
    </row>
    <row r="269" spans="1:6" ht="30">
      <c r="A269" s="106"/>
      <c r="B269" s="5" t="s">
        <v>289</v>
      </c>
      <c r="C269" s="6"/>
      <c r="D269" s="7" t="s">
        <v>604</v>
      </c>
      <c r="F269" s="3"/>
    </row>
    <row r="270" spans="1:6" ht="30">
      <c r="A270" s="106"/>
      <c r="B270" s="5" t="s">
        <v>286</v>
      </c>
      <c r="C270" s="6"/>
      <c r="D270" s="7" t="s">
        <v>605</v>
      </c>
      <c r="F270" s="3"/>
    </row>
    <row r="271" spans="1:6">
      <c r="A271" s="106"/>
      <c r="B271" s="5" t="s">
        <v>283</v>
      </c>
      <c r="C271" s="6"/>
      <c r="D271" s="7" t="s">
        <v>606</v>
      </c>
      <c r="F271" s="3"/>
    </row>
    <row r="272" spans="1:6">
      <c r="A272" s="106"/>
      <c r="B272" s="5" t="s">
        <v>276</v>
      </c>
      <c r="C272" s="6"/>
      <c r="D272" s="7" t="s">
        <v>607</v>
      </c>
      <c r="F272" s="3"/>
    </row>
    <row r="273" spans="1:11">
      <c r="A273" s="106"/>
      <c r="B273" s="5" t="s">
        <v>273</v>
      </c>
      <c r="C273" s="6"/>
      <c r="D273" s="7" t="s">
        <v>608</v>
      </c>
      <c r="F273" s="3"/>
    </row>
    <row r="274" spans="1:11" ht="30">
      <c r="A274" s="106"/>
      <c r="B274" s="5" t="s">
        <v>288</v>
      </c>
      <c r="C274" s="6"/>
      <c r="D274" s="7" t="s">
        <v>609</v>
      </c>
      <c r="F274" s="3"/>
    </row>
    <row r="275" spans="1:11">
      <c r="A275" s="106"/>
      <c r="B275" s="5" t="s">
        <v>284</v>
      </c>
      <c r="C275" s="6"/>
      <c r="D275" s="7" t="s">
        <v>610</v>
      </c>
      <c r="F275" s="3"/>
    </row>
    <row r="276" spans="1:11">
      <c r="A276" s="106"/>
      <c r="B276" s="5" t="s">
        <v>281</v>
      </c>
      <c r="C276" s="6"/>
      <c r="D276" s="7" t="s">
        <v>611</v>
      </c>
      <c r="F276" s="3"/>
    </row>
    <row r="277" spans="1:11">
      <c r="A277" s="106"/>
      <c r="B277" s="5" t="s">
        <v>278</v>
      </c>
      <c r="C277" s="6"/>
      <c r="D277" s="7" t="s">
        <v>612</v>
      </c>
      <c r="F277" s="3"/>
    </row>
    <row r="278" spans="1:11">
      <c r="A278" s="106"/>
      <c r="B278" s="5" t="s">
        <v>255</v>
      </c>
      <c r="C278" s="6"/>
      <c r="D278" s="7" t="s">
        <v>613</v>
      </c>
      <c r="F278" s="3"/>
    </row>
    <row r="279" spans="1:11">
      <c r="A279" s="106"/>
      <c r="B279" s="5" t="s">
        <v>256</v>
      </c>
      <c r="C279" s="6"/>
      <c r="D279" s="7" t="s">
        <v>614</v>
      </c>
      <c r="F279" s="3"/>
    </row>
    <row r="280" spans="1:11">
      <c r="A280" s="106"/>
      <c r="B280" s="5" t="s">
        <v>261</v>
      </c>
      <c r="C280" s="6"/>
      <c r="D280" s="7" t="s">
        <v>615</v>
      </c>
      <c r="F280" s="3"/>
    </row>
    <row r="281" spans="1:11">
      <c r="A281" s="106"/>
      <c r="B281" s="5" t="s">
        <v>259</v>
      </c>
      <c r="C281" s="6"/>
      <c r="D281" s="7" t="s">
        <v>616</v>
      </c>
      <c r="F281" s="3"/>
    </row>
    <row r="282" spans="1:11">
      <c r="A282" s="106"/>
      <c r="B282" s="5" t="s">
        <v>260</v>
      </c>
      <c r="C282" s="25" t="s">
        <v>668</v>
      </c>
      <c r="D282" s="7" t="s">
        <v>617</v>
      </c>
      <c r="F282" s="3">
        <v>295</v>
      </c>
      <c r="I282" s="3">
        <f>SUM(E282:H282)</f>
        <v>295</v>
      </c>
      <c r="J282" s="8">
        <f t="shared" si="10"/>
        <v>0.1782477341389728</v>
      </c>
      <c r="K282" s="102" t="s">
        <v>938</v>
      </c>
    </row>
    <row r="283" spans="1:11">
      <c r="A283" s="106"/>
      <c r="B283" s="5" t="s">
        <v>258</v>
      </c>
      <c r="C283" s="6"/>
      <c r="D283" s="7" t="s">
        <v>618</v>
      </c>
      <c r="F283" s="3"/>
    </row>
    <row r="284" spans="1:11">
      <c r="A284" s="106"/>
      <c r="B284" s="5" t="s">
        <v>257</v>
      </c>
      <c r="C284" s="6"/>
      <c r="D284" s="7" t="s">
        <v>619</v>
      </c>
      <c r="F284" s="3"/>
    </row>
    <row r="285" spans="1:11">
      <c r="A285" s="106"/>
      <c r="B285" s="5" t="s">
        <v>262</v>
      </c>
      <c r="C285" s="6"/>
      <c r="D285" s="7" t="s">
        <v>620</v>
      </c>
      <c r="F285" s="3"/>
    </row>
    <row r="286" spans="1:11">
      <c r="A286" s="106" t="s">
        <v>27</v>
      </c>
      <c r="B286" s="12" t="s">
        <v>298</v>
      </c>
      <c r="D286" s="11" t="s">
        <v>628</v>
      </c>
      <c r="F286" s="3"/>
      <c r="J286" s="8">
        <f xml:space="preserve"> 1/ ROWS(B286:B292)</f>
        <v>0.14285714285714285</v>
      </c>
      <c r="K286" s="80" t="s">
        <v>925</v>
      </c>
    </row>
    <row r="287" spans="1:11">
      <c r="A287" s="106"/>
      <c r="B287" s="11" t="s">
        <v>297</v>
      </c>
      <c r="D287" s="11" t="s">
        <v>629</v>
      </c>
      <c r="F287" s="3"/>
      <c r="J287" s="8">
        <f t="shared" ref="J287:J292" si="11" xml:space="preserve"> 1/ ROWS(B287:B293)</f>
        <v>0.14285714285714285</v>
      </c>
      <c r="K287" s="80" t="s">
        <v>925</v>
      </c>
    </row>
    <row r="288" spans="1:11">
      <c r="A288" s="106"/>
      <c r="B288" s="11" t="s">
        <v>299</v>
      </c>
      <c r="D288" s="11" t="s">
        <v>630</v>
      </c>
      <c r="F288" s="3"/>
      <c r="J288" s="8">
        <f t="shared" si="11"/>
        <v>0.14285714285714285</v>
      </c>
      <c r="K288" s="80" t="s">
        <v>925</v>
      </c>
    </row>
    <row r="289" spans="1:11">
      <c r="A289" s="106"/>
      <c r="B289" s="5" t="s">
        <v>624</v>
      </c>
      <c r="D289" s="11" t="s">
        <v>631</v>
      </c>
      <c r="F289" s="3"/>
      <c r="J289" s="8">
        <f t="shared" si="11"/>
        <v>0.14285714285714285</v>
      </c>
      <c r="K289" s="80" t="s">
        <v>925</v>
      </c>
    </row>
    <row r="290" spans="1:11">
      <c r="A290" s="106"/>
      <c r="B290" s="12" t="s">
        <v>625</v>
      </c>
      <c r="D290" s="11" t="s">
        <v>632</v>
      </c>
      <c r="F290" s="3"/>
      <c r="J290" s="8">
        <f t="shared" si="11"/>
        <v>0.14285714285714285</v>
      </c>
      <c r="K290" s="80" t="s">
        <v>925</v>
      </c>
    </row>
    <row r="291" spans="1:11">
      <c r="A291" s="106"/>
      <c r="B291" s="12" t="s">
        <v>626</v>
      </c>
      <c r="D291" s="11" t="s">
        <v>633</v>
      </c>
      <c r="F291" s="3"/>
      <c r="J291" s="8">
        <f t="shared" si="11"/>
        <v>0.14285714285714285</v>
      </c>
      <c r="K291" s="80" t="s">
        <v>925</v>
      </c>
    </row>
    <row r="292" spans="1:11">
      <c r="A292" s="106"/>
      <c r="B292" s="12" t="s">
        <v>627</v>
      </c>
      <c r="D292" s="11" t="s">
        <v>634</v>
      </c>
      <c r="F292" s="3"/>
      <c r="J292" s="8">
        <f t="shared" si="11"/>
        <v>0.14285714285714285</v>
      </c>
      <c r="K292" s="80" t="s">
        <v>925</v>
      </c>
    </row>
    <row r="293" spans="1:11">
      <c r="A293" s="106"/>
      <c r="B293" s="12" t="s">
        <v>302</v>
      </c>
      <c r="D293" s="11"/>
      <c r="F293" s="3"/>
      <c r="J293" s="8">
        <f>J289*1.3/2.3</f>
        <v>8.0745341614906846E-2</v>
      </c>
    </row>
    <row r="294" spans="1:11">
      <c r="A294" s="106"/>
      <c r="B294" s="12" t="s">
        <v>301</v>
      </c>
      <c r="D294" s="11"/>
      <c r="F294" s="3"/>
      <c r="J294" s="8">
        <f>J289*1/2.3</f>
        <v>6.2111801242236024E-2</v>
      </c>
    </row>
    <row r="295" spans="1:11">
      <c r="A295" s="106"/>
      <c r="B295" s="12" t="s">
        <v>300</v>
      </c>
      <c r="D295" s="11"/>
      <c r="F295" s="3"/>
      <c r="J295" s="8">
        <f>J290</f>
        <v>0.14285714285714285</v>
      </c>
    </row>
    <row r="296" spans="1:11">
      <c r="A296" s="106"/>
      <c r="B296" s="12" t="s">
        <v>296</v>
      </c>
      <c r="D296" s="11"/>
      <c r="F296" s="3"/>
      <c r="J296" s="8">
        <f>J291</f>
        <v>0.14285714285714285</v>
      </c>
    </row>
    <row r="297" spans="1:11">
      <c r="A297" s="106" t="s">
        <v>635</v>
      </c>
      <c r="B297" s="12" t="s">
        <v>305</v>
      </c>
      <c r="C297" s="13"/>
      <c r="D297" s="12" t="s">
        <v>636</v>
      </c>
      <c r="F297" s="3"/>
      <c r="J297" s="8">
        <f t="shared" ref="J297:J303" si="12" xml:space="preserve"> 1/ ROWS(B297:B303)</f>
        <v>0.14285714285714285</v>
      </c>
      <c r="K297" s="80" t="s">
        <v>925</v>
      </c>
    </row>
    <row r="298" spans="1:11">
      <c r="A298" s="106"/>
      <c r="B298" s="12" t="s">
        <v>307</v>
      </c>
      <c r="C298" s="13"/>
      <c r="D298" s="12" t="s">
        <v>637</v>
      </c>
      <c r="F298" s="3"/>
      <c r="J298" s="8">
        <f t="shared" si="12"/>
        <v>0.14285714285714285</v>
      </c>
      <c r="K298" s="80" t="s">
        <v>925</v>
      </c>
    </row>
    <row r="299" spans="1:11">
      <c r="A299" s="106"/>
      <c r="B299" s="12" t="s">
        <v>309</v>
      </c>
      <c r="C299" s="13"/>
      <c r="D299" s="12" t="s">
        <v>638</v>
      </c>
      <c r="F299" s="3"/>
      <c r="J299" s="8">
        <f t="shared" si="12"/>
        <v>0.14285714285714285</v>
      </c>
      <c r="K299" s="80" t="s">
        <v>925</v>
      </c>
    </row>
    <row r="300" spans="1:11">
      <c r="A300" s="106"/>
      <c r="B300" s="12" t="s">
        <v>303</v>
      </c>
      <c r="C300" s="13"/>
      <c r="D300" s="12" t="s">
        <v>639</v>
      </c>
      <c r="F300" s="3"/>
      <c r="J300" s="8">
        <f t="shared" si="12"/>
        <v>0.14285714285714285</v>
      </c>
      <c r="K300" s="80" t="s">
        <v>925</v>
      </c>
    </row>
    <row r="301" spans="1:11">
      <c r="A301" s="106"/>
      <c r="B301" s="12" t="s">
        <v>308</v>
      </c>
      <c r="C301" s="13"/>
      <c r="D301" s="12" t="s">
        <v>640</v>
      </c>
      <c r="F301" s="3"/>
      <c r="J301" s="8">
        <f t="shared" si="12"/>
        <v>0.14285714285714285</v>
      </c>
      <c r="K301" s="80" t="s">
        <v>925</v>
      </c>
    </row>
    <row r="302" spans="1:11">
      <c r="A302" s="106"/>
      <c r="B302" s="12" t="s">
        <v>304</v>
      </c>
      <c r="C302" s="13"/>
      <c r="D302" s="12" t="s">
        <v>641</v>
      </c>
      <c r="F302" s="3"/>
      <c r="J302" s="8">
        <f t="shared" si="12"/>
        <v>0.14285714285714285</v>
      </c>
      <c r="K302" s="80" t="s">
        <v>925</v>
      </c>
    </row>
    <row r="303" spans="1:11">
      <c r="A303" s="106"/>
      <c r="B303" s="12" t="s">
        <v>306</v>
      </c>
      <c r="C303" s="13"/>
      <c r="D303" s="12" t="s">
        <v>642</v>
      </c>
      <c r="F303" s="3"/>
      <c r="J303" s="8">
        <f t="shared" si="12"/>
        <v>0.14285714285714285</v>
      </c>
      <c r="K303" s="80" t="s">
        <v>925</v>
      </c>
    </row>
    <row r="304" spans="1:11">
      <c r="A304" s="26" t="s">
        <v>28</v>
      </c>
      <c r="B304" s="28" t="s">
        <v>310</v>
      </c>
      <c r="C304" s="27"/>
      <c r="D304" s="28" t="s">
        <v>643</v>
      </c>
      <c r="F304" s="3"/>
      <c r="J304" s="8">
        <v>1</v>
      </c>
      <c r="K304" s="80" t="s">
        <v>925</v>
      </c>
    </row>
    <row r="305" spans="1:11">
      <c r="A305" s="24" t="s">
        <v>29</v>
      </c>
      <c r="B305" s="11" t="s">
        <v>311</v>
      </c>
      <c r="C305" s="7"/>
      <c r="D305" s="7" t="s">
        <v>644</v>
      </c>
      <c r="F305" s="3"/>
      <c r="J305" s="8">
        <v>1</v>
      </c>
      <c r="K305" s="80" t="s">
        <v>925</v>
      </c>
    </row>
    <row r="306" spans="1:11">
      <c r="A306" s="106" t="s">
        <v>30</v>
      </c>
      <c r="B306" s="11" t="s">
        <v>33</v>
      </c>
      <c r="C306" s="7"/>
      <c r="D306" s="11" t="s">
        <v>645</v>
      </c>
      <c r="F306" s="3"/>
      <c r="J306" s="8">
        <f xml:space="preserve"> 1/ ROWS(B306:B308)</f>
        <v>0.33333333333333331</v>
      </c>
      <c r="K306" s="80" t="s">
        <v>925</v>
      </c>
    </row>
    <row r="307" spans="1:11">
      <c r="A307" s="106"/>
      <c r="B307" s="11" t="s">
        <v>34</v>
      </c>
      <c r="C307" s="7"/>
      <c r="D307" s="11" t="s">
        <v>646</v>
      </c>
      <c r="F307" s="3"/>
      <c r="J307" s="8">
        <f t="shared" ref="J307:J308" si="13" xml:space="preserve"> 1/ ROWS(B307:B309)</f>
        <v>0.33333333333333331</v>
      </c>
      <c r="K307" s="80" t="s">
        <v>925</v>
      </c>
    </row>
    <row r="308" spans="1:11">
      <c r="A308" s="106"/>
      <c r="B308" s="11" t="s">
        <v>35</v>
      </c>
      <c r="C308" s="7"/>
      <c r="D308" s="11" t="s">
        <v>647</v>
      </c>
      <c r="F308" s="3"/>
      <c r="J308" s="8">
        <f t="shared" si="13"/>
        <v>0.33333333333333331</v>
      </c>
      <c r="K308" s="80" t="s">
        <v>925</v>
      </c>
    </row>
    <row r="309" spans="1:11">
      <c r="A309" s="106" t="s">
        <v>31</v>
      </c>
      <c r="B309" s="11" t="s">
        <v>315</v>
      </c>
      <c r="C309" s="7" t="s">
        <v>1011</v>
      </c>
      <c r="D309" s="11" t="s">
        <v>648</v>
      </c>
      <c r="E309" s="3">
        <v>70</v>
      </c>
      <c r="F309" s="3">
        <v>72</v>
      </c>
      <c r="I309" s="3">
        <f>SUM(E309:H309)</f>
        <v>142</v>
      </c>
      <c r="J309" s="8">
        <v>1</v>
      </c>
      <c r="K309" s="104" t="s">
        <v>1142</v>
      </c>
    </row>
    <row r="310" spans="1:11">
      <c r="A310" s="106"/>
      <c r="B310" s="11" t="s">
        <v>314</v>
      </c>
      <c r="C310" s="7"/>
      <c r="D310" s="11" t="s">
        <v>649</v>
      </c>
      <c r="F310" s="3"/>
      <c r="J310" s="8">
        <v>0</v>
      </c>
    </row>
    <row r="311" spans="1:11" ht="30">
      <c r="A311" s="106"/>
      <c r="B311" s="11" t="s">
        <v>313</v>
      </c>
      <c r="C311" s="7"/>
      <c r="D311" s="7" t="s">
        <v>650</v>
      </c>
      <c r="F311" s="3"/>
      <c r="J311" s="8">
        <v>0</v>
      </c>
    </row>
    <row r="312" spans="1:11">
      <c r="A312" s="106"/>
      <c r="B312" s="11" t="s">
        <v>312</v>
      </c>
      <c r="C312" s="7"/>
      <c r="D312" s="7" t="s">
        <v>651</v>
      </c>
      <c r="F312" s="3"/>
      <c r="J312" s="8">
        <v>0</v>
      </c>
    </row>
    <row r="313" spans="1:11">
      <c r="A313" s="26" t="s">
        <v>32</v>
      </c>
      <c r="B313" s="11" t="s">
        <v>1015</v>
      </c>
      <c r="F313" s="3"/>
      <c r="J313" s="8">
        <v>1</v>
      </c>
      <c r="K313" s="80" t="s">
        <v>925</v>
      </c>
    </row>
    <row r="314" spans="1:11">
      <c r="A314" s="26" t="s">
        <v>1026</v>
      </c>
      <c r="B314" s="11" t="s">
        <v>654</v>
      </c>
      <c r="D314" s="3" t="s">
        <v>1026</v>
      </c>
      <c r="F314" s="3"/>
      <c r="J314" s="8">
        <v>1</v>
      </c>
      <c r="K314" s="80" t="s">
        <v>925</v>
      </c>
    </row>
    <row r="315" spans="1:11">
      <c r="A315" s="26" t="s">
        <v>933</v>
      </c>
      <c r="B315" s="11" t="s">
        <v>653</v>
      </c>
      <c r="D315" s="3" t="s">
        <v>652</v>
      </c>
      <c r="F315" s="3"/>
      <c r="J315" s="8">
        <v>1</v>
      </c>
      <c r="K315" s="80" t="s">
        <v>925</v>
      </c>
    </row>
    <row r="316" spans="1:11">
      <c r="F316" s="3"/>
    </row>
    <row r="317" spans="1:11">
      <c r="F317" s="3"/>
    </row>
    <row r="318" spans="1:11">
      <c r="F318" s="3"/>
    </row>
    <row r="319" spans="1:11">
      <c r="F319" s="3"/>
    </row>
    <row r="320" spans="1:11">
      <c r="F320" s="3"/>
    </row>
    <row r="321" spans="6:6">
      <c r="F321" s="3"/>
    </row>
    <row r="322" spans="6:6">
      <c r="F322" s="3"/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EB0-20F5-40E8-ABEB-255C81558C7B}">
  <dimension ref="A1:O100"/>
  <sheetViews>
    <sheetView topLeftCell="A62" workbookViewId="0">
      <selection activeCell="K96" sqref="K96"/>
    </sheetView>
    <sheetView tabSelected="1" topLeftCell="A86" workbookViewId="1">
      <selection activeCell="A102" sqref="A102:B103"/>
    </sheetView>
  </sheetViews>
  <sheetFormatPr baseColWidth="10" defaultRowHeight="15.75"/>
  <cols>
    <col min="1" max="1" width="22.875" customWidth="1"/>
    <col min="3" max="3" width="35.25" customWidth="1"/>
    <col min="4" max="5" width="21.375" customWidth="1"/>
    <col min="6" max="6" width="40.375" bestFit="1" customWidth="1"/>
  </cols>
  <sheetData>
    <row r="1" spans="1:15">
      <c r="A1" t="s">
        <v>941</v>
      </c>
    </row>
    <row r="3" spans="1:15">
      <c r="A3" t="s">
        <v>942</v>
      </c>
      <c r="B3" t="s">
        <v>943</v>
      </c>
      <c r="C3" t="s">
        <v>944</v>
      </c>
    </row>
    <row r="5" spans="1:15">
      <c r="C5" t="s">
        <v>1030</v>
      </c>
      <c r="D5" t="s">
        <v>1032</v>
      </c>
      <c r="E5" t="s">
        <v>1029</v>
      </c>
      <c r="F5" t="s">
        <v>1033</v>
      </c>
      <c r="G5" t="s">
        <v>1031</v>
      </c>
      <c r="H5" t="s">
        <v>1036</v>
      </c>
      <c r="I5" t="s">
        <v>1037</v>
      </c>
      <c r="J5" t="s">
        <v>1035</v>
      </c>
      <c r="K5" t="s">
        <v>1044</v>
      </c>
      <c r="L5" t="s">
        <v>1075</v>
      </c>
      <c r="M5" t="s">
        <v>1102</v>
      </c>
      <c r="N5" t="s">
        <v>1245</v>
      </c>
      <c r="O5" t="s">
        <v>1246</v>
      </c>
    </row>
    <row r="6" spans="1:15">
      <c r="A6" s="92" t="s">
        <v>936</v>
      </c>
      <c r="B6" s="92"/>
      <c r="C6" s="92"/>
      <c r="D6" s="92"/>
      <c r="E6" s="92"/>
      <c r="F6" s="92"/>
      <c r="G6" s="92"/>
    </row>
    <row r="7" spans="1:15">
      <c r="A7" t="s">
        <v>937</v>
      </c>
      <c r="B7" t="s">
        <v>938</v>
      </c>
      <c r="C7" t="s">
        <v>1042</v>
      </c>
      <c r="D7" t="s">
        <v>1039</v>
      </c>
      <c r="E7" t="s">
        <v>1038</v>
      </c>
      <c r="F7" t="s">
        <v>1034</v>
      </c>
      <c r="G7" s="93" t="s">
        <v>939</v>
      </c>
      <c r="I7" t="s">
        <v>1040</v>
      </c>
      <c r="J7">
        <v>2019</v>
      </c>
    </row>
    <row r="9" spans="1:15">
      <c r="A9" s="92" t="s">
        <v>945</v>
      </c>
      <c r="B9" s="92"/>
      <c r="C9" s="92"/>
      <c r="D9" s="92"/>
      <c r="E9" s="92"/>
      <c r="F9" s="92"/>
      <c r="G9" s="92"/>
    </row>
    <row r="10" spans="1:15">
      <c r="A10" t="s">
        <v>937</v>
      </c>
      <c r="B10" t="s">
        <v>938</v>
      </c>
      <c r="C10" t="s">
        <v>1043</v>
      </c>
      <c r="E10" t="s">
        <v>1038</v>
      </c>
      <c r="F10" t="s">
        <v>1034</v>
      </c>
      <c r="G10" s="93" t="s">
        <v>939</v>
      </c>
      <c r="I10" t="s">
        <v>1040</v>
      </c>
      <c r="J10">
        <v>2019</v>
      </c>
    </row>
    <row r="12" spans="1:15">
      <c r="A12" s="92" t="s">
        <v>946</v>
      </c>
      <c r="B12" s="92"/>
      <c r="C12" s="92"/>
      <c r="D12" s="92"/>
      <c r="E12" s="92"/>
      <c r="F12" s="92"/>
      <c r="G12" s="92"/>
    </row>
    <row r="13" spans="1:15">
      <c r="A13" t="s">
        <v>937</v>
      </c>
      <c r="B13" t="s">
        <v>938</v>
      </c>
      <c r="C13" t="s">
        <v>1041</v>
      </c>
      <c r="E13" t="s">
        <v>949</v>
      </c>
      <c r="F13" t="s">
        <v>1041</v>
      </c>
      <c r="G13" s="93" t="s">
        <v>947</v>
      </c>
      <c r="H13" t="s">
        <v>1046</v>
      </c>
      <c r="I13" t="s">
        <v>1040</v>
      </c>
      <c r="J13">
        <v>2023</v>
      </c>
      <c r="K13" t="s">
        <v>1045</v>
      </c>
    </row>
    <row r="15" spans="1:15">
      <c r="A15" t="s">
        <v>954</v>
      </c>
      <c r="B15" t="s">
        <v>955</v>
      </c>
      <c r="C15" t="s">
        <v>953</v>
      </c>
      <c r="D15" t="s">
        <v>952</v>
      </c>
      <c r="E15" t="s">
        <v>950</v>
      </c>
      <c r="F15" t="s">
        <v>1047</v>
      </c>
      <c r="G15" s="93" t="s">
        <v>951</v>
      </c>
      <c r="H15">
        <v>9.202</v>
      </c>
      <c r="I15" t="s">
        <v>1040</v>
      </c>
      <c r="J15">
        <v>2020</v>
      </c>
    </row>
    <row r="16" spans="1:15">
      <c r="B16" t="s">
        <v>956</v>
      </c>
      <c r="C16" t="s">
        <v>959</v>
      </c>
      <c r="F16" t="s">
        <v>1048</v>
      </c>
      <c r="G16" s="93" t="s">
        <v>958</v>
      </c>
      <c r="I16" t="s">
        <v>1040</v>
      </c>
      <c r="J16">
        <v>2019</v>
      </c>
      <c r="K16" t="s">
        <v>1049</v>
      </c>
    </row>
    <row r="17" spans="1:15">
      <c r="B17" t="s">
        <v>957</v>
      </c>
      <c r="C17" t="s">
        <v>959</v>
      </c>
      <c r="E17" t="s">
        <v>1051</v>
      </c>
      <c r="F17" t="s">
        <v>1050</v>
      </c>
      <c r="G17" s="93" t="s">
        <v>960</v>
      </c>
      <c r="I17" t="s">
        <v>1040</v>
      </c>
    </row>
    <row r="19" spans="1:15">
      <c r="A19" s="92" t="s">
        <v>962</v>
      </c>
      <c r="B19" s="92"/>
      <c r="C19" s="92"/>
      <c r="D19" s="92"/>
      <c r="E19" s="92"/>
      <c r="F19" s="92"/>
      <c r="G19" s="92"/>
    </row>
    <row r="20" spans="1:15">
      <c r="A20" t="s">
        <v>937</v>
      </c>
      <c r="B20" t="s">
        <v>938</v>
      </c>
      <c r="C20" t="s">
        <v>1053</v>
      </c>
      <c r="D20" t="s">
        <v>963</v>
      </c>
      <c r="E20" t="s">
        <v>949</v>
      </c>
      <c r="F20" t="s">
        <v>1053</v>
      </c>
      <c r="G20" s="93" t="s">
        <v>961</v>
      </c>
      <c r="H20" t="s">
        <v>1052</v>
      </c>
      <c r="I20" t="s">
        <v>1040</v>
      </c>
      <c r="J20">
        <v>2022</v>
      </c>
      <c r="K20" t="s">
        <v>1045</v>
      </c>
    </row>
    <row r="22" spans="1:15">
      <c r="A22" s="92" t="s">
        <v>1021</v>
      </c>
      <c r="B22" s="92"/>
      <c r="C22" s="92"/>
      <c r="D22" s="92"/>
      <c r="E22" s="92"/>
      <c r="F22" s="92"/>
      <c r="G22" s="92"/>
    </row>
    <row r="23" spans="1:15">
      <c r="A23" t="s">
        <v>937</v>
      </c>
      <c r="B23" t="s">
        <v>938</v>
      </c>
      <c r="C23" t="s">
        <v>1057</v>
      </c>
      <c r="D23" t="s">
        <v>1096</v>
      </c>
      <c r="E23" t="s">
        <v>1055</v>
      </c>
      <c r="F23" t="s">
        <v>1097</v>
      </c>
      <c r="G23" s="93" t="s">
        <v>1054</v>
      </c>
      <c r="I23" t="s">
        <v>1040</v>
      </c>
      <c r="J23">
        <v>2003</v>
      </c>
      <c r="K23" t="s">
        <v>1058</v>
      </c>
    </row>
    <row r="24" spans="1:15">
      <c r="G24" s="93"/>
    </row>
    <row r="25" spans="1:15">
      <c r="A25" t="s">
        <v>996</v>
      </c>
      <c r="B25" t="s">
        <v>943</v>
      </c>
      <c r="C25" s="94" t="s">
        <v>1056</v>
      </c>
    </row>
    <row r="26" spans="1:15">
      <c r="A26" s="92" t="s">
        <v>964</v>
      </c>
      <c r="B26" s="92"/>
      <c r="C26" s="92"/>
      <c r="D26" s="92"/>
      <c r="E26" s="92"/>
      <c r="F26" s="92"/>
      <c r="G26" s="92"/>
    </row>
    <row r="27" spans="1:15">
      <c r="A27" t="s">
        <v>937</v>
      </c>
      <c r="B27" t="s">
        <v>938</v>
      </c>
      <c r="C27" t="s">
        <v>965</v>
      </c>
      <c r="D27" t="s">
        <v>966</v>
      </c>
      <c r="E27" t="s">
        <v>1059</v>
      </c>
      <c r="F27" t="s">
        <v>1060</v>
      </c>
      <c r="G27" s="93" t="s">
        <v>967</v>
      </c>
      <c r="H27" t="s">
        <v>1061</v>
      </c>
      <c r="I27" t="s">
        <v>1040</v>
      </c>
      <c r="J27">
        <v>2020</v>
      </c>
      <c r="O27" t="s">
        <v>1247</v>
      </c>
    </row>
    <row r="28" spans="1:15">
      <c r="G28" s="93"/>
    </row>
    <row r="29" spans="1:15">
      <c r="A29" t="s">
        <v>954</v>
      </c>
      <c r="B29" t="s">
        <v>955</v>
      </c>
      <c r="C29" t="s">
        <v>972</v>
      </c>
      <c r="D29" t="s">
        <v>974</v>
      </c>
      <c r="G29" s="93" t="s">
        <v>973</v>
      </c>
    </row>
    <row r="30" spans="1:15">
      <c r="B30" t="s">
        <v>956</v>
      </c>
      <c r="C30" t="s">
        <v>977</v>
      </c>
      <c r="G30" s="93" t="s">
        <v>976</v>
      </c>
    </row>
    <row r="32" spans="1:15">
      <c r="A32" s="92" t="s">
        <v>968</v>
      </c>
      <c r="B32" s="92"/>
      <c r="C32" s="92"/>
      <c r="D32" s="92"/>
      <c r="E32" s="92"/>
      <c r="F32" s="92"/>
      <c r="G32" s="92"/>
    </row>
    <row r="33" spans="1:15">
      <c r="A33" t="s">
        <v>937</v>
      </c>
      <c r="B33" t="s">
        <v>938</v>
      </c>
      <c r="C33" t="s">
        <v>965</v>
      </c>
      <c r="D33" t="s">
        <v>966</v>
      </c>
      <c r="E33" t="s">
        <v>1059</v>
      </c>
      <c r="F33" t="s">
        <v>1060</v>
      </c>
      <c r="G33" s="93" t="s">
        <v>967</v>
      </c>
      <c r="H33" t="s">
        <v>1061</v>
      </c>
      <c r="I33" t="s">
        <v>1040</v>
      </c>
      <c r="J33">
        <v>2020</v>
      </c>
      <c r="O33" t="s">
        <v>1247</v>
      </c>
    </row>
    <row r="34" spans="1:15">
      <c r="B34" t="s">
        <v>948</v>
      </c>
      <c r="C34" t="s">
        <v>969</v>
      </c>
      <c r="E34" t="s">
        <v>1059</v>
      </c>
      <c r="F34" t="s">
        <v>1062</v>
      </c>
      <c r="G34" s="93" t="s">
        <v>970</v>
      </c>
      <c r="H34" t="s">
        <v>1063</v>
      </c>
      <c r="I34" t="s">
        <v>1040</v>
      </c>
      <c r="J34">
        <v>2021</v>
      </c>
      <c r="O34" t="s">
        <v>1247</v>
      </c>
    </row>
    <row r="36" spans="1:15">
      <c r="A36" s="92" t="s">
        <v>971</v>
      </c>
      <c r="B36" s="92"/>
      <c r="C36" s="92"/>
      <c r="D36" s="92"/>
      <c r="E36" s="92"/>
      <c r="F36" s="92"/>
      <c r="G36" s="92"/>
    </row>
    <row r="37" spans="1:15">
      <c r="A37" t="s">
        <v>937</v>
      </c>
      <c r="B37" t="s">
        <v>938</v>
      </c>
      <c r="C37" t="s">
        <v>965</v>
      </c>
      <c r="D37" t="s">
        <v>966</v>
      </c>
      <c r="E37" t="s">
        <v>1059</v>
      </c>
      <c r="F37" t="s">
        <v>1060</v>
      </c>
      <c r="G37" s="93" t="s">
        <v>967</v>
      </c>
      <c r="H37" t="s">
        <v>1061</v>
      </c>
      <c r="I37" t="s">
        <v>1040</v>
      </c>
      <c r="J37">
        <v>2020</v>
      </c>
      <c r="O37" t="s">
        <v>1247</v>
      </c>
    </row>
    <row r="38" spans="1:15">
      <c r="B38" t="s">
        <v>948</v>
      </c>
      <c r="C38" t="s">
        <v>969</v>
      </c>
      <c r="E38" t="s">
        <v>1059</v>
      </c>
      <c r="F38" t="s">
        <v>1062</v>
      </c>
      <c r="G38" s="93" t="s">
        <v>970</v>
      </c>
      <c r="H38" t="s">
        <v>1063</v>
      </c>
      <c r="I38" t="s">
        <v>1040</v>
      </c>
      <c r="J38">
        <v>2021</v>
      </c>
      <c r="O38" t="s">
        <v>1247</v>
      </c>
    </row>
    <row r="40" spans="1:15">
      <c r="A40" t="s">
        <v>954</v>
      </c>
      <c r="B40" t="s">
        <v>955</v>
      </c>
      <c r="C40" t="s">
        <v>975</v>
      </c>
      <c r="D40" t="s">
        <v>979</v>
      </c>
      <c r="G40" s="93" t="s">
        <v>978</v>
      </c>
    </row>
    <row r="41" spans="1:15">
      <c r="B41" t="s">
        <v>956</v>
      </c>
      <c r="C41" t="s">
        <v>975</v>
      </c>
      <c r="D41" t="s">
        <v>981</v>
      </c>
      <c r="G41" s="93" t="s">
        <v>980</v>
      </c>
    </row>
    <row r="43" spans="1:15">
      <c r="A43" s="92" t="s">
        <v>982</v>
      </c>
      <c r="B43" s="92"/>
      <c r="C43" s="92"/>
      <c r="D43" s="92"/>
      <c r="E43" s="92"/>
      <c r="F43" s="92"/>
      <c r="G43" s="92"/>
    </row>
    <row r="44" spans="1:15">
      <c r="A44" t="s">
        <v>937</v>
      </c>
      <c r="B44" t="s">
        <v>938</v>
      </c>
      <c r="C44" t="s">
        <v>1064</v>
      </c>
      <c r="E44" t="s">
        <v>1065</v>
      </c>
      <c r="G44" s="93" t="s">
        <v>1066</v>
      </c>
      <c r="I44" t="s">
        <v>1040</v>
      </c>
      <c r="J44" t="s">
        <v>1067</v>
      </c>
    </row>
    <row r="46" spans="1:15" ht="47.25">
      <c r="A46" t="s">
        <v>954</v>
      </c>
      <c r="B46" t="s">
        <v>955</v>
      </c>
      <c r="C46" t="s">
        <v>983</v>
      </c>
      <c r="D46" t="s">
        <v>985</v>
      </c>
      <c r="E46" t="s">
        <v>1068</v>
      </c>
      <c r="F46" s="72" t="s">
        <v>1069</v>
      </c>
      <c r="G46" s="93" t="s">
        <v>984</v>
      </c>
      <c r="I46" t="s">
        <v>1040</v>
      </c>
      <c r="J46">
        <v>2019</v>
      </c>
      <c r="K46" t="s">
        <v>1070</v>
      </c>
    </row>
    <row r="48" spans="1:15">
      <c r="A48" s="92" t="s">
        <v>986</v>
      </c>
      <c r="B48" s="92"/>
      <c r="C48" s="92"/>
      <c r="D48" s="92"/>
      <c r="E48" s="92"/>
      <c r="F48" s="92"/>
      <c r="G48" s="92"/>
    </row>
    <row r="49" spans="1:14">
      <c r="A49" t="s">
        <v>937</v>
      </c>
      <c r="B49" t="s">
        <v>938</v>
      </c>
    </row>
    <row r="50" spans="1:14">
      <c r="B50" t="s">
        <v>948</v>
      </c>
      <c r="C50" t="s">
        <v>1093</v>
      </c>
      <c r="D50" t="s">
        <v>1074</v>
      </c>
      <c r="E50" t="s">
        <v>1072</v>
      </c>
      <c r="F50" t="s">
        <v>1073</v>
      </c>
      <c r="G50" s="93" t="s">
        <v>991</v>
      </c>
      <c r="I50" t="s">
        <v>1040</v>
      </c>
      <c r="J50">
        <v>2007</v>
      </c>
      <c r="L50" t="s">
        <v>992</v>
      </c>
    </row>
    <row r="51" spans="1:14">
      <c r="B51" t="s">
        <v>1005</v>
      </c>
      <c r="C51" t="s">
        <v>1093</v>
      </c>
      <c r="E51" t="s">
        <v>1104</v>
      </c>
      <c r="F51" t="s">
        <v>1107</v>
      </c>
      <c r="G51" s="93" t="s">
        <v>1098</v>
      </c>
      <c r="I51" t="s">
        <v>1099</v>
      </c>
      <c r="J51" t="s">
        <v>1100</v>
      </c>
      <c r="K51" t="s">
        <v>1101</v>
      </c>
      <c r="L51" t="s">
        <v>1108</v>
      </c>
      <c r="M51" t="s">
        <v>1103</v>
      </c>
    </row>
    <row r="52" spans="1:14">
      <c r="B52" t="s">
        <v>1006</v>
      </c>
      <c r="C52" t="s">
        <v>1115</v>
      </c>
      <c r="E52" t="s">
        <v>1071</v>
      </c>
      <c r="F52" t="s">
        <v>1111</v>
      </c>
      <c r="G52" s="93" t="s">
        <v>1112</v>
      </c>
      <c r="I52" t="s">
        <v>1099</v>
      </c>
      <c r="J52" t="s">
        <v>1113</v>
      </c>
      <c r="K52" t="s">
        <v>1114</v>
      </c>
    </row>
    <row r="53" spans="1:14">
      <c r="B53" t="s">
        <v>1014</v>
      </c>
      <c r="C53" t="s">
        <v>1122</v>
      </c>
      <c r="E53" t="s">
        <v>1124</v>
      </c>
      <c r="F53" t="s">
        <v>1125</v>
      </c>
      <c r="G53" s="93" t="s">
        <v>1123</v>
      </c>
      <c r="I53" t="s">
        <v>1099</v>
      </c>
      <c r="J53" t="s">
        <v>1126</v>
      </c>
      <c r="N53" t="s">
        <v>1161</v>
      </c>
    </row>
    <row r="54" spans="1:14">
      <c r="B54" t="s">
        <v>1132</v>
      </c>
      <c r="C54" t="s">
        <v>16</v>
      </c>
      <c r="D54" t="s">
        <v>1130</v>
      </c>
      <c r="E54" t="s">
        <v>1134</v>
      </c>
      <c r="F54" t="s">
        <v>1135</v>
      </c>
      <c r="G54" t="s">
        <v>1133</v>
      </c>
      <c r="I54" t="s">
        <v>1099</v>
      </c>
      <c r="J54" t="s">
        <v>1136</v>
      </c>
      <c r="L54" t="s">
        <v>1131</v>
      </c>
    </row>
    <row r="55" spans="1:14">
      <c r="B55" t="s">
        <v>1142</v>
      </c>
      <c r="C55" t="s">
        <v>19</v>
      </c>
      <c r="E55" t="s">
        <v>1144</v>
      </c>
      <c r="F55" t="s">
        <v>1145</v>
      </c>
      <c r="G55" s="93" t="s">
        <v>1143</v>
      </c>
      <c r="I55" t="s">
        <v>1099</v>
      </c>
      <c r="J55" t="s">
        <v>1146</v>
      </c>
    </row>
    <row r="56" spans="1:14">
      <c r="B56" t="s">
        <v>1148</v>
      </c>
      <c r="C56" t="s">
        <v>21</v>
      </c>
      <c r="E56" t="s">
        <v>1152</v>
      </c>
      <c r="F56" t="s">
        <v>1149</v>
      </c>
      <c r="G56" s="93" t="s">
        <v>1159</v>
      </c>
      <c r="I56" t="s">
        <v>1099</v>
      </c>
      <c r="J56" t="s">
        <v>1150</v>
      </c>
      <c r="K56" t="s">
        <v>1151</v>
      </c>
    </row>
    <row r="57" spans="1:14">
      <c r="B57" t="s">
        <v>1158</v>
      </c>
      <c r="C57" t="s">
        <v>1121</v>
      </c>
      <c r="E57" t="s">
        <v>1119</v>
      </c>
      <c r="F57" t="s">
        <v>1118</v>
      </c>
      <c r="G57" s="93" t="s">
        <v>1117</v>
      </c>
      <c r="I57" t="s">
        <v>1099</v>
      </c>
      <c r="J57" t="s">
        <v>1120</v>
      </c>
    </row>
    <row r="59" spans="1:14">
      <c r="A59" t="s">
        <v>954</v>
      </c>
      <c r="B59" t="s">
        <v>955</v>
      </c>
      <c r="C59" s="21" t="s">
        <v>1076</v>
      </c>
      <c r="D59" s="21"/>
      <c r="E59" s="21"/>
      <c r="G59" s="93" t="s">
        <v>987</v>
      </c>
    </row>
    <row r="60" spans="1:14">
      <c r="B60" t="s">
        <v>956</v>
      </c>
      <c r="C60" t="s">
        <v>990</v>
      </c>
      <c r="E60" t="s">
        <v>1071</v>
      </c>
      <c r="F60" t="s">
        <v>990</v>
      </c>
      <c r="G60" s="93" t="s">
        <v>989</v>
      </c>
      <c r="I60" t="s">
        <v>1157</v>
      </c>
      <c r="J60">
        <v>2008</v>
      </c>
    </row>
    <row r="61" spans="1:14">
      <c r="B61" t="s">
        <v>957</v>
      </c>
      <c r="C61" t="s">
        <v>1156</v>
      </c>
      <c r="G61" s="93" t="s">
        <v>1155</v>
      </c>
    </row>
    <row r="62" spans="1:14">
      <c r="G62" s="93"/>
    </row>
    <row r="63" spans="1:14">
      <c r="A63" s="92" t="s">
        <v>993</v>
      </c>
      <c r="B63" s="92"/>
      <c r="C63" s="92"/>
      <c r="D63" s="92"/>
      <c r="E63" s="92"/>
      <c r="F63" s="92"/>
      <c r="G63" s="92"/>
    </row>
    <row r="64" spans="1:14">
      <c r="A64" t="s">
        <v>937</v>
      </c>
      <c r="B64" t="s">
        <v>938</v>
      </c>
      <c r="E64" t="s">
        <v>1185</v>
      </c>
      <c r="F64" t="s">
        <v>1184</v>
      </c>
      <c r="G64" s="93" t="s">
        <v>1163</v>
      </c>
      <c r="I64" t="s">
        <v>1186</v>
      </c>
    </row>
    <row r="65" spans="1:13">
      <c r="B65" t="s">
        <v>948</v>
      </c>
      <c r="C65" s="97"/>
      <c r="E65" t="s">
        <v>1191</v>
      </c>
      <c r="F65" s="97" t="s">
        <v>1190</v>
      </c>
      <c r="G65" s="95" t="s">
        <v>1188</v>
      </c>
      <c r="I65" t="s">
        <v>1186</v>
      </c>
      <c r="J65" t="s">
        <v>1189</v>
      </c>
    </row>
    <row r="66" spans="1:13">
      <c r="B66" t="s">
        <v>1005</v>
      </c>
      <c r="C66" s="97"/>
      <c r="E66" t="s">
        <v>1192</v>
      </c>
      <c r="F66" s="97" t="s">
        <v>1194</v>
      </c>
      <c r="G66" s="95" t="s">
        <v>1162</v>
      </c>
      <c r="I66" t="s">
        <v>1186</v>
      </c>
      <c r="J66">
        <v>2021</v>
      </c>
      <c r="K66" t="s">
        <v>1193</v>
      </c>
      <c r="M66" t="s">
        <v>1195</v>
      </c>
    </row>
    <row r="67" spans="1:13">
      <c r="B67" t="s">
        <v>1006</v>
      </c>
      <c r="C67" s="97"/>
      <c r="E67" t="s">
        <v>1199</v>
      </c>
      <c r="F67" s="97" t="s">
        <v>1197</v>
      </c>
      <c r="G67" s="93" t="s">
        <v>1160</v>
      </c>
      <c r="I67" t="s">
        <v>1186</v>
      </c>
      <c r="J67" t="s">
        <v>1198</v>
      </c>
    </row>
    <row r="68" spans="1:13">
      <c r="B68" t="s">
        <v>1014</v>
      </c>
      <c r="C68" s="97"/>
      <c r="E68" t="s">
        <v>1200</v>
      </c>
      <c r="F68" s="97" t="s">
        <v>1201</v>
      </c>
      <c r="G68" s="93" t="s">
        <v>1165</v>
      </c>
      <c r="I68" t="s">
        <v>1186</v>
      </c>
    </row>
    <row r="69" spans="1:13">
      <c r="B69" t="s">
        <v>1132</v>
      </c>
      <c r="E69" t="s">
        <v>1205</v>
      </c>
      <c r="F69" s="97" t="s">
        <v>1202</v>
      </c>
      <c r="G69" s="93" t="s">
        <v>1166</v>
      </c>
      <c r="I69" t="s">
        <v>1186</v>
      </c>
      <c r="J69" t="s">
        <v>1203</v>
      </c>
      <c r="K69" t="s">
        <v>1204</v>
      </c>
    </row>
    <row r="70" spans="1:13">
      <c r="B70" t="s">
        <v>1142</v>
      </c>
      <c r="E70" t="s">
        <v>1208</v>
      </c>
      <c r="F70" s="97" t="s">
        <v>1207</v>
      </c>
      <c r="G70" s="100" t="s">
        <v>1167</v>
      </c>
      <c r="I70" t="s">
        <v>1186</v>
      </c>
      <c r="J70" t="s">
        <v>1209</v>
      </c>
      <c r="K70" t="s">
        <v>1210</v>
      </c>
    </row>
    <row r="71" spans="1:13">
      <c r="B71" t="s">
        <v>1148</v>
      </c>
      <c r="E71" t="s">
        <v>1211</v>
      </c>
      <c r="F71" s="97" t="s">
        <v>1212</v>
      </c>
      <c r="G71" s="93" t="s">
        <v>1168</v>
      </c>
      <c r="I71" t="s">
        <v>1186</v>
      </c>
    </row>
    <row r="72" spans="1:13">
      <c r="B72" t="s">
        <v>1158</v>
      </c>
      <c r="C72" s="97" t="s">
        <v>1078</v>
      </c>
      <c r="E72" s="97" t="s">
        <v>1079</v>
      </c>
      <c r="F72" s="97" t="s">
        <v>1080</v>
      </c>
      <c r="G72" s="98" t="s">
        <v>1010</v>
      </c>
      <c r="I72" s="97" t="s">
        <v>1081</v>
      </c>
    </row>
    <row r="73" spans="1:13">
      <c r="C73" s="97"/>
      <c r="E73" s="97"/>
      <c r="F73" s="97"/>
      <c r="G73" s="98"/>
      <c r="I73" s="97"/>
    </row>
    <row r="74" spans="1:13">
      <c r="A74" t="s">
        <v>954</v>
      </c>
      <c r="B74" t="s">
        <v>955</v>
      </c>
      <c r="C74" s="97" t="s">
        <v>1077</v>
      </c>
      <c r="E74" t="s">
        <v>1071</v>
      </c>
      <c r="F74" s="97" t="s">
        <v>1077</v>
      </c>
      <c r="G74" s="93" t="s">
        <v>995</v>
      </c>
      <c r="J74">
        <v>2019</v>
      </c>
    </row>
    <row r="75" spans="1:13">
      <c r="B75" t="s">
        <v>956</v>
      </c>
      <c r="C75" s="97" t="s">
        <v>1077</v>
      </c>
      <c r="E75" t="s">
        <v>1071</v>
      </c>
      <c r="F75" s="97" t="s">
        <v>1077</v>
      </c>
      <c r="G75" s="95" t="s">
        <v>994</v>
      </c>
      <c r="I75" t="s">
        <v>1157</v>
      </c>
      <c r="J75">
        <v>2012</v>
      </c>
    </row>
    <row r="76" spans="1:13">
      <c r="C76" s="97"/>
      <c r="F76" s="97"/>
      <c r="G76" s="95"/>
    </row>
    <row r="77" spans="1:13">
      <c r="A77" s="92" t="s">
        <v>997</v>
      </c>
      <c r="B77" s="92"/>
      <c r="C77" s="92"/>
      <c r="D77" s="92"/>
      <c r="E77" s="92"/>
      <c r="F77" s="92"/>
      <c r="G77" s="92"/>
    </row>
    <row r="78" spans="1:13">
      <c r="A78" t="s">
        <v>998</v>
      </c>
      <c r="B78" t="s">
        <v>938</v>
      </c>
      <c r="C78" t="s">
        <v>1012</v>
      </c>
      <c r="E78" s="97" t="s">
        <v>1083</v>
      </c>
      <c r="F78" s="97" t="s">
        <v>1082</v>
      </c>
      <c r="G78" s="97" t="s">
        <v>1084</v>
      </c>
      <c r="I78" s="97"/>
      <c r="J78">
        <v>2017</v>
      </c>
      <c r="K78" t="s">
        <v>1085</v>
      </c>
      <c r="L78" s="97" t="s">
        <v>1086</v>
      </c>
    </row>
    <row r="79" spans="1:13">
      <c r="B79" t="s">
        <v>948</v>
      </c>
      <c r="C79" t="s">
        <v>31</v>
      </c>
      <c r="E79" t="s">
        <v>1087</v>
      </c>
      <c r="F79" s="97" t="s">
        <v>1216</v>
      </c>
      <c r="G79" s="93" t="s">
        <v>1013</v>
      </c>
      <c r="I79" t="s">
        <v>1040</v>
      </c>
      <c r="J79">
        <v>2014</v>
      </c>
    </row>
    <row r="80" spans="1:13">
      <c r="B80" t="s">
        <v>1005</v>
      </c>
      <c r="C80" t="s">
        <v>1183</v>
      </c>
      <c r="E80" t="s">
        <v>1213</v>
      </c>
      <c r="F80" t="s">
        <v>1215</v>
      </c>
      <c r="G80" s="105" t="s">
        <v>1179</v>
      </c>
      <c r="I80" t="s">
        <v>1186</v>
      </c>
      <c r="J80">
        <v>2022</v>
      </c>
      <c r="M80" t="s">
        <v>1214</v>
      </c>
    </row>
    <row r="82" spans="1:12">
      <c r="A82" t="s">
        <v>996</v>
      </c>
      <c r="B82" t="s">
        <v>943</v>
      </c>
      <c r="C82" t="s">
        <v>999</v>
      </c>
    </row>
    <row r="83" spans="1:12">
      <c r="H83" s="97"/>
      <c r="I83" s="98"/>
    </row>
    <row r="84" spans="1:12">
      <c r="A84" t="s">
        <v>954</v>
      </c>
      <c r="B84" t="s">
        <v>955</v>
      </c>
      <c r="C84" t="s">
        <v>31</v>
      </c>
      <c r="E84" s="97" t="s">
        <v>1079</v>
      </c>
      <c r="F84" s="97" t="s">
        <v>1080</v>
      </c>
      <c r="G84" s="93" t="s">
        <v>1010</v>
      </c>
      <c r="I84" s="97" t="s">
        <v>1081</v>
      </c>
    </row>
    <row r="86" spans="1:12">
      <c r="A86" s="92" t="s">
        <v>1000</v>
      </c>
      <c r="B86" s="92"/>
      <c r="C86" s="92"/>
      <c r="D86" s="92"/>
      <c r="E86" s="92"/>
      <c r="F86" s="92"/>
      <c r="G86" s="92"/>
    </row>
    <row r="87" spans="1:12">
      <c r="A87" t="s">
        <v>998</v>
      </c>
      <c r="B87" t="s">
        <v>938</v>
      </c>
      <c r="C87" t="s">
        <v>1012</v>
      </c>
      <c r="E87" s="97" t="s">
        <v>1083</v>
      </c>
      <c r="F87" s="97" t="s">
        <v>1082</v>
      </c>
      <c r="G87" s="97" t="s">
        <v>1084</v>
      </c>
      <c r="I87" s="97"/>
      <c r="J87">
        <v>2017</v>
      </c>
      <c r="K87" t="s">
        <v>1085</v>
      </c>
      <c r="L87" s="97" t="s">
        <v>1170</v>
      </c>
    </row>
    <row r="88" spans="1:12">
      <c r="B88" t="s">
        <v>948</v>
      </c>
      <c r="C88" t="s">
        <v>1226</v>
      </c>
      <c r="E88" t="s">
        <v>1224</v>
      </c>
      <c r="F88" t="s">
        <v>1225</v>
      </c>
      <c r="G88" t="s">
        <v>1223</v>
      </c>
      <c r="I88" t="s">
        <v>1186</v>
      </c>
      <c r="J88">
        <v>2007</v>
      </c>
    </row>
    <row r="89" spans="1:12">
      <c r="B89" t="s">
        <v>1005</v>
      </c>
      <c r="C89" t="s">
        <v>1217</v>
      </c>
      <c r="E89" t="s">
        <v>1219</v>
      </c>
      <c r="F89" t="s">
        <v>1218</v>
      </c>
      <c r="G89" t="s">
        <v>1220</v>
      </c>
      <c r="I89" t="s">
        <v>1099</v>
      </c>
      <c r="J89" t="s">
        <v>1221</v>
      </c>
    </row>
    <row r="90" spans="1:12">
      <c r="B90" t="s">
        <v>1006</v>
      </c>
      <c r="C90" t="s">
        <v>1236</v>
      </c>
      <c r="E90" t="s">
        <v>1229</v>
      </c>
      <c r="F90" t="s">
        <v>1232</v>
      </c>
      <c r="G90" t="s">
        <v>1174</v>
      </c>
      <c r="I90" t="s">
        <v>1186</v>
      </c>
      <c r="J90" t="s">
        <v>1233</v>
      </c>
      <c r="K90" t="s">
        <v>1234</v>
      </c>
    </row>
    <row r="91" spans="1:12">
      <c r="B91" t="s">
        <v>1014</v>
      </c>
      <c r="C91" t="s">
        <v>1237</v>
      </c>
      <c r="E91" t="s">
        <v>1239</v>
      </c>
      <c r="F91" t="s">
        <v>1238</v>
      </c>
      <c r="G91" s="93" t="s">
        <v>1180</v>
      </c>
      <c r="I91" t="s">
        <v>1186</v>
      </c>
      <c r="J91">
        <v>2006</v>
      </c>
    </row>
    <row r="92" spans="1:12">
      <c r="B92" t="s">
        <v>1132</v>
      </c>
      <c r="C92" t="s">
        <v>1240</v>
      </c>
      <c r="E92" t="s">
        <v>1244</v>
      </c>
      <c r="F92" t="s">
        <v>1241</v>
      </c>
      <c r="G92" s="93" t="s">
        <v>1178</v>
      </c>
      <c r="I92" t="s">
        <v>1186</v>
      </c>
      <c r="J92" t="s">
        <v>1242</v>
      </c>
      <c r="K92" t="s">
        <v>1243</v>
      </c>
    </row>
    <row r="93" spans="1:12">
      <c r="B93" t="s">
        <v>1142</v>
      </c>
      <c r="C93" t="s">
        <v>31</v>
      </c>
      <c r="E93" s="97" t="s">
        <v>1079</v>
      </c>
      <c r="F93" s="97" t="s">
        <v>1080</v>
      </c>
      <c r="G93" s="93" t="s">
        <v>1010</v>
      </c>
      <c r="I93" s="97" t="s">
        <v>1081</v>
      </c>
    </row>
    <row r="94" spans="1:12">
      <c r="B94" t="s">
        <v>1148</v>
      </c>
      <c r="C94" t="s">
        <v>1004</v>
      </c>
      <c r="E94" t="s">
        <v>1071</v>
      </c>
      <c r="F94" t="s">
        <v>1090</v>
      </c>
      <c r="G94" s="93" t="s">
        <v>1008</v>
      </c>
      <c r="I94" t="s">
        <v>1157</v>
      </c>
      <c r="J94">
        <v>2012</v>
      </c>
    </row>
    <row r="95" spans="1:12">
      <c r="B95" t="s">
        <v>1158</v>
      </c>
      <c r="C95" t="s">
        <v>1003</v>
      </c>
      <c r="E95" t="s">
        <v>1071</v>
      </c>
      <c r="F95" t="s">
        <v>1091</v>
      </c>
      <c r="G95" s="93" t="s">
        <v>1009</v>
      </c>
      <c r="I95" t="s">
        <v>1157</v>
      </c>
      <c r="J95">
        <v>2011</v>
      </c>
    </row>
    <row r="96" spans="1:12">
      <c r="B96" t="s">
        <v>1249</v>
      </c>
      <c r="C96" t="s">
        <v>1002</v>
      </c>
      <c r="E96" t="s">
        <v>1071</v>
      </c>
      <c r="F96" t="s">
        <v>1092</v>
      </c>
      <c r="G96" s="95" t="s">
        <v>1007</v>
      </c>
      <c r="I96" t="s">
        <v>1157</v>
      </c>
      <c r="J96">
        <v>2015</v>
      </c>
    </row>
    <row r="97" spans="1:10">
      <c r="B97" t="s">
        <v>1252</v>
      </c>
      <c r="C97" t="s">
        <v>1001</v>
      </c>
      <c r="E97" t="s">
        <v>1071</v>
      </c>
      <c r="F97" t="s">
        <v>1088</v>
      </c>
      <c r="G97" t="s">
        <v>1089</v>
      </c>
      <c r="I97" t="s">
        <v>1157</v>
      </c>
      <c r="J97">
        <v>2012</v>
      </c>
    </row>
    <row r="99" spans="1:10">
      <c r="A99" t="s">
        <v>996</v>
      </c>
      <c r="B99" t="s">
        <v>943</v>
      </c>
      <c r="C99" t="s">
        <v>1228</v>
      </c>
    </row>
    <row r="100" spans="1:10">
      <c r="B100" t="s">
        <v>1227</v>
      </c>
      <c r="C100" t="s">
        <v>1222</v>
      </c>
    </row>
  </sheetData>
  <phoneticPr fontId="34" type="noConversion"/>
  <hyperlinks>
    <hyperlink ref="G13" r:id="rId1" xr:uid="{85F09EF5-D2DA-43A1-B814-6AD3D27FEFE3}"/>
    <hyperlink ref="G15" r:id="rId2" xr:uid="{E657EE9C-BA48-4368-9DA7-A2B38917B996}"/>
    <hyperlink ref="G16" r:id="rId3" xr:uid="{29CD38B0-ACA6-440C-B82C-61EE395CE280}"/>
    <hyperlink ref="G17" r:id="rId4" xr:uid="{5376E5E5-A6BF-4631-A25D-70F07876A496}"/>
    <hyperlink ref="G20" r:id="rId5" xr:uid="{5B324567-245C-4ACC-A304-5DCCDC13B85B}"/>
    <hyperlink ref="G27" r:id="rId6" xr:uid="{63D301A2-3B04-4AE7-B559-D75A70A85FA3}"/>
    <hyperlink ref="G34" r:id="rId7" xr:uid="{8B7E5E45-7ABD-4C8E-B04D-E30FF9F6FD19}"/>
    <hyperlink ref="G30" r:id="rId8" xr:uid="{65608569-65E8-4ADA-B266-6268001C2AFB}"/>
    <hyperlink ref="G40" r:id="rId9" xr:uid="{381AEF0A-7C70-419D-8CBD-6F7DAA60CBF4}"/>
    <hyperlink ref="G41" r:id="rId10" xr:uid="{547D0A5D-5D68-4D8A-8F8C-A9CDA06ADFD9}"/>
    <hyperlink ref="G60" r:id="rId11" xr:uid="{93BC09D4-A84A-4363-B9A0-951050C6A54E}"/>
    <hyperlink ref="G74" r:id="rId12" xr:uid="{7508FC93-D259-450A-B865-231A04AAE089}"/>
    <hyperlink ref="G96" r:id="rId13" xr:uid="{878AEAC3-2E47-4E28-81C7-C4B49D04BC85}"/>
    <hyperlink ref="G84" r:id="rId14" xr:uid="{3A4BB877-6B9B-4839-AA27-7CBCC608CB12}"/>
    <hyperlink ref="G59" r:id="rId15" xr:uid="{AFA44946-0A1A-4507-BD84-51F2BF1F6D92}"/>
    <hyperlink ref="G7" r:id="rId16" xr:uid="{E3043E09-DF63-406D-9223-358F484981E2}"/>
    <hyperlink ref="G10" r:id="rId17" xr:uid="{347F6D95-1404-459A-9D10-EA31D3E702A9}"/>
    <hyperlink ref="G23" r:id="rId18" xr:uid="{8AE976F2-9CFE-43AC-8F0A-90BE6EE621B4}"/>
    <hyperlink ref="G33" r:id="rId19" xr:uid="{C31AA083-1B39-479C-BEEF-66FD9885BF9C}"/>
    <hyperlink ref="G38" r:id="rId20" xr:uid="{815A8E4F-1DD3-40C0-B9DB-ABF16AE983B0}"/>
    <hyperlink ref="G37" r:id="rId21" xr:uid="{ED19F591-5989-4BAE-BE7F-51543B370DC4}"/>
    <hyperlink ref="G44" r:id="rId22" xr:uid="{EB22E0E7-9760-4350-9685-C5ECFD7E364F}"/>
    <hyperlink ref="G46" r:id="rId23" display="https://healthybuilding.net/uploads/files/Chlorine &amp; Building Materials Phase 2 Asia.pdf" xr:uid="{0715D0E2-6FAE-47A6-89F9-D00A1162E172}"/>
    <hyperlink ref="G50" r:id="rId24" xr:uid="{460AD980-4842-4973-A625-34F650811E49}"/>
    <hyperlink ref="G72" r:id="rId25" xr:uid="{FDF497C9-51B6-4247-B152-28DAB5956A22}"/>
    <hyperlink ref="G79" r:id="rId26" xr:uid="{71E24F7E-33B8-4295-8A34-0C8B1D4C7CBB}"/>
    <hyperlink ref="G93" r:id="rId27" xr:uid="{61C71783-EA38-4D01-BF96-045A20FA9082}"/>
    <hyperlink ref="G94" r:id="rId28" xr:uid="{E433E612-5F0C-42CA-9705-0DCF9592DF71}"/>
    <hyperlink ref="G95" r:id="rId29" xr:uid="{226E392A-271F-4F26-8DD7-AF2A6A095464}"/>
    <hyperlink ref="G75" r:id="rId30" xr:uid="{333E8EE0-7D22-400A-A24D-62E9C60791FA}"/>
    <hyperlink ref="G53" r:id="rId31" xr:uid="{7A9979CC-A337-4FED-91AE-ED8AB7A6EF4D}"/>
    <hyperlink ref="G55" r:id="rId32" xr:uid="{70D3B08C-7617-470F-B09E-A8B69288017C}"/>
    <hyperlink ref="G56" r:id="rId33" xr:uid="{6E529467-F7A5-4342-A53E-FFC161E1BBF8}"/>
    <hyperlink ref="G52" r:id="rId34" xr:uid="{6FC620CC-7BD8-454C-9166-0FE5689629B5}"/>
    <hyperlink ref="G51" r:id="rId35" xr:uid="{1AEE918E-F451-4538-B5D3-27289E744C43}"/>
    <hyperlink ref="G64" r:id="rId36" xr:uid="{E9D19102-AAFB-4216-87C0-BDCD8F598462}"/>
    <hyperlink ref="G65" r:id="rId37" xr:uid="{80F254ED-3810-41A4-9249-66B8B11B7C1D}"/>
    <hyperlink ref="G66" r:id="rId38" xr:uid="{34605E0B-981A-44B8-AA13-0C2393727FDC}"/>
    <hyperlink ref="G67" r:id="rId39" xr:uid="{57D7EC18-5244-4591-BA3B-FCDAF0A05CBC}"/>
    <hyperlink ref="G68" r:id="rId40" xr:uid="{7DA40CDC-BBC1-4B89-8016-188931B16044}"/>
    <hyperlink ref="G69" r:id="rId41" xr:uid="{92BBAB77-0DC5-4EDE-AB8B-B4D6835FE15E}"/>
    <hyperlink ref="G71" r:id="rId42" xr:uid="{CAC96EA6-D826-4F38-B747-3F8666E0D46A}"/>
    <hyperlink ref="G80" r:id="rId43" xr:uid="{F05E8DF9-5237-42BA-915A-7F993357FA91}"/>
    <hyperlink ref="G91" r:id="rId44" xr:uid="{E8921727-8105-407B-82B7-42E2B2F7A5B4}"/>
    <hyperlink ref="G92" r:id="rId45" xr:uid="{6E1DF835-7B2B-4E2A-9A99-2D7ADD7A5133}"/>
  </hyperlinks>
  <pageMargins left="0.7" right="0.7" top="0.78740157499999996" bottom="0.78740157499999996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A9B-B285-435C-A3F6-6DB6556489FE}">
  <dimension ref="A1:K315"/>
  <sheetViews>
    <sheetView workbookViewId="0"/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5" width="29.875" style="3" customWidth="1"/>
    <col min="6" max="6" width="18.875" style="3" bestFit="1" customWidth="1"/>
    <col min="7" max="7" width="11.62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655</v>
      </c>
      <c r="E1" s="22" t="s">
        <v>940</v>
      </c>
      <c r="F1" s="22" t="s">
        <v>691</v>
      </c>
      <c r="G1" s="23" t="s">
        <v>1028</v>
      </c>
      <c r="H1" s="2"/>
      <c r="I1" s="2"/>
      <c r="J1" s="2"/>
    </row>
    <row r="2" spans="1:11" ht="30">
      <c r="A2" s="106" t="s">
        <v>3</v>
      </c>
      <c r="B2" s="5" t="s">
        <v>36</v>
      </c>
      <c r="C2" s="6"/>
      <c r="D2" s="7" t="s">
        <v>621</v>
      </c>
      <c r="E2" s="7"/>
      <c r="K2" s="4"/>
    </row>
    <row r="3" spans="1:11">
      <c r="A3" s="106"/>
      <c r="B3" s="5" t="s">
        <v>46</v>
      </c>
      <c r="C3" s="6"/>
      <c r="D3" s="7" t="s">
        <v>316</v>
      </c>
      <c r="E3" s="7"/>
      <c r="H3" s="4"/>
      <c r="I3" s="9"/>
      <c r="K3" s="4"/>
    </row>
    <row r="4" spans="1:11">
      <c r="A4" s="106"/>
      <c r="B4" s="5" t="s">
        <v>40</v>
      </c>
      <c r="C4" s="6" t="s">
        <v>799</v>
      </c>
      <c r="D4" s="7" t="s">
        <v>317</v>
      </c>
      <c r="E4" s="7"/>
      <c r="F4" s="3">
        <f>SUM($E4:$E4)</f>
        <v>0</v>
      </c>
      <c r="G4" s="8">
        <f>F4/SUM($F$4:$F$9)</f>
        <v>0</v>
      </c>
      <c r="K4" s="4"/>
    </row>
    <row r="5" spans="1:11">
      <c r="A5" s="106"/>
      <c r="B5" s="5" t="s">
        <v>44</v>
      </c>
      <c r="C5" s="6" t="s">
        <v>810</v>
      </c>
      <c r="D5" s="7" t="s">
        <v>318</v>
      </c>
      <c r="E5" s="7">
        <v>5000</v>
      </c>
      <c r="F5" s="3">
        <f>SUM($E5:$E5)</f>
        <v>5000</v>
      </c>
      <c r="G5" s="8">
        <f t="shared" ref="G5:G9" si="0">F5/SUM($F$4:$F$9)</f>
        <v>1</v>
      </c>
      <c r="K5" s="4"/>
    </row>
    <row r="6" spans="1:11">
      <c r="A6" s="106"/>
      <c r="B6" s="5" t="s">
        <v>45</v>
      </c>
      <c r="C6" s="6"/>
      <c r="D6" s="7" t="s">
        <v>319</v>
      </c>
      <c r="E6" s="7"/>
      <c r="K6" s="4"/>
    </row>
    <row r="7" spans="1:11">
      <c r="A7" s="106"/>
      <c r="B7" s="5" t="s">
        <v>37</v>
      </c>
      <c r="C7" s="6"/>
      <c r="D7" s="7" t="s">
        <v>320</v>
      </c>
      <c r="E7" s="7"/>
      <c r="K7" s="4"/>
    </row>
    <row r="8" spans="1:11">
      <c r="A8" s="106"/>
      <c r="B8" s="5" t="s">
        <v>43</v>
      </c>
      <c r="C8" s="6"/>
      <c r="D8" s="7" t="s">
        <v>321</v>
      </c>
      <c r="E8" s="7"/>
      <c r="K8" s="4"/>
    </row>
    <row r="9" spans="1:11" ht="30">
      <c r="A9" s="106"/>
      <c r="B9" s="5" t="s">
        <v>42</v>
      </c>
      <c r="C9" s="6" t="s">
        <v>798</v>
      </c>
      <c r="D9" s="7" t="s">
        <v>322</v>
      </c>
      <c r="E9" s="7"/>
      <c r="F9" s="3">
        <f>SUM($E9:$E9)</f>
        <v>0</v>
      </c>
      <c r="G9" s="8">
        <f t="shared" si="0"/>
        <v>0</v>
      </c>
      <c r="K9" s="4"/>
    </row>
    <row r="10" spans="1:11">
      <c r="A10" s="106"/>
      <c r="B10" s="5" t="s">
        <v>41</v>
      </c>
      <c r="C10" s="6"/>
      <c r="D10" s="7" t="s">
        <v>323</v>
      </c>
      <c r="E10" s="7"/>
      <c r="K10" s="4"/>
    </row>
    <row r="11" spans="1:11">
      <c r="A11" s="106"/>
      <c r="B11" s="5" t="s">
        <v>39</v>
      </c>
      <c r="C11" s="6"/>
      <c r="D11" s="7" t="s">
        <v>324</v>
      </c>
      <c r="E11" s="7"/>
      <c r="K11" s="4"/>
    </row>
    <row r="12" spans="1:11">
      <c r="A12" s="106"/>
      <c r="B12" s="5" t="s">
        <v>38</v>
      </c>
      <c r="C12" s="6"/>
      <c r="D12" s="7" t="s">
        <v>325</v>
      </c>
      <c r="E12" s="7"/>
      <c r="K12" s="4"/>
    </row>
    <row r="13" spans="1:11">
      <c r="A13" s="106" t="s">
        <v>4</v>
      </c>
      <c r="B13" s="5" t="s">
        <v>47</v>
      </c>
      <c r="C13" s="6"/>
      <c r="D13" s="7" t="s">
        <v>326</v>
      </c>
      <c r="E13" s="7"/>
      <c r="G13" s="8">
        <f>1/ROWS($B$13:$B$18)</f>
        <v>0.16666666666666666</v>
      </c>
      <c r="K13" s="4"/>
    </row>
    <row r="14" spans="1:11">
      <c r="A14" s="106"/>
      <c r="B14" s="5" t="s">
        <v>49</v>
      </c>
      <c r="C14" s="6"/>
      <c r="D14" s="7" t="s">
        <v>327</v>
      </c>
      <c r="E14" s="7"/>
      <c r="G14" s="8">
        <f t="shared" ref="G14:G18" si="1">1/ROWS($B$13:$B$18)</f>
        <v>0.16666666666666666</v>
      </c>
      <c r="K14" s="4"/>
    </row>
    <row r="15" spans="1:11">
      <c r="A15" s="106"/>
      <c r="B15" s="5" t="s">
        <v>50</v>
      </c>
      <c r="C15" s="6"/>
      <c r="D15" s="7" t="s">
        <v>328</v>
      </c>
      <c r="E15" s="7"/>
      <c r="G15" s="8">
        <f t="shared" si="1"/>
        <v>0.16666666666666666</v>
      </c>
      <c r="K15" s="4"/>
    </row>
    <row r="16" spans="1:11">
      <c r="A16" s="106"/>
      <c r="B16" s="5" t="s">
        <v>51</v>
      </c>
      <c r="C16" s="6"/>
      <c r="D16" s="7" t="s">
        <v>329</v>
      </c>
      <c r="E16" s="7"/>
      <c r="G16" s="8">
        <f t="shared" si="1"/>
        <v>0.16666666666666666</v>
      </c>
      <c r="K16" s="4"/>
    </row>
    <row r="17" spans="1:11">
      <c r="A17" s="106"/>
      <c r="B17" s="5" t="s">
        <v>52</v>
      </c>
      <c r="C17" s="6" t="s">
        <v>825</v>
      </c>
      <c r="D17" s="7" t="s">
        <v>330</v>
      </c>
      <c r="E17" s="7"/>
      <c r="F17" s="3">
        <f>SUM($E17:$E17)</f>
        <v>0</v>
      </c>
      <c r="G17" s="8">
        <f t="shared" si="1"/>
        <v>0.16666666666666666</v>
      </c>
      <c r="K17" s="4"/>
    </row>
    <row r="18" spans="1:11">
      <c r="A18" s="106"/>
      <c r="B18" s="5" t="s">
        <v>48</v>
      </c>
      <c r="C18" s="6"/>
      <c r="D18" s="7" t="s">
        <v>331</v>
      </c>
      <c r="E18" s="7"/>
      <c r="G18" s="8">
        <f t="shared" si="1"/>
        <v>0.16666666666666666</v>
      </c>
      <c r="K18" s="4"/>
    </row>
    <row r="19" spans="1:11">
      <c r="A19" s="106" t="s">
        <v>5</v>
      </c>
      <c r="B19" s="5" t="s">
        <v>54</v>
      </c>
      <c r="C19" s="6"/>
      <c r="D19" s="7" t="s">
        <v>332</v>
      </c>
      <c r="E19" s="7"/>
      <c r="K19" s="4"/>
    </row>
    <row r="20" spans="1:11">
      <c r="A20" s="106"/>
      <c r="B20" s="5" t="s">
        <v>53</v>
      </c>
      <c r="C20" s="6"/>
      <c r="D20" s="7" t="s">
        <v>333</v>
      </c>
      <c r="E20" s="7"/>
      <c r="K20" s="4"/>
    </row>
    <row r="21" spans="1:11">
      <c r="A21" s="106"/>
      <c r="B21" s="5" t="s">
        <v>60</v>
      </c>
      <c r="C21" s="6" t="s">
        <v>829</v>
      </c>
      <c r="D21" s="7" t="s">
        <v>334</v>
      </c>
      <c r="E21" s="7"/>
      <c r="F21" s="3">
        <f>SUM($E21:$E21)</f>
        <v>0</v>
      </c>
      <c r="G21" s="8">
        <f>F21/SUM($F$21:$F$26)</f>
        <v>0</v>
      </c>
      <c r="K21" s="4"/>
    </row>
    <row r="22" spans="1:11">
      <c r="A22" s="106"/>
      <c r="B22" s="5" t="s">
        <v>58</v>
      </c>
      <c r="D22" s="7" t="s">
        <v>335</v>
      </c>
      <c r="E22" s="7"/>
      <c r="K22" s="4"/>
    </row>
    <row r="23" spans="1:11">
      <c r="A23" s="106"/>
      <c r="B23" s="5" t="s">
        <v>57</v>
      </c>
      <c r="C23" s="6"/>
      <c r="D23" s="7" t="s">
        <v>336</v>
      </c>
      <c r="E23" s="7"/>
      <c r="K23" s="4"/>
    </row>
    <row r="24" spans="1:11">
      <c r="A24" s="106"/>
      <c r="B24" s="5" t="s">
        <v>59</v>
      </c>
      <c r="C24" s="6"/>
      <c r="D24" s="7" t="s">
        <v>337</v>
      </c>
      <c r="E24" s="7"/>
      <c r="K24" s="4"/>
    </row>
    <row r="25" spans="1:11">
      <c r="A25" s="106"/>
      <c r="B25" s="5" t="s">
        <v>55</v>
      </c>
      <c r="C25" s="6"/>
      <c r="D25" s="7" t="s">
        <v>338</v>
      </c>
      <c r="E25" s="7"/>
      <c r="K25" s="4"/>
    </row>
    <row r="26" spans="1:11" ht="30">
      <c r="A26" s="106"/>
      <c r="B26" s="5" t="s">
        <v>56</v>
      </c>
      <c r="C26" s="6" t="s">
        <v>828</v>
      </c>
      <c r="D26" s="7" t="s">
        <v>339</v>
      </c>
      <c r="E26" s="7">
        <v>2400</v>
      </c>
      <c r="F26" s="3">
        <f>SUM($E26:$E26)</f>
        <v>2400</v>
      </c>
      <c r="G26" s="8">
        <f t="shared" ref="G26" si="2">F26/SUM($F$21:$F$26)</f>
        <v>1</v>
      </c>
      <c r="K26" s="4"/>
    </row>
    <row r="27" spans="1:11">
      <c r="A27" s="106" t="s">
        <v>6</v>
      </c>
      <c r="B27" s="5" t="s">
        <v>64</v>
      </c>
      <c r="C27" s="6"/>
      <c r="D27" s="7" t="s">
        <v>340</v>
      </c>
      <c r="E27" s="7"/>
      <c r="G27" s="8">
        <f>1/ROWS(B27:B31)</f>
        <v>0.2</v>
      </c>
      <c r="H27" s="82" t="s">
        <v>925</v>
      </c>
      <c r="K27" s="4"/>
    </row>
    <row r="28" spans="1:11">
      <c r="A28" s="106"/>
      <c r="B28" s="5" t="s">
        <v>61</v>
      </c>
      <c r="C28" s="6"/>
      <c r="D28" s="7" t="s">
        <v>341</v>
      </c>
      <c r="E28" s="7"/>
      <c r="G28" s="8">
        <f>1/ROWS(B28:B32)</f>
        <v>0.2</v>
      </c>
      <c r="H28" s="82" t="s">
        <v>925</v>
      </c>
      <c r="K28" s="4"/>
    </row>
    <row r="29" spans="1:11">
      <c r="A29" s="106"/>
      <c r="B29" s="5" t="s">
        <v>63</v>
      </c>
      <c r="C29" s="6"/>
      <c r="D29" s="7" t="s">
        <v>342</v>
      </c>
      <c r="E29" s="7"/>
      <c r="G29" s="8">
        <f>1/ROWS(B29:B33)</f>
        <v>0.2</v>
      </c>
      <c r="H29" s="82" t="s">
        <v>925</v>
      </c>
      <c r="K29" s="4"/>
    </row>
    <row r="30" spans="1:11">
      <c r="A30" s="106"/>
      <c r="B30" s="5" t="s">
        <v>65</v>
      </c>
      <c r="C30" s="6"/>
      <c r="D30" s="7" t="s">
        <v>343</v>
      </c>
      <c r="E30" s="7"/>
      <c r="G30" s="8">
        <f>1/ROWS(B30:B34)</f>
        <v>0.2</v>
      </c>
      <c r="H30" s="82" t="s">
        <v>925</v>
      </c>
      <c r="K30" s="4"/>
    </row>
    <row r="31" spans="1:11">
      <c r="A31" s="106"/>
      <c r="B31" s="5" t="s">
        <v>62</v>
      </c>
      <c r="C31" s="6"/>
      <c r="D31" s="7" t="s">
        <v>344</v>
      </c>
      <c r="E31" s="7"/>
      <c r="G31" s="8">
        <f>1/ROWS(B31:B35)</f>
        <v>0.2</v>
      </c>
      <c r="H31" s="82" t="s">
        <v>925</v>
      </c>
      <c r="K31" s="4"/>
    </row>
    <row r="32" spans="1:11">
      <c r="A32" s="106" t="s">
        <v>7</v>
      </c>
      <c r="B32" s="5" t="s">
        <v>101</v>
      </c>
      <c r="C32" s="6"/>
      <c r="D32" s="7" t="s">
        <v>345</v>
      </c>
      <c r="E32" s="7"/>
      <c r="K32" s="4"/>
    </row>
    <row r="33" spans="1:11">
      <c r="A33" s="106"/>
      <c r="B33" s="5" t="s">
        <v>102</v>
      </c>
      <c r="C33" s="6"/>
      <c r="D33" s="7" t="s">
        <v>346</v>
      </c>
      <c r="E33" s="7"/>
      <c r="K33" s="4"/>
    </row>
    <row r="34" spans="1:11">
      <c r="A34" s="106"/>
      <c r="B34" s="5" t="s">
        <v>103</v>
      </c>
      <c r="C34" s="6" t="s">
        <v>840</v>
      </c>
      <c r="D34" s="7" t="s">
        <v>347</v>
      </c>
      <c r="E34" s="7"/>
      <c r="F34" s="3">
        <f>SUM($E34:$E34)</f>
        <v>0</v>
      </c>
      <c r="G34" s="8">
        <f>F34/SUM($F$34:$F$69)</f>
        <v>0</v>
      </c>
      <c r="K34" s="4"/>
    </row>
    <row r="35" spans="1:11">
      <c r="A35" s="106"/>
      <c r="B35" s="5" t="s">
        <v>100</v>
      </c>
      <c r="C35" s="6"/>
      <c r="D35" s="7" t="s">
        <v>348</v>
      </c>
      <c r="E35" s="7"/>
      <c r="K35" s="4"/>
    </row>
    <row r="36" spans="1:11">
      <c r="A36" s="106"/>
      <c r="B36" s="5" t="s">
        <v>97</v>
      </c>
      <c r="C36" s="25"/>
      <c r="D36" s="7" t="s">
        <v>349</v>
      </c>
      <c r="E36" s="7"/>
      <c r="K36" s="4"/>
    </row>
    <row r="37" spans="1:11">
      <c r="A37" s="106"/>
      <c r="B37" s="5" t="s">
        <v>98</v>
      </c>
      <c r="C37" s="6"/>
      <c r="D37" s="7" t="s">
        <v>350</v>
      </c>
      <c r="E37" s="7"/>
      <c r="K37" s="4"/>
    </row>
    <row r="38" spans="1:11">
      <c r="A38" s="106"/>
      <c r="B38" s="5" t="s">
        <v>95</v>
      </c>
      <c r="C38" s="6"/>
      <c r="D38" s="7" t="s">
        <v>351</v>
      </c>
      <c r="E38" s="7"/>
      <c r="K38" s="4"/>
    </row>
    <row r="39" spans="1:11">
      <c r="A39" s="106"/>
      <c r="B39" s="5" t="s">
        <v>96</v>
      </c>
      <c r="C39" s="6"/>
      <c r="D39" s="7" t="s">
        <v>352</v>
      </c>
      <c r="E39" s="7"/>
      <c r="K39" s="4"/>
    </row>
    <row r="40" spans="1:11">
      <c r="A40" s="106"/>
      <c r="B40" s="5" t="s">
        <v>99</v>
      </c>
      <c r="C40" s="6"/>
      <c r="D40" s="7" t="s">
        <v>353</v>
      </c>
      <c r="E40" s="7"/>
      <c r="K40" s="4"/>
    </row>
    <row r="41" spans="1:11">
      <c r="A41" s="106"/>
      <c r="B41" s="5" t="s">
        <v>93</v>
      </c>
      <c r="C41" s="6"/>
      <c r="D41" s="7" t="s">
        <v>354</v>
      </c>
      <c r="E41" s="7"/>
      <c r="K41" s="4"/>
    </row>
    <row r="42" spans="1:11">
      <c r="A42" s="106"/>
      <c r="B42" s="5" t="s">
        <v>94</v>
      </c>
      <c r="C42" s="6" t="s">
        <v>839</v>
      </c>
      <c r="D42" s="7" t="s">
        <v>355</v>
      </c>
      <c r="E42" s="7"/>
      <c r="F42" s="3">
        <f>SUM($E42:$E42)</f>
        <v>0</v>
      </c>
      <c r="G42" s="8">
        <f t="shared" ref="G42:G69" si="3">F42/SUM($F$34:$F$69)</f>
        <v>0</v>
      </c>
      <c r="K42" s="4"/>
    </row>
    <row r="43" spans="1:11">
      <c r="A43" s="106"/>
      <c r="B43" s="5" t="s">
        <v>92</v>
      </c>
      <c r="C43" s="6"/>
      <c r="D43" s="7" t="s">
        <v>356</v>
      </c>
      <c r="E43" s="7"/>
      <c r="K43" s="4"/>
    </row>
    <row r="44" spans="1:11" ht="45">
      <c r="A44" s="106"/>
      <c r="B44" s="5" t="s">
        <v>91</v>
      </c>
      <c r="C44" s="6" t="s">
        <v>838</v>
      </c>
      <c r="D44" s="7" t="s">
        <v>357</v>
      </c>
      <c r="E44" s="7">
        <v>2400</v>
      </c>
      <c r="F44" s="3">
        <f>SUM($E44:$E44)</f>
        <v>2400</v>
      </c>
      <c r="G44" s="8">
        <f t="shared" si="3"/>
        <v>8.2872928176795577E-2</v>
      </c>
      <c r="K44" s="4"/>
    </row>
    <row r="45" spans="1:11">
      <c r="A45" s="106"/>
      <c r="B45" s="5" t="s">
        <v>90</v>
      </c>
      <c r="C45" s="6" t="s">
        <v>358</v>
      </c>
      <c r="D45" s="7" t="s">
        <v>358</v>
      </c>
      <c r="E45" s="7">
        <v>3800</v>
      </c>
      <c r="F45" s="3">
        <f>SUM($E45:$E45)</f>
        <v>3800</v>
      </c>
      <c r="G45" s="8">
        <f t="shared" si="3"/>
        <v>0.13121546961325967</v>
      </c>
      <c r="K45" s="4"/>
    </row>
    <row r="46" spans="1:11">
      <c r="A46" s="106"/>
      <c r="B46" s="5" t="s">
        <v>89</v>
      </c>
      <c r="C46" s="6" t="s">
        <v>359</v>
      </c>
      <c r="D46" s="7" t="s">
        <v>359</v>
      </c>
      <c r="E46" s="7"/>
      <c r="F46" s="3">
        <f>SUM($E46:$E46)</f>
        <v>0</v>
      </c>
      <c r="G46" s="8">
        <f t="shared" si="3"/>
        <v>0</v>
      </c>
      <c r="K46" s="4"/>
    </row>
    <row r="47" spans="1:11">
      <c r="A47" s="106"/>
      <c r="B47" s="5" t="s">
        <v>88</v>
      </c>
      <c r="C47" s="6"/>
      <c r="D47" s="7" t="s">
        <v>360</v>
      </c>
      <c r="E47" s="7"/>
      <c r="K47" s="4"/>
    </row>
    <row r="48" spans="1:11">
      <c r="A48" s="106"/>
      <c r="B48" s="5" t="s">
        <v>87</v>
      </c>
      <c r="C48" s="6" t="s">
        <v>801</v>
      </c>
      <c r="D48" s="7" t="s">
        <v>361</v>
      </c>
      <c r="E48" s="7"/>
      <c r="F48" s="3">
        <f>SUM($E48:$E48)</f>
        <v>0</v>
      </c>
      <c r="G48" s="8">
        <f t="shared" si="3"/>
        <v>0</v>
      </c>
      <c r="K48" s="4"/>
    </row>
    <row r="49" spans="1:11">
      <c r="A49" s="106"/>
      <c r="B49" s="5" t="s">
        <v>86</v>
      </c>
      <c r="C49" s="6"/>
      <c r="D49" s="7" t="s">
        <v>362</v>
      </c>
      <c r="E49" s="7"/>
      <c r="K49" s="4"/>
    </row>
    <row r="50" spans="1:11">
      <c r="A50" s="106"/>
      <c r="B50" s="5" t="s">
        <v>85</v>
      </c>
      <c r="C50" s="6"/>
      <c r="D50" s="7" t="s">
        <v>363</v>
      </c>
      <c r="E50" s="7"/>
      <c r="K50" s="4"/>
    </row>
    <row r="51" spans="1:11" ht="30">
      <c r="A51" s="106"/>
      <c r="B51" s="5" t="s">
        <v>84</v>
      </c>
      <c r="C51" s="6" t="s">
        <v>842</v>
      </c>
      <c r="D51" s="7" t="s">
        <v>364</v>
      </c>
      <c r="E51" s="7">
        <v>5200</v>
      </c>
      <c r="F51" s="3">
        <f>SUM($E51:$E51)</f>
        <v>5200</v>
      </c>
      <c r="G51" s="8">
        <f t="shared" si="3"/>
        <v>0.17955801104972377</v>
      </c>
      <c r="K51" s="4"/>
    </row>
    <row r="52" spans="1:11">
      <c r="A52" s="106"/>
      <c r="B52" s="5" t="s">
        <v>83</v>
      </c>
      <c r="C52" s="6"/>
      <c r="D52" s="7" t="s">
        <v>365</v>
      </c>
      <c r="E52" s="7"/>
      <c r="K52" s="4"/>
    </row>
    <row r="53" spans="1:11">
      <c r="A53" s="106"/>
      <c r="B53" s="5" t="s">
        <v>82</v>
      </c>
      <c r="C53" s="6"/>
      <c r="D53" s="7" t="s">
        <v>366</v>
      </c>
      <c r="E53" s="7"/>
      <c r="K53" s="4"/>
    </row>
    <row r="54" spans="1:11" ht="30">
      <c r="A54" s="106"/>
      <c r="B54" s="5" t="s">
        <v>81</v>
      </c>
      <c r="C54" s="6" t="s">
        <v>841</v>
      </c>
      <c r="D54" s="7" t="s">
        <v>367</v>
      </c>
      <c r="E54" s="7"/>
      <c r="F54" s="3">
        <f>SUM($E54:$E54)</f>
        <v>0</v>
      </c>
      <c r="G54" s="8">
        <f t="shared" si="3"/>
        <v>0</v>
      </c>
      <c r="K54" s="4"/>
    </row>
    <row r="55" spans="1:11">
      <c r="A55" s="106"/>
      <c r="B55" s="5" t="s">
        <v>78</v>
      </c>
      <c r="C55" s="3" t="s">
        <v>812</v>
      </c>
      <c r="D55" s="7" t="s">
        <v>368</v>
      </c>
      <c r="E55" s="7">
        <v>11560</v>
      </c>
      <c r="F55" s="3">
        <f>SUM($E55:$E55)</f>
        <v>11560</v>
      </c>
      <c r="G55" s="8">
        <f t="shared" si="3"/>
        <v>0.39917127071823205</v>
      </c>
      <c r="K55" s="4"/>
    </row>
    <row r="56" spans="1:11">
      <c r="A56" s="106"/>
      <c r="B56" s="5" t="s">
        <v>77</v>
      </c>
      <c r="C56" s="25"/>
      <c r="D56" s="7" t="s">
        <v>369</v>
      </c>
      <c r="E56" s="7"/>
      <c r="K56" s="4"/>
    </row>
    <row r="57" spans="1:11">
      <c r="A57" s="106"/>
      <c r="B57" s="5" t="s">
        <v>76</v>
      </c>
      <c r="C57" s="6"/>
      <c r="D57" s="7" t="s">
        <v>370</v>
      </c>
      <c r="E57" s="7"/>
      <c r="K57" s="4"/>
    </row>
    <row r="58" spans="1:11">
      <c r="A58" s="106"/>
      <c r="B58" s="5" t="s">
        <v>79</v>
      </c>
      <c r="C58" s="6"/>
      <c r="D58" s="7" t="s">
        <v>371</v>
      </c>
      <c r="E58" s="7"/>
      <c r="K58" s="4"/>
    </row>
    <row r="59" spans="1:11" ht="30">
      <c r="A59" s="106"/>
      <c r="B59" s="5" t="s">
        <v>80</v>
      </c>
      <c r="C59" s="6" t="s">
        <v>802</v>
      </c>
      <c r="D59" s="7" t="s">
        <v>372</v>
      </c>
      <c r="E59" s="7"/>
      <c r="F59" s="3">
        <f>SUM($E59:$E59)</f>
        <v>0</v>
      </c>
      <c r="G59" s="8">
        <f t="shared" si="3"/>
        <v>0</v>
      </c>
      <c r="K59" s="4"/>
    </row>
    <row r="60" spans="1:11">
      <c r="A60" s="106"/>
      <c r="B60" s="5" t="s">
        <v>75</v>
      </c>
      <c r="C60" s="6"/>
      <c r="D60" s="7" t="s">
        <v>373</v>
      </c>
      <c r="E60" s="7"/>
      <c r="K60" s="4"/>
    </row>
    <row r="61" spans="1:11">
      <c r="A61" s="106"/>
      <c r="B61" s="5" t="s">
        <v>73</v>
      </c>
      <c r="C61" s="6"/>
      <c r="D61" s="7" t="s">
        <v>374</v>
      </c>
      <c r="E61" s="7"/>
      <c r="K61" s="4"/>
    </row>
    <row r="62" spans="1:11">
      <c r="A62" s="106"/>
      <c r="B62" s="5" t="s">
        <v>74</v>
      </c>
      <c r="D62" s="7" t="s">
        <v>375</v>
      </c>
      <c r="E62" s="7"/>
      <c r="K62" s="4"/>
    </row>
    <row r="63" spans="1:11" ht="45">
      <c r="A63" s="106"/>
      <c r="B63" s="5" t="s">
        <v>72</v>
      </c>
      <c r="C63" s="6" t="s">
        <v>837</v>
      </c>
      <c r="D63" s="7" t="s">
        <v>376</v>
      </c>
      <c r="E63" s="7">
        <f>2760+3240</f>
        <v>6000</v>
      </c>
      <c r="F63" s="3">
        <f>SUM($E63:$E63)</f>
        <v>6000</v>
      </c>
      <c r="G63" s="8">
        <f t="shared" si="3"/>
        <v>0.20718232044198895</v>
      </c>
      <c r="K63" s="4"/>
    </row>
    <row r="64" spans="1:11" ht="45">
      <c r="A64" s="106"/>
      <c r="B64" s="5" t="s">
        <v>69</v>
      </c>
      <c r="C64" s="6" t="s">
        <v>843</v>
      </c>
      <c r="D64" s="7" t="s">
        <v>377</v>
      </c>
      <c r="E64" s="7"/>
      <c r="F64" s="3">
        <f>SUM($E64:$E64)</f>
        <v>0</v>
      </c>
      <c r="G64" s="8">
        <f t="shared" si="3"/>
        <v>0</v>
      </c>
      <c r="K64" s="4"/>
    </row>
    <row r="65" spans="1:11">
      <c r="A65" s="106"/>
      <c r="B65" s="5" t="s">
        <v>70</v>
      </c>
      <c r="C65" s="6"/>
      <c r="D65" s="7" t="s">
        <v>378</v>
      </c>
      <c r="E65" s="7"/>
      <c r="K65" s="4"/>
    </row>
    <row r="66" spans="1:11">
      <c r="A66" s="106"/>
      <c r="B66" s="5" t="s">
        <v>68</v>
      </c>
      <c r="D66" s="7" t="s">
        <v>379</v>
      </c>
      <c r="E66" s="7"/>
      <c r="K66" s="4"/>
    </row>
    <row r="67" spans="1:11">
      <c r="A67" s="106"/>
      <c r="B67" s="5" t="s">
        <v>71</v>
      </c>
      <c r="C67" s="6"/>
      <c r="D67" s="7" t="s">
        <v>380</v>
      </c>
      <c r="E67" s="7"/>
      <c r="K67" s="4"/>
    </row>
    <row r="68" spans="1:11">
      <c r="A68" s="106"/>
      <c r="B68" s="5" t="s">
        <v>67</v>
      </c>
      <c r="D68" s="7" t="s">
        <v>381</v>
      </c>
      <c r="E68" s="7"/>
      <c r="K68" s="4"/>
    </row>
    <row r="69" spans="1:11">
      <c r="A69" s="106"/>
      <c r="B69" s="5" t="s">
        <v>66</v>
      </c>
      <c r="C69" s="6" t="s">
        <v>844</v>
      </c>
      <c r="D69" s="7" t="s">
        <v>382</v>
      </c>
      <c r="E69" s="7"/>
      <c r="F69" s="3">
        <f>SUM($E69:$E69)</f>
        <v>0</v>
      </c>
      <c r="G69" s="8">
        <f t="shared" si="3"/>
        <v>0</v>
      </c>
      <c r="K69" s="4"/>
    </row>
    <row r="70" spans="1:11">
      <c r="A70" s="24" t="s">
        <v>622</v>
      </c>
      <c r="B70" s="5" t="s">
        <v>383</v>
      </c>
      <c r="C70" s="6"/>
      <c r="D70" s="7" t="s">
        <v>384</v>
      </c>
      <c r="E70" s="7"/>
      <c r="G70" s="8">
        <v>1</v>
      </c>
      <c r="H70" s="82" t="s">
        <v>925</v>
      </c>
      <c r="K70" s="4"/>
    </row>
    <row r="71" spans="1:11">
      <c r="A71" s="106" t="s">
        <v>8</v>
      </c>
      <c r="B71" s="5" t="s">
        <v>106</v>
      </c>
      <c r="C71" s="6"/>
      <c r="D71" s="7" t="s">
        <v>385</v>
      </c>
      <c r="E71" s="7"/>
      <c r="G71" s="8">
        <f>1/ROWS(B71:B73)</f>
        <v>0.33333333333333331</v>
      </c>
      <c r="H71" s="82" t="s">
        <v>925</v>
      </c>
      <c r="K71" s="4"/>
    </row>
    <row r="72" spans="1:11">
      <c r="A72" s="106"/>
      <c r="B72" s="5" t="s">
        <v>105</v>
      </c>
      <c r="C72" s="6"/>
      <c r="D72" s="7" t="s">
        <v>386</v>
      </c>
      <c r="E72" s="7"/>
      <c r="G72" s="8">
        <f>1/ROWS(B72:B74)</f>
        <v>0.33333333333333331</v>
      </c>
      <c r="H72" s="82" t="s">
        <v>925</v>
      </c>
      <c r="K72" s="4"/>
    </row>
    <row r="73" spans="1:11">
      <c r="A73" s="106"/>
      <c r="B73" s="5" t="s">
        <v>104</v>
      </c>
      <c r="C73" s="6"/>
      <c r="D73" s="7" t="s">
        <v>387</v>
      </c>
      <c r="E73" s="7"/>
      <c r="G73" s="8">
        <f>1/ROWS(B73:B75)</f>
        <v>0.33333333333333331</v>
      </c>
      <c r="H73" s="82" t="s">
        <v>925</v>
      </c>
      <c r="K73" s="4"/>
    </row>
    <row r="74" spans="1:11" ht="30">
      <c r="A74" s="106" t="s">
        <v>9</v>
      </c>
      <c r="B74" s="5" t="s">
        <v>114</v>
      </c>
      <c r="C74" s="6" t="s">
        <v>847</v>
      </c>
      <c r="D74" s="7" t="s">
        <v>388</v>
      </c>
      <c r="E74" s="7"/>
      <c r="F74" s="3">
        <f>SUM($E74:$E74)</f>
        <v>0</v>
      </c>
      <c r="G74" s="8">
        <f>1/ROWS($B$74:$B$86)</f>
        <v>7.6923076923076927E-2</v>
      </c>
      <c r="K74" s="4"/>
    </row>
    <row r="75" spans="1:11">
      <c r="A75" s="106"/>
      <c r="B75" s="5" t="s">
        <v>389</v>
      </c>
      <c r="C75" s="6"/>
      <c r="D75" s="7" t="s">
        <v>390</v>
      </c>
      <c r="E75" s="7"/>
      <c r="G75" s="8">
        <f t="shared" ref="G75:G86" si="4">1/ROWS($B$74:$B$86)</f>
        <v>7.6923076923076927E-2</v>
      </c>
      <c r="K75" s="4"/>
    </row>
    <row r="76" spans="1:11">
      <c r="A76" s="106"/>
      <c r="B76" s="5" t="s">
        <v>391</v>
      </c>
      <c r="C76" s="6"/>
      <c r="D76" s="7" t="s">
        <v>392</v>
      </c>
      <c r="E76" s="7"/>
      <c r="G76" s="8">
        <f t="shared" si="4"/>
        <v>7.6923076923076927E-2</v>
      </c>
    </row>
    <row r="77" spans="1:11">
      <c r="A77" s="106"/>
      <c r="B77" s="5" t="s">
        <v>393</v>
      </c>
      <c r="C77" s="6"/>
      <c r="D77" s="7" t="s">
        <v>394</v>
      </c>
      <c r="E77" s="7"/>
      <c r="G77" s="8">
        <f t="shared" si="4"/>
        <v>7.6923076923076927E-2</v>
      </c>
    </row>
    <row r="78" spans="1:11">
      <c r="A78" s="106"/>
      <c r="B78" s="5" t="s">
        <v>115</v>
      </c>
      <c r="C78" s="6"/>
      <c r="D78" s="7" t="s">
        <v>395</v>
      </c>
      <c r="E78" s="7"/>
      <c r="G78" s="8">
        <f t="shared" si="4"/>
        <v>7.6923076923076927E-2</v>
      </c>
    </row>
    <row r="79" spans="1:11">
      <c r="A79" s="106"/>
      <c r="B79" s="5" t="s">
        <v>110</v>
      </c>
      <c r="C79" s="6" t="s">
        <v>771</v>
      </c>
      <c r="D79" s="7" t="s">
        <v>396</v>
      </c>
      <c r="E79" s="7"/>
      <c r="F79" s="3">
        <f>SUM($E79:$E79)</f>
        <v>0</v>
      </c>
      <c r="G79" s="8">
        <f t="shared" si="4"/>
        <v>7.6923076923076927E-2</v>
      </c>
    </row>
    <row r="80" spans="1:11">
      <c r="A80" s="106"/>
      <c r="B80" s="5" t="s">
        <v>112</v>
      </c>
      <c r="C80" s="6"/>
      <c r="D80" s="7" t="s">
        <v>397</v>
      </c>
      <c r="E80" s="7"/>
      <c r="G80" s="8">
        <f t="shared" si="4"/>
        <v>7.6923076923076927E-2</v>
      </c>
    </row>
    <row r="81" spans="1:7">
      <c r="A81" s="106"/>
      <c r="B81" s="5" t="s">
        <v>111</v>
      </c>
      <c r="C81" s="6"/>
      <c r="D81" s="7" t="s">
        <v>398</v>
      </c>
      <c r="E81" s="7"/>
      <c r="G81" s="8">
        <f t="shared" si="4"/>
        <v>7.6923076923076927E-2</v>
      </c>
    </row>
    <row r="82" spans="1:7" ht="30">
      <c r="A82" s="106"/>
      <c r="B82" s="5" t="s">
        <v>107</v>
      </c>
      <c r="C82" s="6" t="s">
        <v>848</v>
      </c>
      <c r="D82" s="7" t="s">
        <v>399</v>
      </c>
      <c r="E82" s="7"/>
      <c r="F82" s="3">
        <f>SUM($E82:$E82)</f>
        <v>0</v>
      </c>
      <c r="G82" s="8">
        <f t="shared" si="4"/>
        <v>7.6923076923076927E-2</v>
      </c>
    </row>
    <row r="83" spans="1:7">
      <c r="A83" s="106"/>
      <c r="B83" s="5" t="s">
        <v>400</v>
      </c>
      <c r="C83" s="6"/>
      <c r="D83" s="7" t="s">
        <v>401</v>
      </c>
      <c r="E83" s="7"/>
      <c r="G83" s="8">
        <f t="shared" si="4"/>
        <v>7.6923076923076927E-2</v>
      </c>
    </row>
    <row r="84" spans="1:7">
      <c r="A84" s="106"/>
      <c r="B84" s="5" t="s">
        <v>113</v>
      </c>
      <c r="C84" s="6"/>
      <c r="D84" s="7" t="s">
        <v>402</v>
      </c>
      <c r="E84" s="7"/>
      <c r="G84" s="8">
        <f t="shared" si="4"/>
        <v>7.6923076923076927E-2</v>
      </c>
    </row>
    <row r="85" spans="1:7">
      <c r="A85" s="106"/>
      <c r="B85" s="5" t="s">
        <v>108</v>
      </c>
      <c r="C85" s="6"/>
      <c r="D85" s="7" t="s">
        <v>403</v>
      </c>
      <c r="E85" s="7"/>
      <c r="G85" s="8">
        <f t="shared" si="4"/>
        <v>7.6923076923076927E-2</v>
      </c>
    </row>
    <row r="86" spans="1:7">
      <c r="A86" s="106"/>
      <c r="B86" s="5" t="s">
        <v>109</v>
      </c>
      <c r="C86" s="6"/>
      <c r="D86" s="7" t="s">
        <v>404</v>
      </c>
      <c r="E86" s="7"/>
      <c r="G86" s="8">
        <f t="shared" si="4"/>
        <v>7.6923076923076927E-2</v>
      </c>
    </row>
    <row r="87" spans="1:7">
      <c r="A87" s="106" t="s">
        <v>10</v>
      </c>
      <c r="B87" s="5" t="s">
        <v>120</v>
      </c>
      <c r="C87" s="6" t="s">
        <v>867</v>
      </c>
      <c r="D87" s="7" t="s">
        <v>405</v>
      </c>
      <c r="E87" s="7"/>
      <c r="F87" s="3">
        <f>SUM($E87:$E87)</f>
        <v>0</v>
      </c>
      <c r="G87" s="8">
        <f>F87/SUM($F$87:$F$105)</f>
        <v>0</v>
      </c>
    </row>
    <row r="88" spans="1:7" ht="30">
      <c r="A88" s="106"/>
      <c r="B88" s="5" t="s">
        <v>117</v>
      </c>
      <c r="C88" s="6" t="s">
        <v>819</v>
      </c>
      <c r="D88" s="7" t="s">
        <v>406</v>
      </c>
      <c r="E88" s="7">
        <f>4200+1200</f>
        <v>5400</v>
      </c>
      <c r="F88" s="3">
        <f>SUM($E88:$E88)</f>
        <v>5400</v>
      </c>
      <c r="G88" s="8">
        <f t="shared" ref="G88:G101" si="5">F88/SUM($F$87:$F$105)</f>
        <v>1</v>
      </c>
    </row>
    <row r="89" spans="1:7" ht="30">
      <c r="A89" s="106"/>
      <c r="B89" s="5" t="s">
        <v>128</v>
      </c>
      <c r="C89" s="6" t="s">
        <v>868</v>
      </c>
      <c r="D89" s="7" t="s">
        <v>407</v>
      </c>
      <c r="E89" s="7"/>
      <c r="F89" s="3">
        <f>SUM($E89:$E89)</f>
        <v>0</v>
      </c>
      <c r="G89" s="8">
        <f t="shared" si="5"/>
        <v>0</v>
      </c>
    </row>
    <row r="90" spans="1:7" ht="120">
      <c r="A90" s="106"/>
      <c r="B90" s="5" t="s">
        <v>118</v>
      </c>
      <c r="C90" s="6" t="s">
        <v>869</v>
      </c>
      <c r="D90" s="7" t="s">
        <v>408</v>
      </c>
      <c r="E90" s="7"/>
      <c r="F90" s="3">
        <f>SUM($E90:$E90)</f>
        <v>0</v>
      </c>
      <c r="G90" s="8">
        <f t="shared" si="5"/>
        <v>0</v>
      </c>
    </row>
    <row r="91" spans="1:7">
      <c r="A91" s="106"/>
      <c r="B91" s="5" t="s">
        <v>123</v>
      </c>
      <c r="C91" s="6"/>
      <c r="D91" s="7" t="s">
        <v>409</v>
      </c>
      <c r="E91" s="7"/>
    </row>
    <row r="92" spans="1:7">
      <c r="A92" s="106"/>
      <c r="B92" s="5" t="s">
        <v>119</v>
      </c>
      <c r="C92" s="6"/>
      <c r="D92" s="7" t="s">
        <v>410</v>
      </c>
      <c r="E92" s="7"/>
    </row>
    <row r="93" spans="1:7">
      <c r="A93" s="106"/>
      <c r="B93" s="5" t="s">
        <v>129</v>
      </c>
      <c r="C93" s="6" t="s">
        <v>871</v>
      </c>
      <c r="D93" s="7" t="s">
        <v>411</v>
      </c>
      <c r="E93" s="7"/>
      <c r="F93" s="3">
        <f>SUM($E93:$E93)</f>
        <v>0</v>
      </c>
      <c r="G93" s="8">
        <f t="shared" si="5"/>
        <v>0</v>
      </c>
    </row>
    <row r="94" spans="1:7">
      <c r="A94" s="106"/>
      <c r="B94" s="5" t="s">
        <v>124</v>
      </c>
      <c r="C94" s="6" t="s">
        <v>866</v>
      </c>
      <c r="D94" s="7" t="s">
        <v>412</v>
      </c>
      <c r="E94" s="7"/>
      <c r="F94" s="3">
        <f>SUM($E94:$E94)</f>
        <v>0</v>
      </c>
      <c r="G94" s="8">
        <f t="shared" si="5"/>
        <v>0</v>
      </c>
    </row>
    <row r="95" spans="1:7">
      <c r="A95" s="106"/>
      <c r="B95" s="5" t="s">
        <v>126</v>
      </c>
      <c r="C95" s="6"/>
      <c r="D95" s="7" t="s">
        <v>413</v>
      </c>
      <c r="E95" s="7"/>
    </row>
    <row r="96" spans="1:7">
      <c r="A96" s="106"/>
      <c r="B96" s="5" t="s">
        <v>127</v>
      </c>
      <c r="C96" s="6"/>
      <c r="D96" s="7" t="s">
        <v>414</v>
      </c>
      <c r="E96" s="7"/>
    </row>
    <row r="97" spans="1:7">
      <c r="A97" s="106"/>
      <c r="B97" s="5" t="s">
        <v>121</v>
      </c>
      <c r="C97" s="6"/>
      <c r="D97" s="7" t="s">
        <v>415</v>
      </c>
      <c r="E97" s="7"/>
    </row>
    <row r="98" spans="1:7">
      <c r="A98" s="106"/>
      <c r="B98" s="5" t="s">
        <v>125</v>
      </c>
      <c r="C98" s="6" t="s">
        <v>865</v>
      </c>
      <c r="D98" s="7" t="s">
        <v>416</v>
      </c>
      <c r="E98" s="7"/>
      <c r="F98" s="3">
        <f>SUM($E98:$E98)</f>
        <v>0</v>
      </c>
      <c r="G98" s="8">
        <f t="shared" si="5"/>
        <v>0</v>
      </c>
    </row>
    <row r="99" spans="1:7">
      <c r="A99" s="106"/>
      <c r="B99" s="5" t="s">
        <v>122</v>
      </c>
      <c r="C99" s="6"/>
      <c r="D99" s="7" t="s">
        <v>417</v>
      </c>
      <c r="E99" s="7"/>
    </row>
    <row r="100" spans="1:7">
      <c r="A100" s="106"/>
      <c r="B100" s="5" t="s">
        <v>418</v>
      </c>
      <c r="C100" s="6"/>
      <c r="D100" s="7" t="s">
        <v>419</v>
      </c>
      <c r="E100" s="7"/>
    </row>
    <row r="101" spans="1:7" ht="45">
      <c r="A101" s="106"/>
      <c r="B101" s="5" t="s">
        <v>130</v>
      </c>
      <c r="C101" s="6" t="s">
        <v>870</v>
      </c>
      <c r="D101" s="7" t="s">
        <v>420</v>
      </c>
      <c r="E101" s="7"/>
      <c r="F101" s="3">
        <f>SUM($E101:$E101)</f>
        <v>0</v>
      </c>
      <c r="G101" s="8">
        <f t="shared" si="5"/>
        <v>0</v>
      </c>
    </row>
    <row r="102" spans="1:7">
      <c r="A102" s="106"/>
      <c r="B102" s="5" t="s">
        <v>116</v>
      </c>
      <c r="C102" s="6"/>
      <c r="D102" s="7" t="s">
        <v>421</v>
      </c>
      <c r="E102" s="7"/>
    </row>
    <row r="103" spans="1:7">
      <c r="A103" s="106"/>
      <c r="B103" s="5" t="s">
        <v>422</v>
      </c>
      <c r="C103" s="6"/>
      <c r="D103" s="7" t="s">
        <v>423</v>
      </c>
      <c r="E103" s="7"/>
    </row>
    <row r="104" spans="1:7">
      <c r="A104" s="106"/>
      <c r="B104" s="5" t="s">
        <v>424</v>
      </c>
      <c r="C104" s="6"/>
      <c r="D104" s="7" t="s">
        <v>425</v>
      </c>
      <c r="E104" s="7"/>
    </row>
    <row r="105" spans="1:7">
      <c r="A105" s="106"/>
      <c r="B105" s="5" t="s">
        <v>426</v>
      </c>
      <c r="C105" s="6"/>
      <c r="D105" s="7" t="s">
        <v>427</v>
      </c>
      <c r="E105" s="7"/>
    </row>
    <row r="106" spans="1:7" ht="45">
      <c r="A106" s="106" t="s">
        <v>11</v>
      </c>
      <c r="B106" s="5" t="s">
        <v>132</v>
      </c>
      <c r="C106" s="6" t="s">
        <v>833</v>
      </c>
      <c r="D106" s="7" t="s">
        <v>428</v>
      </c>
      <c r="E106" s="7"/>
      <c r="F106" s="3">
        <f>SUM($E106:$E106)</f>
        <v>0</v>
      </c>
      <c r="G106" s="8">
        <f>F106/SUM($F$106:$F$132)</f>
        <v>0</v>
      </c>
    </row>
    <row r="107" spans="1:7">
      <c r="A107" s="106"/>
      <c r="B107" s="5" t="s">
        <v>143</v>
      </c>
      <c r="C107" s="6"/>
      <c r="D107" s="7" t="s">
        <v>429</v>
      </c>
      <c r="E107" s="7"/>
    </row>
    <row r="108" spans="1:7" ht="30">
      <c r="A108" s="106"/>
      <c r="B108" s="5" t="s">
        <v>141</v>
      </c>
      <c r="C108" s="6" t="s">
        <v>800</v>
      </c>
      <c r="D108" s="7" t="s">
        <v>430</v>
      </c>
      <c r="E108" s="7"/>
      <c r="F108" s="3">
        <f>SUM($E108:$E108)</f>
        <v>0</v>
      </c>
      <c r="G108" s="8">
        <f t="shared" ref="G108:G126" si="6">F108/SUM($F$106:$F$132)</f>
        <v>0</v>
      </c>
    </row>
    <row r="109" spans="1:7">
      <c r="A109" s="106"/>
      <c r="B109" s="5" t="s">
        <v>138</v>
      </c>
      <c r="D109" s="7" t="s">
        <v>431</v>
      </c>
      <c r="E109" s="7"/>
    </row>
    <row r="110" spans="1:7">
      <c r="A110" s="106"/>
      <c r="B110" s="10" t="s">
        <v>145</v>
      </c>
      <c r="C110" s="7"/>
      <c r="D110" s="11" t="s">
        <v>432</v>
      </c>
      <c r="E110" s="11"/>
    </row>
    <row r="111" spans="1:7">
      <c r="A111" s="106"/>
      <c r="B111" s="10" t="s">
        <v>137</v>
      </c>
      <c r="C111" s="25"/>
      <c r="D111" s="11" t="s">
        <v>433</v>
      </c>
      <c r="E111" s="11"/>
    </row>
    <row r="112" spans="1:7" ht="45">
      <c r="A112" s="106"/>
      <c r="B112" s="5" t="s">
        <v>134</v>
      </c>
      <c r="C112" s="25" t="s">
        <v>835</v>
      </c>
      <c r="D112" s="7" t="s">
        <v>434</v>
      </c>
      <c r="E112" s="7">
        <v>6750</v>
      </c>
      <c r="F112" s="3">
        <f>SUM($E112:$E112)</f>
        <v>6750</v>
      </c>
      <c r="G112" s="8">
        <f t="shared" si="6"/>
        <v>0.569620253164557</v>
      </c>
    </row>
    <row r="113" spans="1:7">
      <c r="A113" s="106"/>
      <c r="B113" s="5" t="s">
        <v>151</v>
      </c>
      <c r="C113" s="41"/>
      <c r="D113" s="7" t="s">
        <v>435</v>
      </c>
      <c r="E113" s="7"/>
    </row>
    <row r="114" spans="1:7">
      <c r="A114" s="106"/>
      <c r="B114" s="5" t="s">
        <v>133</v>
      </c>
      <c r="C114" s="6"/>
      <c r="D114" s="7" t="s">
        <v>436</v>
      </c>
      <c r="E114" s="7"/>
    </row>
    <row r="115" spans="1:7">
      <c r="A115" s="106"/>
      <c r="B115" s="5" t="s">
        <v>148</v>
      </c>
      <c r="C115" s="6"/>
      <c r="D115" s="7" t="s">
        <v>437</v>
      </c>
      <c r="E115" s="7"/>
    </row>
    <row r="116" spans="1:7" ht="30">
      <c r="A116" s="106"/>
      <c r="B116" s="5" t="s">
        <v>135</v>
      </c>
      <c r="C116" s="6" t="s">
        <v>834</v>
      </c>
      <c r="D116" s="7" t="s">
        <v>438</v>
      </c>
      <c r="E116" s="7"/>
      <c r="F116" s="3">
        <f>SUM($E116:$E116)</f>
        <v>0</v>
      </c>
      <c r="G116" s="8">
        <f t="shared" si="6"/>
        <v>0</v>
      </c>
    </row>
    <row r="117" spans="1:7">
      <c r="A117" s="106"/>
      <c r="B117" s="5" t="s">
        <v>136</v>
      </c>
      <c r="C117" s="6"/>
      <c r="D117" s="7" t="s">
        <v>439</v>
      </c>
      <c r="E117" s="7"/>
    </row>
    <row r="118" spans="1:7">
      <c r="A118" s="106"/>
      <c r="B118" s="5" t="s">
        <v>140</v>
      </c>
      <c r="C118" s="6"/>
      <c r="D118" s="7" t="s">
        <v>440</v>
      </c>
      <c r="E118" s="7"/>
    </row>
    <row r="119" spans="1:7">
      <c r="A119" s="106"/>
      <c r="B119" s="5" t="s">
        <v>139</v>
      </c>
      <c r="C119" s="6" t="s">
        <v>832</v>
      </c>
      <c r="D119" s="7" t="s">
        <v>441</v>
      </c>
      <c r="E119" s="7"/>
      <c r="F119" s="3">
        <f>SUM($E119:$E119)</f>
        <v>0</v>
      </c>
      <c r="G119" s="8">
        <f t="shared" si="6"/>
        <v>0</v>
      </c>
    </row>
    <row r="120" spans="1:7">
      <c r="A120" s="106"/>
      <c r="B120" s="5" t="s">
        <v>142</v>
      </c>
      <c r="C120" s="6"/>
      <c r="D120" s="7" t="s">
        <v>442</v>
      </c>
      <c r="E120" s="7"/>
    </row>
    <row r="121" spans="1:7">
      <c r="A121" s="106"/>
      <c r="B121" s="5" t="s">
        <v>144</v>
      </c>
      <c r="C121" s="6"/>
      <c r="D121" s="7" t="s">
        <v>443</v>
      </c>
      <c r="E121" s="7"/>
    </row>
    <row r="122" spans="1:7">
      <c r="A122" s="106"/>
      <c r="B122" s="5" t="s">
        <v>146</v>
      </c>
      <c r="C122" s="6"/>
      <c r="D122" s="7" t="s">
        <v>444</v>
      </c>
      <c r="E122" s="7"/>
    </row>
    <row r="123" spans="1:7">
      <c r="A123" s="106"/>
      <c r="B123" s="5" t="s">
        <v>147</v>
      </c>
      <c r="C123" s="6"/>
      <c r="D123" s="7" t="s">
        <v>445</v>
      </c>
      <c r="E123" s="7"/>
    </row>
    <row r="124" spans="1:7">
      <c r="A124" s="106"/>
      <c r="B124" s="5" t="s">
        <v>150</v>
      </c>
      <c r="C124" s="6"/>
      <c r="D124" s="7" t="s">
        <v>446</v>
      </c>
      <c r="E124" s="7"/>
    </row>
    <row r="125" spans="1:7" ht="30">
      <c r="A125" s="106"/>
      <c r="B125" s="5" t="s">
        <v>152</v>
      </c>
      <c r="C125" s="6" t="s">
        <v>836</v>
      </c>
      <c r="D125" s="7" t="s">
        <v>447</v>
      </c>
      <c r="E125" s="7"/>
      <c r="F125" s="3">
        <f>SUM($E125:$E125)</f>
        <v>0</v>
      </c>
      <c r="G125" s="8">
        <f t="shared" si="6"/>
        <v>0</v>
      </c>
    </row>
    <row r="126" spans="1:7">
      <c r="A126" s="106"/>
      <c r="B126" s="5" t="s">
        <v>149</v>
      </c>
      <c r="C126" s="6" t="s">
        <v>811</v>
      </c>
      <c r="D126" s="7" t="s">
        <v>448</v>
      </c>
      <c r="E126" s="7">
        <v>5100</v>
      </c>
      <c r="F126" s="3">
        <f>SUM($E126:$E126)</f>
        <v>5100</v>
      </c>
      <c r="G126" s="8">
        <f t="shared" si="6"/>
        <v>0.43037974683544306</v>
      </c>
    </row>
    <row r="127" spans="1:7">
      <c r="A127" s="106"/>
      <c r="B127" s="5" t="s">
        <v>131</v>
      </c>
      <c r="C127" s="6"/>
      <c r="D127" s="7" t="s">
        <v>449</v>
      </c>
      <c r="E127" s="7"/>
    </row>
    <row r="128" spans="1:7">
      <c r="A128" s="106"/>
      <c r="B128" s="5" t="s">
        <v>450</v>
      </c>
      <c r="C128" s="6"/>
      <c r="D128" s="7" t="s">
        <v>451</v>
      </c>
      <c r="E128" s="7"/>
    </row>
    <row r="129" spans="1:7">
      <c r="A129" s="106"/>
      <c r="B129" s="5" t="s">
        <v>452</v>
      </c>
      <c r="C129" s="6"/>
      <c r="D129" s="7" t="s">
        <v>453</v>
      </c>
      <c r="E129" s="7"/>
    </row>
    <row r="130" spans="1:7">
      <c r="A130" s="106"/>
      <c r="B130" s="5" t="s">
        <v>454</v>
      </c>
      <c r="C130" s="6"/>
      <c r="D130" s="7" t="s">
        <v>455</v>
      </c>
      <c r="E130" s="7"/>
    </row>
    <row r="131" spans="1:7">
      <c r="A131" s="106"/>
      <c r="B131" s="5" t="s">
        <v>456</v>
      </c>
      <c r="C131" s="6"/>
      <c r="D131" s="7" t="s">
        <v>457</v>
      </c>
      <c r="E131" s="7"/>
    </row>
    <row r="132" spans="1:7">
      <c r="A132" s="106"/>
      <c r="B132" s="5" t="s">
        <v>458</v>
      </c>
      <c r="C132" s="6"/>
      <c r="D132" s="7" t="s">
        <v>459</v>
      </c>
      <c r="E132" s="7"/>
    </row>
    <row r="133" spans="1:7">
      <c r="A133" s="106" t="s">
        <v>12</v>
      </c>
      <c r="B133" s="11" t="s">
        <v>460</v>
      </c>
      <c r="C133" s="7" t="s">
        <v>826</v>
      </c>
      <c r="D133" s="11" t="s">
        <v>461</v>
      </c>
      <c r="E133" s="11"/>
      <c r="F133" s="3">
        <f>SUM($E133:$E133)</f>
        <v>0</v>
      </c>
      <c r="G133" s="8">
        <v>0.5</v>
      </c>
    </row>
    <row r="134" spans="1:7">
      <c r="A134" s="106"/>
      <c r="B134" s="5" t="s">
        <v>154</v>
      </c>
      <c r="C134" s="6" t="s">
        <v>827</v>
      </c>
      <c r="D134" s="7" t="s">
        <v>462</v>
      </c>
      <c r="E134" s="7"/>
      <c r="F134" s="3">
        <f>SUM($E134:$E134)</f>
        <v>0</v>
      </c>
      <c r="G134" s="8">
        <v>0.5</v>
      </c>
    </row>
    <row r="135" spans="1:7">
      <c r="A135" s="106"/>
      <c r="B135" s="5" t="s">
        <v>153</v>
      </c>
      <c r="C135" s="6"/>
      <c r="D135" s="7"/>
      <c r="E135" s="7"/>
      <c r="F135" s="7">
        <f t="shared" ref="F135:G135" si="7">F133+F136+F137</f>
        <v>0</v>
      </c>
      <c r="G135" s="91">
        <f t="shared" si="7"/>
        <v>0.5</v>
      </c>
    </row>
    <row r="136" spans="1:7">
      <c r="A136" s="106"/>
      <c r="B136" s="5" t="s">
        <v>463</v>
      </c>
      <c r="C136" s="6"/>
      <c r="D136" s="7" t="s">
        <v>464</v>
      </c>
      <c r="E136" s="7"/>
      <c r="G136" s="8">
        <v>0</v>
      </c>
    </row>
    <row r="137" spans="1:7">
      <c r="A137" s="106"/>
      <c r="B137" s="5" t="s">
        <v>465</v>
      </c>
      <c r="C137" s="6"/>
      <c r="D137" s="7" t="s">
        <v>466</v>
      </c>
      <c r="E137" s="7"/>
      <c r="G137" s="8">
        <v>0</v>
      </c>
    </row>
    <row r="138" spans="1:7">
      <c r="A138" s="106" t="s">
        <v>13</v>
      </c>
      <c r="B138" s="5" t="s">
        <v>163</v>
      </c>
      <c r="C138" s="6" t="s">
        <v>851</v>
      </c>
      <c r="D138" s="7" t="s">
        <v>467</v>
      </c>
      <c r="E138" s="7"/>
      <c r="F138" s="3">
        <f>SUM($E138:$E138)</f>
        <v>0</v>
      </c>
      <c r="G138" s="8">
        <f>F138/SUM($F$138:$F$156)</f>
        <v>0</v>
      </c>
    </row>
    <row r="139" spans="1:7">
      <c r="A139" s="106"/>
      <c r="B139" s="5" t="s">
        <v>156</v>
      </c>
      <c r="C139" s="6" t="s">
        <v>803</v>
      </c>
      <c r="D139" s="7" t="s">
        <v>468</v>
      </c>
      <c r="E139" s="7"/>
      <c r="F139" s="3">
        <f>SUM($E139:$E139)</f>
        <v>0</v>
      </c>
      <c r="G139" s="8">
        <f t="shared" ref="G139:G156" si="8">F139/SUM($F$138:$F$156)</f>
        <v>0</v>
      </c>
    </row>
    <row r="140" spans="1:7">
      <c r="A140" s="106"/>
      <c r="B140" s="5" t="s">
        <v>167</v>
      </c>
      <c r="C140" s="6"/>
      <c r="D140" s="7" t="s">
        <v>469</v>
      </c>
      <c r="E140" s="7"/>
    </row>
    <row r="141" spans="1:7" ht="180">
      <c r="A141" s="106"/>
      <c r="B141" s="5" t="s">
        <v>166</v>
      </c>
      <c r="C141" s="6" t="s">
        <v>852</v>
      </c>
      <c r="D141" s="7" t="s">
        <v>470</v>
      </c>
      <c r="E141" s="7"/>
      <c r="F141" s="3">
        <f>SUM($E141:$E141)</f>
        <v>0</v>
      </c>
      <c r="G141" s="8">
        <f t="shared" si="8"/>
        <v>0</v>
      </c>
    </row>
    <row r="142" spans="1:7">
      <c r="A142" s="106"/>
      <c r="B142" s="5" t="s">
        <v>175</v>
      </c>
      <c r="C142" s="6"/>
      <c r="D142" s="7" t="s">
        <v>471</v>
      </c>
      <c r="E142" s="7"/>
    </row>
    <row r="143" spans="1:7">
      <c r="A143" s="106"/>
      <c r="B143" s="5" t="s">
        <v>164</v>
      </c>
      <c r="C143" s="6"/>
      <c r="D143" s="7" t="s">
        <v>472</v>
      </c>
      <c r="E143" s="7"/>
    </row>
    <row r="144" spans="1:7">
      <c r="A144" s="106"/>
      <c r="B144" s="5" t="s">
        <v>171</v>
      </c>
      <c r="C144" s="6"/>
      <c r="D144" s="7" t="s">
        <v>473</v>
      </c>
      <c r="E144" s="7"/>
    </row>
    <row r="145" spans="1:8">
      <c r="A145" s="106"/>
      <c r="B145" s="5" t="s">
        <v>174</v>
      </c>
      <c r="C145" s="3" t="s">
        <v>814</v>
      </c>
      <c r="D145" s="7" t="s">
        <v>474</v>
      </c>
      <c r="E145" s="7">
        <v>11500</v>
      </c>
      <c r="F145" s="3">
        <f>SUM($E145:$E145)</f>
        <v>11500</v>
      </c>
      <c r="G145" s="8">
        <f t="shared" si="8"/>
        <v>1</v>
      </c>
    </row>
    <row r="146" spans="1:8">
      <c r="A146" s="106"/>
      <c r="B146" s="5" t="s">
        <v>173</v>
      </c>
      <c r="C146" s="6"/>
      <c r="D146" s="7" t="s">
        <v>475</v>
      </c>
      <c r="E146" s="7"/>
    </row>
    <row r="147" spans="1:8">
      <c r="A147" s="106"/>
      <c r="B147" s="5" t="s">
        <v>172</v>
      </c>
      <c r="C147" s="6"/>
      <c r="D147" s="7" t="s">
        <v>476</v>
      </c>
      <c r="E147" s="7"/>
    </row>
    <row r="148" spans="1:8">
      <c r="A148" s="106"/>
      <c r="B148" s="5" t="s">
        <v>161</v>
      </c>
      <c r="C148" s="3" t="s">
        <v>850</v>
      </c>
      <c r="D148" s="7" t="s">
        <v>477</v>
      </c>
      <c r="E148" s="7"/>
      <c r="F148" s="3">
        <f>SUM($E148:$E148)</f>
        <v>0</v>
      </c>
      <c r="G148" s="8">
        <f t="shared" si="8"/>
        <v>0</v>
      </c>
    </row>
    <row r="149" spans="1:8">
      <c r="A149" s="106"/>
      <c r="B149" s="5" t="s">
        <v>162</v>
      </c>
      <c r="C149" s="6"/>
      <c r="D149" s="7" t="s">
        <v>478</v>
      </c>
      <c r="E149" s="7"/>
      <c r="G149" s="8">
        <f t="shared" si="8"/>
        <v>0</v>
      </c>
    </row>
    <row r="150" spans="1:8" ht="30">
      <c r="A150" s="106"/>
      <c r="B150" s="5" t="s">
        <v>158</v>
      </c>
      <c r="C150" s="6" t="s">
        <v>804</v>
      </c>
      <c r="D150" s="7" t="s">
        <v>479</v>
      </c>
      <c r="E150" s="7"/>
      <c r="F150" s="3">
        <f>SUM($E150:$E150)</f>
        <v>0</v>
      </c>
      <c r="G150" s="8">
        <f t="shared" si="8"/>
        <v>0</v>
      </c>
    </row>
    <row r="151" spans="1:8">
      <c r="A151" s="106"/>
      <c r="B151" s="5" t="s">
        <v>159</v>
      </c>
      <c r="C151" s="6" t="s">
        <v>849</v>
      </c>
      <c r="D151" s="7" t="s">
        <v>480</v>
      </c>
      <c r="E151" s="7"/>
      <c r="F151" s="3">
        <f>SUM($E151:$E151)</f>
        <v>0</v>
      </c>
      <c r="G151" s="8">
        <f t="shared" si="8"/>
        <v>0</v>
      </c>
    </row>
    <row r="152" spans="1:8" ht="75">
      <c r="A152" s="106"/>
      <c r="B152" s="5" t="s">
        <v>155</v>
      </c>
      <c r="C152" s="25" t="s">
        <v>853</v>
      </c>
      <c r="D152" s="7" t="s">
        <v>481</v>
      </c>
      <c r="E152" s="7"/>
      <c r="F152" s="3">
        <f>SUM($E152:$E152)</f>
        <v>0</v>
      </c>
      <c r="G152" s="8">
        <f t="shared" si="8"/>
        <v>0</v>
      </c>
    </row>
    <row r="153" spans="1:8">
      <c r="A153" s="106"/>
      <c r="B153" s="5" t="s">
        <v>169</v>
      </c>
      <c r="C153" s="6" t="s">
        <v>806</v>
      </c>
      <c r="D153" s="7" t="s">
        <v>482</v>
      </c>
      <c r="E153" s="7"/>
      <c r="F153" s="3">
        <f>SUM($E153:$E153)</f>
        <v>0</v>
      </c>
      <c r="G153" s="8">
        <f t="shared" si="8"/>
        <v>0</v>
      </c>
    </row>
    <row r="154" spans="1:8">
      <c r="A154" s="106"/>
      <c r="B154" s="5" t="s">
        <v>170</v>
      </c>
      <c r="C154" s="6"/>
      <c r="D154" s="7" t="s">
        <v>483</v>
      </c>
      <c r="E154" s="7"/>
    </row>
    <row r="155" spans="1:8">
      <c r="A155" s="106"/>
      <c r="B155" s="5" t="s">
        <v>160</v>
      </c>
      <c r="C155" s="6"/>
      <c r="D155" s="7" t="s">
        <v>484</v>
      </c>
      <c r="E155" s="7"/>
    </row>
    <row r="156" spans="1:8">
      <c r="A156" s="106"/>
      <c r="B156" s="5" t="s">
        <v>157</v>
      </c>
      <c r="C156" s="6" t="s">
        <v>805</v>
      </c>
      <c r="D156" s="7" t="s">
        <v>485</v>
      </c>
      <c r="E156" s="7"/>
      <c r="F156" s="3">
        <f>SUM($E156:$E156)</f>
        <v>0</v>
      </c>
      <c r="G156" s="8">
        <f t="shared" si="8"/>
        <v>0</v>
      </c>
    </row>
    <row r="157" spans="1:8">
      <c r="A157" s="106"/>
      <c r="B157" s="5" t="s">
        <v>165</v>
      </c>
      <c r="C157" s="6"/>
      <c r="D157" s="7" t="s">
        <v>486</v>
      </c>
      <c r="E157" s="7"/>
    </row>
    <row r="158" spans="1:8">
      <c r="A158" s="106"/>
      <c r="B158" s="5" t="s">
        <v>168</v>
      </c>
      <c r="C158" s="6"/>
      <c r="D158" s="7" t="s">
        <v>487</v>
      </c>
      <c r="E158" s="7"/>
    </row>
    <row r="159" spans="1:8">
      <c r="A159" s="26" t="s">
        <v>623</v>
      </c>
      <c r="B159" s="5" t="s">
        <v>488</v>
      </c>
      <c r="C159" s="6"/>
      <c r="D159" s="7" t="s">
        <v>489</v>
      </c>
      <c r="E159" s="7"/>
      <c r="G159" s="8">
        <v>1</v>
      </c>
      <c r="H159" s="82" t="s">
        <v>925</v>
      </c>
    </row>
    <row r="160" spans="1:8">
      <c r="A160" s="26" t="s">
        <v>14</v>
      </c>
      <c r="B160" s="5" t="s">
        <v>176</v>
      </c>
      <c r="C160" s="6"/>
      <c r="D160" s="7" t="s">
        <v>490</v>
      </c>
      <c r="E160" s="7"/>
      <c r="G160" s="8">
        <v>1</v>
      </c>
      <c r="H160" s="82" t="s">
        <v>925</v>
      </c>
    </row>
    <row r="161" spans="1:8">
      <c r="A161" s="106" t="s">
        <v>1164</v>
      </c>
      <c r="B161" s="5" t="s">
        <v>491</v>
      </c>
      <c r="C161" s="6"/>
      <c r="D161" s="7" t="s">
        <v>492</v>
      </c>
      <c r="E161" s="7"/>
      <c r="G161" s="8">
        <v>0.5</v>
      </c>
      <c r="H161" s="82" t="s">
        <v>925</v>
      </c>
    </row>
    <row r="162" spans="1:8">
      <c r="A162" s="106"/>
      <c r="B162" s="5" t="s">
        <v>493</v>
      </c>
      <c r="C162" s="6"/>
      <c r="D162" s="7" t="s">
        <v>494</v>
      </c>
      <c r="E162" s="7"/>
      <c r="G162" s="8">
        <v>0.5</v>
      </c>
      <c r="H162" s="82" t="s">
        <v>925</v>
      </c>
    </row>
    <row r="163" spans="1:8">
      <c r="A163" s="26" t="s">
        <v>15</v>
      </c>
      <c r="B163" s="5" t="s">
        <v>177</v>
      </c>
      <c r="C163" s="6" t="s">
        <v>845</v>
      </c>
      <c r="D163" s="7" t="s">
        <v>15</v>
      </c>
      <c r="E163" s="7"/>
      <c r="F163" s="3">
        <f>SUM($E163:$E163)</f>
        <v>0</v>
      </c>
      <c r="G163" s="8">
        <v>1</v>
      </c>
    </row>
    <row r="164" spans="1:8">
      <c r="A164" s="106" t="s">
        <v>16</v>
      </c>
      <c r="B164" s="5" t="s">
        <v>182</v>
      </c>
      <c r="C164" s="6"/>
      <c r="D164" s="7" t="s">
        <v>495</v>
      </c>
      <c r="E164" s="7"/>
    </row>
    <row r="165" spans="1:8">
      <c r="A165" s="106"/>
      <c r="B165" s="5" t="s">
        <v>181</v>
      </c>
      <c r="C165" s="6"/>
      <c r="D165" s="7" t="s">
        <v>496</v>
      </c>
      <c r="E165" s="7"/>
    </row>
    <row r="166" spans="1:8">
      <c r="A166" s="106"/>
      <c r="B166" s="5" t="s">
        <v>180</v>
      </c>
      <c r="C166" s="6" t="s">
        <v>813</v>
      </c>
      <c r="D166" s="7" t="s">
        <v>497</v>
      </c>
      <c r="E166" s="7">
        <v>1650</v>
      </c>
      <c r="F166" s="3">
        <f>SUM($E166:$E166)</f>
        <v>1650</v>
      </c>
      <c r="G166" s="8">
        <f>F166/SUM($F$166:$F$169)</f>
        <v>1</v>
      </c>
    </row>
    <row r="167" spans="1:8">
      <c r="A167" s="106"/>
      <c r="B167" s="5" t="s">
        <v>179</v>
      </c>
      <c r="C167" s="6"/>
      <c r="D167" s="7" t="s">
        <v>498</v>
      </c>
      <c r="E167" s="7"/>
    </row>
    <row r="168" spans="1:8">
      <c r="A168" s="106"/>
      <c r="B168" s="5" t="s">
        <v>184</v>
      </c>
      <c r="C168" s="6"/>
      <c r="D168" s="7" t="s">
        <v>499</v>
      </c>
      <c r="E168" s="7"/>
    </row>
    <row r="169" spans="1:8">
      <c r="A169" s="106"/>
      <c r="B169" s="5" t="s">
        <v>183</v>
      </c>
      <c r="C169" s="3" t="s">
        <v>846</v>
      </c>
      <c r="D169" s="7" t="s">
        <v>500</v>
      </c>
      <c r="E169" s="7"/>
      <c r="F169" s="3">
        <f>SUM($E169:$E169)</f>
        <v>0</v>
      </c>
      <c r="G169" s="8">
        <f t="shared" ref="G169" si="9">F169/SUM($F$166:$F$169)</f>
        <v>0</v>
      </c>
    </row>
    <row r="170" spans="1:8">
      <c r="A170" s="106"/>
      <c r="B170" s="5" t="s">
        <v>178</v>
      </c>
      <c r="C170" s="6"/>
      <c r="D170" s="7" t="s">
        <v>501</v>
      </c>
      <c r="E170" s="7"/>
    </row>
    <row r="171" spans="1:8">
      <c r="A171" s="106"/>
      <c r="B171" s="5" t="s">
        <v>185</v>
      </c>
      <c r="C171" s="6"/>
      <c r="D171" s="7" t="s">
        <v>502</v>
      </c>
      <c r="E171" s="7"/>
    </row>
    <row r="172" spans="1:8">
      <c r="A172" s="26" t="s">
        <v>504</v>
      </c>
      <c r="B172" s="5" t="s">
        <v>503</v>
      </c>
      <c r="C172" s="6"/>
      <c r="D172" s="7" t="s">
        <v>504</v>
      </c>
      <c r="E172" s="7"/>
      <c r="G172" s="8">
        <v>1</v>
      </c>
      <c r="H172" s="82" t="s">
        <v>925</v>
      </c>
    </row>
    <row r="173" spans="1:8">
      <c r="A173" s="106" t="s">
        <v>17</v>
      </c>
      <c r="B173" s="5" t="s">
        <v>193</v>
      </c>
      <c r="C173" s="6"/>
      <c r="D173" s="7" t="s">
        <v>505</v>
      </c>
      <c r="E173" s="7"/>
    </row>
    <row r="174" spans="1:8">
      <c r="A174" s="106"/>
      <c r="B174" s="5" t="s">
        <v>195</v>
      </c>
      <c r="C174" s="6"/>
      <c r="D174" s="7" t="s">
        <v>506</v>
      </c>
      <c r="E174" s="7"/>
    </row>
    <row r="175" spans="1:8">
      <c r="A175" s="106"/>
      <c r="B175" s="5" t="s">
        <v>197</v>
      </c>
      <c r="C175" s="6"/>
      <c r="D175" s="7" t="s">
        <v>507</v>
      </c>
      <c r="E175" s="7"/>
    </row>
    <row r="176" spans="1:8">
      <c r="A176" s="106"/>
      <c r="B176" s="5" t="s">
        <v>188</v>
      </c>
      <c r="C176" s="6"/>
      <c r="D176" s="7" t="s">
        <v>508</v>
      </c>
      <c r="E176" s="7"/>
    </row>
    <row r="177" spans="1:7">
      <c r="A177" s="106"/>
      <c r="B177" s="5" t="s">
        <v>194</v>
      </c>
      <c r="C177" s="6"/>
      <c r="D177" s="7" t="s">
        <v>509</v>
      </c>
      <c r="E177" s="7"/>
    </row>
    <row r="178" spans="1:7">
      <c r="A178" s="106"/>
      <c r="B178" s="5" t="s">
        <v>196</v>
      </c>
      <c r="C178" s="6"/>
      <c r="D178" s="7" t="s">
        <v>510</v>
      </c>
      <c r="E178" s="7"/>
    </row>
    <row r="179" spans="1:7">
      <c r="A179" s="106"/>
      <c r="B179" s="5" t="s">
        <v>190</v>
      </c>
      <c r="C179" s="6"/>
      <c r="D179" s="7" t="s">
        <v>511</v>
      </c>
      <c r="E179" s="7"/>
    </row>
    <row r="180" spans="1:7">
      <c r="A180" s="106"/>
      <c r="B180" s="5" t="s">
        <v>189</v>
      </c>
      <c r="C180" s="6" t="s">
        <v>815</v>
      </c>
      <c r="D180" s="7" t="s">
        <v>512</v>
      </c>
      <c r="E180" s="7">
        <v>7500</v>
      </c>
      <c r="F180" s="3">
        <f>SUM($E180:$E180)</f>
        <v>7500</v>
      </c>
      <c r="G180" s="8">
        <v>1</v>
      </c>
    </row>
    <row r="181" spans="1:7">
      <c r="A181" s="106"/>
      <c r="B181" s="5" t="s">
        <v>186</v>
      </c>
      <c r="C181" s="6"/>
      <c r="D181" s="7" t="s">
        <v>513</v>
      </c>
      <c r="E181" s="7"/>
    </row>
    <row r="182" spans="1:7">
      <c r="A182" s="106"/>
      <c r="B182" s="5" t="s">
        <v>187</v>
      </c>
      <c r="D182" s="7" t="s">
        <v>514</v>
      </c>
      <c r="E182" s="7"/>
    </row>
    <row r="183" spans="1:7">
      <c r="A183" s="106"/>
      <c r="B183" s="5" t="s">
        <v>191</v>
      </c>
      <c r="D183" s="7" t="s">
        <v>515</v>
      </c>
      <c r="E183" s="7"/>
    </row>
    <row r="184" spans="1:7">
      <c r="A184" s="106"/>
      <c r="B184" s="5" t="s">
        <v>192</v>
      </c>
      <c r="D184" s="7" t="s">
        <v>516</v>
      </c>
      <c r="E184" s="7"/>
    </row>
    <row r="185" spans="1:7">
      <c r="A185" s="106" t="s">
        <v>18</v>
      </c>
      <c r="B185" s="5" t="s">
        <v>206</v>
      </c>
      <c r="C185" s="6"/>
      <c r="D185" s="7" t="s">
        <v>517</v>
      </c>
      <c r="E185" s="7"/>
    </row>
    <row r="186" spans="1:7">
      <c r="A186" s="106"/>
      <c r="B186" s="5" t="s">
        <v>204</v>
      </c>
      <c r="C186" s="6"/>
      <c r="D186" s="7" t="s">
        <v>518</v>
      </c>
      <c r="E186" s="7"/>
    </row>
    <row r="187" spans="1:7">
      <c r="A187" s="106"/>
      <c r="B187" s="5" t="s">
        <v>203</v>
      </c>
      <c r="C187" s="6"/>
      <c r="D187" s="7" t="s">
        <v>519</v>
      </c>
      <c r="E187" s="7"/>
    </row>
    <row r="188" spans="1:7">
      <c r="A188" s="106"/>
      <c r="B188" s="5" t="s">
        <v>205</v>
      </c>
      <c r="C188" s="6"/>
      <c r="D188" s="7" t="s">
        <v>520</v>
      </c>
      <c r="E188" s="7"/>
    </row>
    <row r="189" spans="1:7" ht="60">
      <c r="A189" s="106"/>
      <c r="B189" s="5" t="s">
        <v>200</v>
      </c>
      <c r="C189" s="6" t="s">
        <v>824</v>
      </c>
      <c r="D189" s="7" t="s">
        <v>521</v>
      </c>
      <c r="E189" s="7">
        <v>1570</v>
      </c>
      <c r="F189" s="3">
        <f>SUM($E189:$E189)</f>
        <v>1570</v>
      </c>
      <c r="G189" s="42">
        <f>F189/SUM($F$189:$F$190)</f>
        <v>0.20739762219286659</v>
      </c>
    </row>
    <row r="190" spans="1:7">
      <c r="A190" s="106"/>
      <c r="B190" s="5" t="s">
        <v>202</v>
      </c>
      <c r="C190" s="6" t="s">
        <v>809</v>
      </c>
      <c r="D190" s="7" t="s">
        <v>522</v>
      </c>
      <c r="E190" s="7">
        <v>6000</v>
      </c>
      <c r="F190" s="3">
        <f>SUM($E190:$E190)</f>
        <v>6000</v>
      </c>
      <c r="G190" s="42">
        <f>F190/SUM($F$189:$F$190)</f>
        <v>0.79260237780713338</v>
      </c>
    </row>
    <row r="191" spans="1:7">
      <c r="A191" s="106"/>
      <c r="B191" s="5" t="s">
        <v>201</v>
      </c>
      <c r="C191" s="6"/>
      <c r="D191" s="7" t="s">
        <v>523</v>
      </c>
      <c r="E191" s="7"/>
    </row>
    <row r="192" spans="1:7">
      <c r="A192" s="106"/>
      <c r="B192" s="5" t="s">
        <v>199</v>
      </c>
      <c r="C192" s="6"/>
      <c r="D192" s="7" t="s">
        <v>524</v>
      </c>
      <c r="E192" s="7"/>
    </row>
    <row r="193" spans="1:7">
      <c r="A193" s="106"/>
      <c r="B193" s="5" t="s">
        <v>198</v>
      </c>
      <c r="C193" s="6"/>
      <c r="D193" s="7" t="s">
        <v>525</v>
      </c>
      <c r="E193" s="7"/>
    </row>
    <row r="194" spans="1:7">
      <c r="A194" s="106" t="s">
        <v>19</v>
      </c>
      <c r="B194" s="5" t="s">
        <v>219</v>
      </c>
      <c r="C194" s="6" t="s">
        <v>816</v>
      </c>
      <c r="D194" s="7" t="s">
        <v>526</v>
      </c>
      <c r="E194" s="7">
        <v>2600</v>
      </c>
      <c r="F194" s="3">
        <f>SUM($E194:$E194)</f>
        <v>2600</v>
      </c>
      <c r="G194" s="8">
        <f>F194/SUM($F$194:$F$210)</f>
        <v>0.34210526315789475</v>
      </c>
    </row>
    <row r="195" spans="1:7" ht="90">
      <c r="A195" s="106"/>
      <c r="B195" s="5" t="s">
        <v>210</v>
      </c>
      <c r="C195" s="6" t="s">
        <v>857</v>
      </c>
      <c r="D195" s="7" t="s">
        <v>527</v>
      </c>
      <c r="E195" s="7">
        <v>5000</v>
      </c>
      <c r="F195" s="3">
        <f>SUM($E195:$E195)</f>
        <v>5000</v>
      </c>
      <c r="G195" s="8">
        <f t="shared" ref="G195:G209" si="10">F195/SUM($F$194:$F$210)</f>
        <v>0.65789473684210531</v>
      </c>
    </row>
    <row r="196" spans="1:7">
      <c r="A196" s="106"/>
      <c r="B196" s="5" t="s">
        <v>221</v>
      </c>
      <c r="C196" s="6"/>
      <c r="D196" s="7" t="s">
        <v>528</v>
      </c>
      <c r="E196" s="7"/>
    </row>
    <row r="197" spans="1:7">
      <c r="A197" s="106"/>
      <c r="B197" s="5" t="s">
        <v>207</v>
      </c>
      <c r="C197" s="6"/>
      <c r="D197" s="7" t="s">
        <v>529</v>
      </c>
      <c r="E197" s="7"/>
    </row>
    <row r="198" spans="1:7">
      <c r="A198" s="106"/>
      <c r="B198" s="5" t="s">
        <v>216</v>
      </c>
      <c r="C198" s="6"/>
      <c r="D198" s="7" t="s">
        <v>530</v>
      </c>
      <c r="E198" s="7"/>
    </row>
    <row r="199" spans="1:7">
      <c r="A199" s="106"/>
      <c r="B199" s="5" t="s">
        <v>218</v>
      </c>
      <c r="C199" s="6"/>
      <c r="D199" s="7" t="s">
        <v>531</v>
      </c>
      <c r="E199" s="7"/>
    </row>
    <row r="200" spans="1:7">
      <c r="A200" s="106"/>
      <c r="B200" s="5" t="s">
        <v>213</v>
      </c>
      <c r="C200" s="6"/>
      <c r="D200" s="7" t="s">
        <v>532</v>
      </c>
      <c r="E200" s="7"/>
    </row>
    <row r="201" spans="1:7">
      <c r="A201" s="106"/>
      <c r="B201" s="5" t="s">
        <v>220</v>
      </c>
      <c r="C201" s="6"/>
      <c r="D201" s="7" t="s">
        <v>533</v>
      </c>
      <c r="E201" s="7"/>
    </row>
    <row r="202" spans="1:7">
      <c r="A202" s="106"/>
      <c r="B202" s="5" t="s">
        <v>208</v>
      </c>
      <c r="C202" s="6"/>
      <c r="D202" s="7" t="s">
        <v>534</v>
      </c>
      <c r="E202" s="7"/>
    </row>
    <row r="203" spans="1:7">
      <c r="A203" s="106"/>
      <c r="B203" s="5" t="s">
        <v>211</v>
      </c>
      <c r="C203" s="6"/>
      <c r="D203" s="7" t="s">
        <v>535</v>
      </c>
      <c r="E203" s="7"/>
    </row>
    <row r="204" spans="1:7">
      <c r="A204" s="106"/>
      <c r="B204" s="5" t="s">
        <v>223</v>
      </c>
      <c r="C204" s="6"/>
      <c r="D204" s="7" t="s">
        <v>536</v>
      </c>
      <c r="E204" s="7"/>
    </row>
    <row r="205" spans="1:7">
      <c r="A205" s="106"/>
      <c r="B205" s="5" t="s">
        <v>222</v>
      </c>
      <c r="C205" s="6" t="s">
        <v>854</v>
      </c>
      <c r="D205" s="7" t="s">
        <v>537</v>
      </c>
      <c r="E205" s="7"/>
      <c r="F205" s="3">
        <f>SUM($E205:$E205)</f>
        <v>0</v>
      </c>
      <c r="G205" s="8">
        <f t="shared" si="10"/>
        <v>0</v>
      </c>
    </row>
    <row r="206" spans="1:7">
      <c r="A206" s="106"/>
      <c r="B206" s="5" t="s">
        <v>217</v>
      </c>
      <c r="C206" s="6"/>
      <c r="D206" s="7" t="s">
        <v>538</v>
      </c>
      <c r="E206" s="7"/>
    </row>
    <row r="207" spans="1:7">
      <c r="A207" s="106"/>
      <c r="B207" s="5" t="s">
        <v>209</v>
      </c>
      <c r="C207" s="6" t="s">
        <v>855</v>
      </c>
      <c r="D207" s="7" t="s">
        <v>539</v>
      </c>
      <c r="E207" s="7"/>
      <c r="F207" s="3">
        <f>SUM($E207:$E207)</f>
        <v>0</v>
      </c>
      <c r="G207" s="8">
        <f t="shared" si="10"/>
        <v>0</v>
      </c>
    </row>
    <row r="208" spans="1:7">
      <c r="A208" s="106"/>
      <c r="B208" s="5" t="s">
        <v>212</v>
      </c>
      <c r="C208" s="6"/>
      <c r="D208" s="7" t="s">
        <v>540</v>
      </c>
      <c r="E208" s="7"/>
    </row>
    <row r="209" spans="1:7">
      <c r="A209" s="106"/>
      <c r="B209" s="5" t="s">
        <v>214</v>
      </c>
      <c r="C209" s="6" t="s">
        <v>856</v>
      </c>
      <c r="D209" s="7" t="s">
        <v>541</v>
      </c>
      <c r="E209" s="7"/>
      <c r="F209" s="3">
        <f>SUM($E209:$E209)</f>
        <v>0</v>
      </c>
      <c r="G209" s="8">
        <f t="shared" si="10"/>
        <v>0</v>
      </c>
    </row>
    <row r="210" spans="1:7">
      <c r="A210" s="106"/>
      <c r="B210" s="5" t="s">
        <v>215</v>
      </c>
      <c r="D210" s="7" t="s">
        <v>542</v>
      </c>
      <c r="E210" s="7"/>
    </row>
    <row r="211" spans="1:7">
      <c r="A211" s="106" t="s">
        <v>20</v>
      </c>
      <c r="B211" s="5" t="s">
        <v>226</v>
      </c>
      <c r="C211" s="6" t="s">
        <v>858</v>
      </c>
      <c r="D211" s="7" t="s">
        <v>543</v>
      </c>
      <c r="E211" s="7"/>
      <c r="F211" s="3">
        <f>SUM($E211:$E211)</f>
        <v>0</v>
      </c>
      <c r="G211" s="8">
        <f>1/ROWS($D$211:$D$217)</f>
        <v>0.14285714285714285</v>
      </c>
    </row>
    <row r="212" spans="1:7">
      <c r="A212" s="106"/>
      <c r="B212" s="5" t="s">
        <v>225</v>
      </c>
      <c r="C212" s="6"/>
      <c r="D212" s="7" t="s">
        <v>544</v>
      </c>
      <c r="E212" s="7"/>
      <c r="G212" s="8">
        <f t="shared" ref="G212:G217" si="11">1/ROWS($D$211:$D$217)</f>
        <v>0.14285714285714285</v>
      </c>
    </row>
    <row r="213" spans="1:7">
      <c r="A213" s="106"/>
      <c r="B213" s="5" t="s">
        <v>228</v>
      </c>
      <c r="C213" s="6"/>
      <c r="D213" s="7" t="s">
        <v>545</v>
      </c>
      <c r="E213" s="7"/>
      <c r="G213" s="8">
        <f t="shared" si="11"/>
        <v>0.14285714285714285</v>
      </c>
    </row>
    <row r="214" spans="1:7">
      <c r="A214" s="106"/>
      <c r="B214" s="5" t="s">
        <v>224</v>
      </c>
      <c r="C214" s="6" t="s">
        <v>859</v>
      </c>
      <c r="D214" s="7" t="s">
        <v>546</v>
      </c>
      <c r="E214" s="7"/>
      <c r="F214" s="3">
        <f>SUM($E214:$E214)</f>
        <v>0</v>
      </c>
      <c r="G214" s="8">
        <f t="shared" si="11"/>
        <v>0.14285714285714285</v>
      </c>
    </row>
    <row r="215" spans="1:7">
      <c r="A215" s="106"/>
      <c r="B215" s="5" t="s">
        <v>227</v>
      </c>
      <c r="D215" s="7" t="s">
        <v>547</v>
      </c>
      <c r="E215" s="7"/>
      <c r="G215" s="8">
        <f t="shared" si="11"/>
        <v>0.14285714285714285</v>
      </c>
    </row>
    <row r="216" spans="1:7">
      <c r="A216" s="106"/>
      <c r="B216" s="5" t="s">
        <v>548</v>
      </c>
      <c r="C216" s="6"/>
      <c r="D216" s="7" t="s">
        <v>549</v>
      </c>
      <c r="E216" s="7"/>
      <c r="G216" s="8">
        <f t="shared" si="11"/>
        <v>0.14285714285714285</v>
      </c>
    </row>
    <row r="217" spans="1:7">
      <c r="A217" s="106"/>
      <c r="B217" s="5" t="s">
        <v>550</v>
      </c>
      <c r="C217" s="6"/>
      <c r="D217" s="7" t="s">
        <v>551</v>
      </c>
      <c r="E217" s="7"/>
      <c r="G217" s="8">
        <f t="shared" si="11"/>
        <v>0.14285714285714285</v>
      </c>
    </row>
    <row r="218" spans="1:7">
      <c r="A218" s="106" t="s">
        <v>21</v>
      </c>
      <c r="B218" s="5" t="s">
        <v>231</v>
      </c>
      <c r="C218" s="6"/>
      <c r="D218" s="7" t="s">
        <v>552</v>
      </c>
      <c r="E218" s="7"/>
    </row>
    <row r="219" spans="1:7">
      <c r="A219" s="106"/>
      <c r="B219" s="5" t="s">
        <v>236</v>
      </c>
      <c r="C219" s="6"/>
      <c r="D219" s="7" t="s">
        <v>553</v>
      </c>
      <c r="E219" s="7"/>
    </row>
    <row r="220" spans="1:7">
      <c r="A220" s="106"/>
      <c r="B220" s="5" t="s">
        <v>232</v>
      </c>
      <c r="C220" s="6"/>
      <c r="D220" s="7" t="s">
        <v>554</v>
      </c>
      <c r="E220" s="7"/>
    </row>
    <row r="221" spans="1:7">
      <c r="A221" s="106"/>
      <c r="B221" s="5" t="s">
        <v>230</v>
      </c>
      <c r="C221" s="6" t="s">
        <v>817</v>
      </c>
      <c r="D221" s="7" t="s">
        <v>555</v>
      </c>
      <c r="E221" s="7">
        <v>3200</v>
      </c>
      <c r="F221" s="3">
        <f>SUM($E221:$E221)</f>
        <v>3200</v>
      </c>
      <c r="G221" s="8">
        <f>F221/SUM($F$221:$F$225)</f>
        <v>1</v>
      </c>
    </row>
    <row r="222" spans="1:7">
      <c r="A222" s="106"/>
      <c r="B222" s="5" t="s">
        <v>234</v>
      </c>
      <c r="C222" s="6" t="s">
        <v>860</v>
      </c>
      <c r="D222" s="7" t="s">
        <v>556</v>
      </c>
      <c r="E222" s="7"/>
      <c r="F222" s="3">
        <f>SUM($E222:$E222)</f>
        <v>0</v>
      </c>
      <c r="G222" s="8">
        <f t="shared" ref="G222:G225" si="12">F222/SUM($F$221:$F$225)</f>
        <v>0</v>
      </c>
    </row>
    <row r="223" spans="1:7">
      <c r="A223" s="106"/>
      <c r="B223" s="5" t="s">
        <v>233</v>
      </c>
      <c r="C223" s="6"/>
      <c r="D223" s="7" t="s">
        <v>557</v>
      </c>
      <c r="E223" s="7"/>
    </row>
    <row r="224" spans="1:7">
      <c r="A224" s="106"/>
      <c r="B224" s="5" t="s">
        <v>229</v>
      </c>
      <c r="C224" s="6"/>
      <c r="D224" s="7" t="s">
        <v>558</v>
      </c>
      <c r="E224" s="7"/>
    </row>
    <row r="225" spans="1:7" ht="45">
      <c r="A225" s="106"/>
      <c r="B225" s="5" t="s">
        <v>235</v>
      </c>
      <c r="C225" s="6" t="s">
        <v>861</v>
      </c>
      <c r="D225" s="7" t="s">
        <v>559</v>
      </c>
      <c r="E225" s="7"/>
      <c r="F225" s="3">
        <f>SUM($E225:$E225)</f>
        <v>0</v>
      </c>
      <c r="G225" s="8">
        <f t="shared" si="12"/>
        <v>0</v>
      </c>
    </row>
    <row r="226" spans="1:7" ht="30">
      <c r="A226" s="106" t="s">
        <v>22</v>
      </c>
      <c r="B226" s="5" t="s">
        <v>237</v>
      </c>
      <c r="C226" s="6" t="s">
        <v>864</v>
      </c>
      <c r="D226" s="7" t="s">
        <v>560</v>
      </c>
      <c r="E226" s="7"/>
      <c r="F226" s="3">
        <f>SUM($E226:$E226)</f>
        <v>0</v>
      </c>
      <c r="G226" s="8">
        <v>0.5</v>
      </c>
    </row>
    <row r="227" spans="1:7">
      <c r="A227" s="106"/>
      <c r="B227" s="5" t="s">
        <v>238</v>
      </c>
      <c r="C227" s="6" t="s">
        <v>863</v>
      </c>
      <c r="D227" s="7" t="s">
        <v>561</v>
      </c>
      <c r="E227" s="7"/>
      <c r="F227" s="3">
        <f>SUM($E227:$E227)</f>
        <v>0</v>
      </c>
      <c r="G227" s="8">
        <v>0.5</v>
      </c>
    </row>
    <row r="228" spans="1:7">
      <c r="A228" s="106" t="s">
        <v>23</v>
      </c>
      <c r="B228" s="5" t="s">
        <v>241</v>
      </c>
      <c r="C228" s="6"/>
      <c r="D228" s="7" t="s">
        <v>562</v>
      </c>
      <c r="E228" s="7"/>
    </row>
    <row r="229" spans="1:7">
      <c r="A229" s="106"/>
      <c r="B229" s="5" t="s">
        <v>239</v>
      </c>
      <c r="C229" s="6"/>
      <c r="D229" s="7" t="s">
        <v>563</v>
      </c>
      <c r="E229" s="7"/>
    </row>
    <row r="230" spans="1:7">
      <c r="A230" s="106"/>
      <c r="B230" s="5" t="s">
        <v>242</v>
      </c>
      <c r="C230" s="6" t="s">
        <v>862</v>
      </c>
      <c r="D230" s="7" t="s">
        <v>564</v>
      </c>
      <c r="E230" s="7"/>
      <c r="F230" s="3">
        <f>SUM($E230:$E230)</f>
        <v>0</v>
      </c>
      <c r="G230" s="8">
        <f>F230/SUM(F$230:F$231)</f>
        <v>0</v>
      </c>
    </row>
    <row r="231" spans="1:7">
      <c r="A231" s="106"/>
      <c r="B231" s="5" t="s">
        <v>240</v>
      </c>
      <c r="C231" s="6" t="s">
        <v>818</v>
      </c>
      <c r="D231" s="7" t="s">
        <v>565</v>
      </c>
      <c r="E231" s="7">
        <v>4500</v>
      </c>
      <c r="F231" s="3">
        <f>SUM($E231:$E231)</f>
        <v>4500</v>
      </c>
      <c r="G231" s="8">
        <f>F231/SUM(F$230:F$231)</f>
        <v>1</v>
      </c>
    </row>
    <row r="232" spans="1:7">
      <c r="A232" s="106" t="s">
        <v>24</v>
      </c>
      <c r="B232" s="5" t="s">
        <v>243</v>
      </c>
      <c r="C232" s="6"/>
      <c r="D232" s="7" t="s">
        <v>566</v>
      </c>
      <c r="E232" s="7"/>
    </row>
    <row r="233" spans="1:7">
      <c r="A233" s="106"/>
      <c r="B233" s="5" t="s">
        <v>245</v>
      </c>
      <c r="C233" s="6"/>
      <c r="D233" s="7" t="s">
        <v>567</v>
      </c>
      <c r="E233" s="7"/>
    </row>
    <row r="234" spans="1:7">
      <c r="A234" s="106"/>
      <c r="B234" s="5" t="s">
        <v>244</v>
      </c>
      <c r="C234" s="6" t="s">
        <v>830</v>
      </c>
      <c r="D234" s="7" t="s">
        <v>568</v>
      </c>
      <c r="E234" s="7"/>
      <c r="F234" s="3">
        <f>SUM($E234:$E234)</f>
        <v>0</v>
      </c>
      <c r="G234" s="8">
        <f>F234/SUM(F$234:F$235)</f>
        <v>0</v>
      </c>
    </row>
    <row r="235" spans="1:7" ht="30">
      <c r="A235" s="106"/>
      <c r="B235" s="5" t="s">
        <v>246</v>
      </c>
      <c r="C235" s="6" t="s">
        <v>831</v>
      </c>
      <c r="D235" s="7" t="s">
        <v>569</v>
      </c>
      <c r="E235" s="7">
        <v>2600</v>
      </c>
      <c r="F235" s="3">
        <f>SUM($E235:$E235)</f>
        <v>2600</v>
      </c>
      <c r="G235" s="8">
        <f>F235/SUM(F$234:F$235)</f>
        <v>1</v>
      </c>
    </row>
    <row r="236" spans="1:7">
      <c r="A236" s="106"/>
      <c r="B236" s="5" t="s">
        <v>570</v>
      </c>
      <c r="C236" s="6"/>
      <c r="D236" s="7" t="s">
        <v>571</v>
      </c>
      <c r="E236" s="7"/>
    </row>
    <row r="237" spans="1:7">
      <c r="A237" s="106" t="s">
        <v>25</v>
      </c>
      <c r="B237" s="5" t="s">
        <v>247</v>
      </c>
      <c r="C237" s="6"/>
      <c r="D237" s="7" t="s">
        <v>572</v>
      </c>
      <c r="E237" s="7"/>
    </row>
    <row r="238" spans="1:7">
      <c r="A238" s="106"/>
      <c r="B238" s="5" t="s">
        <v>248</v>
      </c>
      <c r="C238" s="6" t="s">
        <v>821</v>
      </c>
      <c r="D238" s="7" t="s">
        <v>573</v>
      </c>
      <c r="E238" s="7">
        <v>1700</v>
      </c>
      <c r="F238" s="3">
        <f>SUM($E238:$E238)</f>
        <v>1700</v>
      </c>
      <c r="G238" s="8">
        <f>F238/SUM(F$238:F$244)</f>
        <v>0.4358974358974359</v>
      </c>
    </row>
    <row r="239" spans="1:7">
      <c r="A239" s="106"/>
      <c r="B239" s="5" t="s">
        <v>252</v>
      </c>
      <c r="C239" s="6"/>
      <c r="D239" s="7" t="s">
        <v>574</v>
      </c>
      <c r="E239" s="7"/>
    </row>
    <row r="240" spans="1:7">
      <c r="A240" s="106"/>
      <c r="B240" s="5" t="s">
        <v>254</v>
      </c>
      <c r="C240" s="6"/>
      <c r="D240" s="7" t="s">
        <v>575</v>
      </c>
      <c r="E240" s="7"/>
    </row>
    <row r="241" spans="1:7">
      <c r="A241" s="106"/>
      <c r="B241" s="5" t="s">
        <v>251</v>
      </c>
      <c r="D241" s="7" t="s">
        <v>576</v>
      </c>
      <c r="E241" s="7"/>
    </row>
    <row r="242" spans="1:7" ht="90">
      <c r="A242" s="106"/>
      <c r="B242" s="5" t="s">
        <v>253</v>
      </c>
      <c r="C242" s="6" t="s">
        <v>872</v>
      </c>
      <c r="D242" s="7" t="s">
        <v>577</v>
      </c>
      <c r="E242" s="7"/>
      <c r="F242" s="3">
        <f>SUM($E242:$E242)</f>
        <v>0</v>
      </c>
      <c r="G242" s="8">
        <f t="shared" ref="G242:G244" si="13">F242/SUM(F$238:F$244)</f>
        <v>0</v>
      </c>
    </row>
    <row r="243" spans="1:7">
      <c r="A243" s="106"/>
      <c r="B243" s="5" t="s">
        <v>250</v>
      </c>
      <c r="C243" s="6"/>
      <c r="D243" s="7" t="s">
        <v>578</v>
      </c>
      <c r="E243" s="7"/>
    </row>
    <row r="244" spans="1:7">
      <c r="A244" s="106"/>
      <c r="B244" s="5" t="s">
        <v>249</v>
      </c>
      <c r="C244" s="6" t="s">
        <v>820</v>
      </c>
      <c r="D244" s="7" t="s">
        <v>579</v>
      </c>
      <c r="E244" s="7">
        <v>2200</v>
      </c>
      <c r="F244" s="3">
        <f>SUM($E244:$E244)</f>
        <v>2200</v>
      </c>
      <c r="G244" s="8">
        <f t="shared" si="13"/>
        <v>0.5641025641025641</v>
      </c>
    </row>
    <row r="245" spans="1:7">
      <c r="A245" s="106" t="s">
        <v>26</v>
      </c>
      <c r="B245" s="5" t="s">
        <v>294</v>
      </c>
      <c r="D245" s="7" t="s">
        <v>580</v>
      </c>
      <c r="E245" s="7"/>
    </row>
    <row r="246" spans="1:7">
      <c r="A246" s="106"/>
      <c r="B246" s="5" t="s">
        <v>268</v>
      </c>
      <c r="C246" s="6"/>
      <c r="D246" s="7" t="s">
        <v>581</v>
      </c>
      <c r="E246" s="7"/>
    </row>
    <row r="247" spans="1:7">
      <c r="A247" s="106"/>
      <c r="B247" s="5" t="s">
        <v>280</v>
      </c>
      <c r="C247" s="6"/>
      <c r="D247" s="7" t="s">
        <v>582</v>
      </c>
      <c r="E247" s="7"/>
    </row>
    <row r="248" spans="1:7">
      <c r="A248" s="106"/>
      <c r="B248" s="5" t="s">
        <v>270</v>
      </c>
      <c r="C248" s="6"/>
      <c r="D248" s="7" t="s">
        <v>583</v>
      </c>
      <c r="E248" s="7"/>
    </row>
    <row r="249" spans="1:7">
      <c r="A249" s="106"/>
      <c r="B249" s="5" t="s">
        <v>285</v>
      </c>
      <c r="C249" s="6"/>
      <c r="D249" s="7" t="s">
        <v>584</v>
      </c>
      <c r="E249" s="7"/>
    </row>
    <row r="250" spans="1:7">
      <c r="A250" s="106"/>
      <c r="B250" s="5" t="s">
        <v>264</v>
      </c>
      <c r="C250" s="6"/>
      <c r="D250" s="7" t="s">
        <v>585</v>
      </c>
      <c r="E250" s="7"/>
    </row>
    <row r="251" spans="1:7">
      <c r="A251" s="106"/>
      <c r="B251" s="5" t="s">
        <v>269</v>
      </c>
      <c r="C251" s="6"/>
      <c r="D251" s="7" t="s">
        <v>586</v>
      </c>
      <c r="E251" s="7"/>
    </row>
    <row r="252" spans="1:7" ht="30">
      <c r="A252" s="106"/>
      <c r="B252" s="5" t="s">
        <v>277</v>
      </c>
      <c r="C252" s="6" t="s">
        <v>823</v>
      </c>
      <c r="D252" s="7" t="s">
        <v>587</v>
      </c>
      <c r="E252" s="7">
        <v>3200</v>
      </c>
      <c r="F252" s="3">
        <f>SUM($E252:$E252)</f>
        <v>3200</v>
      </c>
      <c r="G252" s="8">
        <f>F252/SUM(F$252:F$279)</f>
        <v>0.39506172839506171</v>
      </c>
    </row>
    <row r="253" spans="1:7">
      <c r="A253" s="106"/>
      <c r="B253" s="5" t="s">
        <v>295</v>
      </c>
      <c r="C253" s="6"/>
      <c r="D253" s="7" t="s">
        <v>588</v>
      </c>
      <c r="E253" s="7"/>
    </row>
    <row r="254" spans="1:7" ht="45">
      <c r="A254" s="106"/>
      <c r="B254" s="5" t="s">
        <v>266</v>
      </c>
      <c r="C254" s="6" t="s">
        <v>807</v>
      </c>
      <c r="D254" s="7" t="s">
        <v>589</v>
      </c>
      <c r="E254" s="7"/>
      <c r="F254" s="3">
        <f>SUM($E254:$E254)</f>
        <v>0</v>
      </c>
      <c r="G254" s="8">
        <f t="shared" ref="G254:G279" si="14">F254/SUM(F$252:F$279)</f>
        <v>0</v>
      </c>
    </row>
    <row r="255" spans="1:7">
      <c r="A255" s="106"/>
      <c r="B255" s="5" t="s">
        <v>263</v>
      </c>
      <c r="C255" s="6"/>
      <c r="D255" s="7" t="s">
        <v>590</v>
      </c>
      <c r="E255" s="7"/>
    </row>
    <row r="256" spans="1:7">
      <c r="A256" s="106"/>
      <c r="B256" s="5" t="s">
        <v>279</v>
      </c>
      <c r="C256" s="6"/>
      <c r="D256" s="7" t="s">
        <v>591</v>
      </c>
      <c r="E256" s="7"/>
    </row>
    <row r="257" spans="1:5" ht="30">
      <c r="A257" s="106"/>
      <c r="B257" s="5" t="s">
        <v>272</v>
      </c>
      <c r="C257" s="6"/>
      <c r="D257" s="7" t="s">
        <v>592</v>
      </c>
      <c r="E257" s="7"/>
    </row>
    <row r="258" spans="1:5">
      <c r="A258" s="106"/>
      <c r="B258" s="5" t="s">
        <v>271</v>
      </c>
      <c r="C258" s="6"/>
      <c r="D258" s="7" t="s">
        <v>593</v>
      </c>
      <c r="E258" s="7"/>
    </row>
    <row r="259" spans="1:5" ht="30">
      <c r="A259" s="106"/>
      <c r="B259" s="5" t="s">
        <v>275</v>
      </c>
      <c r="C259" s="6"/>
      <c r="D259" s="7" t="s">
        <v>594</v>
      </c>
      <c r="E259" s="7"/>
    </row>
    <row r="260" spans="1:5">
      <c r="A260" s="106"/>
      <c r="B260" s="5" t="s">
        <v>267</v>
      </c>
      <c r="C260" s="6"/>
      <c r="D260" s="7" t="s">
        <v>595</v>
      </c>
      <c r="E260" s="7"/>
    </row>
    <row r="261" spans="1:5">
      <c r="A261" s="106"/>
      <c r="B261" s="5" t="s">
        <v>274</v>
      </c>
      <c r="C261" s="6"/>
      <c r="D261" s="7" t="s">
        <v>596</v>
      </c>
      <c r="E261" s="7"/>
    </row>
    <row r="262" spans="1:5">
      <c r="A262" s="106"/>
      <c r="B262" s="5" t="s">
        <v>282</v>
      </c>
      <c r="C262" s="6"/>
      <c r="D262" s="7" t="s">
        <v>597</v>
      </c>
      <c r="E262" s="7"/>
    </row>
    <row r="263" spans="1:5">
      <c r="A263" s="106"/>
      <c r="B263" s="5" t="s">
        <v>287</v>
      </c>
      <c r="C263" s="6"/>
      <c r="D263" s="7" t="s">
        <v>598</v>
      </c>
      <c r="E263" s="7"/>
    </row>
    <row r="264" spans="1:5">
      <c r="A264" s="106"/>
      <c r="B264" s="5" t="s">
        <v>265</v>
      </c>
      <c r="C264" s="6"/>
      <c r="D264" s="7" t="s">
        <v>599</v>
      </c>
      <c r="E264" s="7"/>
    </row>
    <row r="265" spans="1:5">
      <c r="A265" s="106"/>
      <c r="B265" s="5" t="s">
        <v>293</v>
      </c>
      <c r="C265" s="6"/>
      <c r="D265" s="7" t="s">
        <v>600</v>
      </c>
      <c r="E265" s="7"/>
    </row>
    <row r="266" spans="1:5">
      <c r="A266" s="106"/>
      <c r="B266" s="5" t="s">
        <v>292</v>
      </c>
      <c r="C266" s="6"/>
      <c r="D266" s="7" t="s">
        <v>601</v>
      </c>
      <c r="E266" s="7"/>
    </row>
    <row r="267" spans="1:5">
      <c r="A267" s="106"/>
      <c r="B267" s="5" t="s">
        <v>291</v>
      </c>
      <c r="C267" s="6"/>
      <c r="D267" s="7" t="s">
        <v>602</v>
      </c>
      <c r="E267" s="7"/>
    </row>
    <row r="268" spans="1:5">
      <c r="A268" s="106"/>
      <c r="B268" s="5" t="s">
        <v>290</v>
      </c>
      <c r="C268" s="6"/>
      <c r="D268" s="7" t="s">
        <v>603</v>
      </c>
      <c r="E268" s="7"/>
    </row>
    <row r="269" spans="1:5" ht="30">
      <c r="A269" s="106"/>
      <c r="B269" s="5" t="s">
        <v>289</v>
      </c>
      <c r="C269" s="6"/>
      <c r="D269" s="7" t="s">
        <v>604</v>
      </c>
      <c r="E269" s="7"/>
    </row>
    <row r="270" spans="1:5" ht="30">
      <c r="A270" s="106"/>
      <c r="B270" s="5" t="s">
        <v>286</v>
      </c>
      <c r="C270" s="6"/>
      <c r="D270" s="7" t="s">
        <v>605</v>
      </c>
      <c r="E270" s="7"/>
    </row>
    <row r="271" spans="1:5">
      <c r="A271" s="106"/>
      <c r="B271" s="5" t="s">
        <v>283</v>
      </c>
      <c r="C271" s="6"/>
      <c r="D271" s="7" t="s">
        <v>606</v>
      </c>
      <c r="E271" s="7"/>
    </row>
    <row r="272" spans="1:5">
      <c r="A272" s="106"/>
      <c r="B272" s="5" t="s">
        <v>276</v>
      </c>
      <c r="C272" s="6"/>
      <c r="D272" s="7" t="s">
        <v>607</v>
      </c>
      <c r="E272" s="7"/>
    </row>
    <row r="273" spans="1:8">
      <c r="A273" s="106"/>
      <c r="B273" s="5" t="s">
        <v>273</v>
      </c>
      <c r="C273" s="6"/>
      <c r="D273" s="7" t="s">
        <v>608</v>
      </c>
      <c r="E273" s="7"/>
    </row>
    <row r="274" spans="1:8" ht="30">
      <c r="A274" s="106"/>
      <c r="B274" s="5" t="s">
        <v>288</v>
      </c>
      <c r="C274" s="6"/>
      <c r="D274" s="7" t="s">
        <v>609</v>
      </c>
      <c r="E274" s="7"/>
    </row>
    <row r="275" spans="1:8">
      <c r="A275" s="106"/>
      <c r="B275" s="5" t="s">
        <v>284</v>
      </c>
      <c r="C275" s="6"/>
      <c r="D275" s="7" t="s">
        <v>610</v>
      </c>
      <c r="E275" s="7"/>
    </row>
    <row r="276" spans="1:8">
      <c r="A276" s="106"/>
      <c r="B276" s="5" t="s">
        <v>281</v>
      </c>
      <c r="C276" s="6"/>
      <c r="D276" s="7" t="s">
        <v>611</v>
      </c>
      <c r="E276" s="7"/>
    </row>
    <row r="277" spans="1:8">
      <c r="A277" s="106"/>
      <c r="B277" s="5" t="s">
        <v>278</v>
      </c>
      <c r="C277" s="6"/>
      <c r="D277" s="7" t="s">
        <v>612</v>
      </c>
      <c r="E277" s="7"/>
    </row>
    <row r="278" spans="1:8">
      <c r="A278" s="106"/>
      <c r="B278" s="5" t="s">
        <v>255</v>
      </c>
      <c r="C278" s="6" t="s">
        <v>822</v>
      </c>
      <c r="D278" s="7" t="s">
        <v>613</v>
      </c>
      <c r="E278" s="7">
        <v>4900</v>
      </c>
      <c r="F278" s="3">
        <f>SUM($E278:$E278)</f>
        <v>4900</v>
      </c>
      <c r="G278" s="8">
        <f t="shared" si="14"/>
        <v>0.60493827160493829</v>
      </c>
    </row>
    <row r="279" spans="1:8">
      <c r="A279" s="106"/>
      <c r="B279" s="5" t="s">
        <v>256</v>
      </c>
      <c r="C279" s="6" t="s">
        <v>873</v>
      </c>
      <c r="D279" s="7" t="s">
        <v>614</v>
      </c>
      <c r="E279" s="7"/>
      <c r="F279" s="3">
        <f>SUM($E279:$E279)</f>
        <v>0</v>
      </c>
      <c r="G279" s="8">
        <f t="shared" si="14"/>
        <v>0</v>
      </c>
    </row>
    <row r="280" spans="1:8">
      <c r="A280" s="106"/>
      <c r="B280" s="5" t="s">
        <v>261</v>
      </c>
      <c r="C280" s="6"/>
      <c r="D280" s="7" t="s">
        <v>615</v>
      </c>
      <c r="E280" s="7"/>
    </row>
    <row r="281" spans="1:8">
      <c r="A281" s="106"/>
      <c r="B281" s="5" t="s">
        <v>259</v>
      </c>
      <c r="C281" s="6"/>
      <c r="D281" s="7" t="s">
        <v>616</v>
      </c>
      <c r="E281" s="7"/>
    </row>
    <row r="282" spans="1:8">
      <c r="A282" s="106"/>
      <c r="B282" s="5" t="s">
        <v>260</v>
      </c>
      <c r="C282" s="25"/>
      <c r="D282" s="7" t="s">
        <v>617</v>
      </c>
      <c r="E282" s="7"/>
    </row>
    <row r="283" spans="1:8">
      <c r="A283" s="106"/>
      <c r="B283" s="5" t="s">
        <v>258</v>
      </c>
      <c r="C283" s="6"/>
      <c r="D283" s="7" t="s">
        <v>618</v>
      </c>
      <c r="E283" s="7"/>
    </row>
    <row r="284" spans="1:8">
      <c r="A284" s="106"/>
      <c r="B284" s="5" t="s">
        <v>257</v>
      </c>
      <c r="C284" s="6"/>
      <c r="D284" s="7" t="s">
        <v>619</v>
      </c>
      <c r="E284" s="7"/>
    </row>
    <row r="285" spans="1:8">
      <c r="A285" s="106"/>
      <c r="B285" s="5" t="s">
        <v>262</v>
      </c>
      <c r="C285" s="6"/>
      <c r="D285" s="7" t="s">
        <v>620</v>
      </c>
      <c r="E285" s="7"/>
    </row>
    <row r="286" spans="1:8">
      <c r="A286" s="106" t="s">
        <v>27</v>
      </c>
      <c r="B286" s="12" t="s">
        <v>298</v>
      </c>
      <c r="D286" s="11" t="s">
        <v>628</v>
      </c>
      <c r="E286" s="11"/>
      <c r="G286" s="8">
        <f>1/7</f>
        <v>0.14285714285714285</v>
      </c>
      <c r="H286" s="73" t="s">
        <v>925</v>
      </c>
    </row>
    <row r="287" spans="1:8">
      <c r="A287" s="106"/>
      <c r="B287" s="11" t="s">
        <v>297</v>
      </c>
      <c r="D287" s="11" t="s">
        <v>629</v>
      </c>
      <c r="E287" s="11"/>
      <c r="G287" s="8">
        <f t="shared" ref="G287:G303" si="15">1/7</f>
        <v>0.14285714285714285</v>
      </c>
      <c r="H287" s="73" t="s">
        <v>925</v>
      </c>
    </row>
    <row r="288" spans="1:8">
      <c r="A288" s="106"/>
      <c r="B288" s="11" t="s">
        <v>299</v>
      </c>
      <c r="D288" s="11" t="s">
        <v>630</v>
      </c>
      <c r="E288" s="11"/>
      <c r="G288" s="8">
        <f t="shared" si="15"/>
        <v>0.14285714285714285</v>
      </c>
      <c r="H288" s="73" t="s">
        <v>925</v>
      </c>
    </row>
    <row r="289" spans="1:8">
      <c r="A289" s="106"/>
      <c r="B289" s="5" t="s">
        <v>624</v>
      </c>
      <c r="D289" s="11" t="s">
        <v>631</v>
      </c>
      <c r="E289" s="11"/>
      <c r="G289" s="8">
        <f t="shared" si="15"/>
        <v>0.14285714285714285</v>
      </c>
      <c r="H289" s="73" t="s">
        <v>925</v>
      </c>
    </row>
    <row r="290" spans="1:8">
      <c r="A290" s="106"/>
      <c r="B290" s="12" t="s">
        <v>625</v>
      </c>
      <c r="D290" s="11" t="s">
        <v>632</v>
      </c>
      <c r="E290" s="11"/>
      <c r="G290" s="8">
        <f t="shared" si="15"/>
        <v>0.14285714285714285</v>
      </c>
      <c r="H290" s="73" t="s">
        <v>925</v>
      </c>
    </row>
    <row r="291" spans="1:8">
      <c r="A291" s="106"/>
      <c r="B291" s="12" t="s">
        <v>626</v>
      </c>
      <c r="D291" s="11" t="s">
        <v>633</v>
      </c>
      <c r="E291" s="11"/>
      <c r="G291" s="8">
        <f t="shared" si="15"/>
        <v>0.14285714285714285</v>
      </c>
      <c r="H291" s="73" t="s">
        <v>925</v>
      </c>
    </row>
    <row r="292" spans="1:8">
      <c r="A292" s="106"/>
      <c r="B292" s="12" t="s">
        <v>627</v>
      </c>
      <c r="D292" s="11" t="s">
        <v>634</v>
      </c>
      <c r="E292" s="11"/>
      <c r="G292" s="8">
        <f t="shared" si="15"/>
        <v>0.14285714285714285</v>
      </c>
      <c r="H292" s="73" t="s">
        <v>925</v>
      </c>
    </row>
    <row r="293" spans="1:8">
      <c r="A293" s="106"/>
      <c r="B293" s="12" t="s">
        <v>302</v>
      </c>
      <c r="D293" s="11"/>
      <c r="E293" s="11"/>
      <c r="G293" s="8">
        <f>G289*1.3/2.3</f>
        <v>8.0745341614906846E-2</v>
      </c>
      <c r="H293" s="73" t="s">
        <v>925</v>
      </c>
    </row>
    <row r="294" spans="1:8">
      <c r="A294" s="106"/>
      <c r="B294" s="12" t="s">
        <v>301</v>
      </c>
      <c r="D294" s="11"/>
      <c r="E294" s="11"/>
      <c r="G294" s="8">
        <f>G289*1/2.3</f>
        <v>6.2111801242236024E-2</v>
      </c>
      <c r="H294" s="73" t="s">
        <v>925</v>
      </c>
    </row>
    <row r="295" spans="1:8">
      <c r="A295" s="106"/>
      <c r="B295" s="12" t="s">
        <v>300</v>
      </c>
      <c r="D295" s="11"/>
      <c r="E295" s="11"/>
      <c r="G295" s="8">
        <f>G290</f>
        <v>0.14285714285714285</v>
      </c>
      <c r="H295" s="73" t="s">
        <v>925</v>
      </c>
    </row>
    <row r="296" spans="1:8">
      <c r="A296" s="106"/>
      <c r="B296" s="12" t="s">
        <v>296</v>
      </c>
      <c r="D296" s="11"/>
      <c r="E296" s="11"/>
      <c r="G296" s="8">
        <f>G291</f>
        <v>0.14285714285714285</v>
      </c>
      <c r="H296" s="73" t="s">
        <v>925</v>
      </c>
    </row>
    <row r="297" spans="1:8">
      <c r="A297" s="106" t="s">
        <v>635</v>
      </c>
      <c r="B297" s="12" t="s">
        <v>305</v>
      </c>
      <c r="C297" s="13"/>
      <c r="D297" s="12" t="s">
        <v>636</v>
      </c>
      <c r="E297" s="12"/>
      <c r="G297" s="8">
        <f t="shared" si="15"/>
        <v>0.14285714285714285</v>
      </c>
      <c r="H297" s="73" t="s">
        <v>925</v>
      </c>
    </row>
    <row r="298" spans="1:8">
      <c r="A298" s="106"/>
      <c r="B298" s="12" t="s">
        <v>307</v>
      </c>
      <c r="C298" s="13"/>
      <c r="D298" s="12" t="s">
        <v>637</v>
      </c>
      <c r="E298" s="12"/>
      <c r="G298" s="8">
        <f t="shared" si="15"/>
        <v>0.14285714285714285</v>
      </c>
      <c r="H298" s="73" t="s">
        <v>925</v>
      </c>
    </row>
    <row r="299" spans="1:8">
      <c r="A299" s="106"/>
      <c r="B299" s="12" t="s">
        <v>309</v>
      </c>
      <c r="C299" s="13"/>
      <c r="D299" s="12" t="s">
        <v>638</v>
      </c>
      <c r="E299" s="12"/>
      <c r="G299" s="8">
        <f t="shared" si="15"/>
        <v>0.14285714285714285</v>
      </c>
      <c r="H299" s="73" t="s">
        <v>925</v>
      </c>
    </row>
    <row r="300" spans="1:8">
      <c r="A300" s="106"/>
      <c r="B300" s="12" t="s">
        <v>303</v>
      </c>
      <c r="C300" s="13"/>
      <c r="D300" s="12" t="s">
        <v>639</v>
      </c>
      <c r="E300" s="12"/>
      <c r="G300" s="8">
        <f t="shared" si="15"/>
        <v>0.14285714285714285</v>
      </c>
      <c r="H300" s="73" t="s">
        <v>925</v>
      </c>
    </row>
    <row r="301" spans="1:8">
      <c r="A301" s="106"/>
      <c r="B301" s="12" t="s">
        <v>308</v>
      </c>
      <c r="C301" s="13"/>
      <c r="D301" s="12" t="s">
        <v>640</v>
      </c>
      <c r="E301" s="12"/>
      <c r="G301" s="8">
        <f t="shared" si="15"/>
        <v>0.14285714285714285</v>
      </c>
      <c r="H301" s="73" t="s">
        <v>925</v>
      </c>
    </row>
    <row r="302" spans="1:8">
      <c r="A302" s="106"/>
      <c r="B302" s="12" t="s">
        <v>304</v>
      </c>
      <c r="C302" s="13"/>
      <c r="D302" s="12" t="s">
        <v>641</v>
      </c>
      <c r="E302" s="12"/>
      <c r="G302" s="8">
        <f t="shared" si="15"/>
        <v>0.14285714285714285</v>
      </c>
      <c r="H302" s="73" t="s">
        <v>925</v>
      </c>
    </row>
    <row r="303" spans="1:8">
      <c r="A303" s="106"/>
      <c r="B303" s="12" t="s">
        <v>306</v>
      </c>
      <c r="C303" s="13"/>
      <c r="D303" s="12" t="s">
        <v>642</v>
      </c>
      <c r="E303" s="12"/>
      <c r="G303" s="8">
        <f t="shared" si="15"/>
        <v>0.14285714285714285</v>
      </c>
      <c r="H303" s="73" t="s">
        <v>925</v>
      </c>
    </row>
    <row r="304" spans="1:8">
      <c r="A304" s="26" t="s">
        <v>28</v>
      </c>
      <c r="B304" s="28" t="s">
        <v>310</v>
      </c>
      <c r="C304" s="27"/>
      <c r="D304" s="28" t="s">
        <v>643</v>
      </c>
      <c r="E304" s="28"/>
      <c r="G304" s="8">
        <f>1</f>
        <v>1</v>
      </c>
      <c r="H304" s="73" t="s">
        <v>925</v>
      </c>
    </row>
    <row r="305" spans="1:8">
      <c r="A305" s="24" t="s">
        <v>29</v>
      </c>
      <c r="B305" s="11" t="s">
        <v>311</v>
      </c>
      <c r="C305" s="7"/>
      <c r="D305" s="7" t="s">
        <v>644</v>
      </c>
      <c r="E305" s="7"/>
      <c r="G305" s="8">
        <f>1</f>
        <v>1</v>
      </c>
      <c r="H305" s="73" t="s">
        <v>925</v>
      </c>
    </row>
    <row r="306" spans="1:8">
      <c r="A306" s="106" t="s">
        <v>30</v>
      </c>
      <c r="B306" s="11" t="s">
        <v>33</v>
      </c>
      <c r="C306" s="7"/>
      <c r="D306" s="11" t="s">
        <v>645</v>
      </c>
      <c r="E306" s="11"/>
      <c r="G306" s="8">
        <f>1/3</f>
        <v>0.33333333333333331</v>
      </c>
      <c r="H306" s="73" t="s">
        <v>925</v>
      </c>
    </row>
    <row r="307" spans="1:8">
      <c r="A307" s="106"/>
      <c r="B307" s="11" t="s">
        <v>34</v>
      </c>
      <c r="C307" s="7"/>
      <c r="D307" s="11" t="s">
        <v>646</v>
      </c>
      <c r="E307" s="11"/>
      <c r="G307" s="8">
        <f t="shared" ref="G307:G308" si="16">1/3</f>
        <v>0.33333333333333331</v>
      </c>
      <c r="H307" s="73" t="s">
        <v>925</v>
      </c>
    </row>
    <row r="308" spans="1:8">
      <c r="A308" s="106"/>
      <c r="B308" s="11" t="s">
        <v>35</v>
      </c>
      <c r="C308" s="7"/>
      <c r="D308" s="11" t="s">
        <v>647</v>
      </c>
      <c r="E308" s="11"/>
      <c r="G308" s="8">
        <f t="shared" si="16"/>
        <v>0.33333333333333331</v>
      </c>
      <c r="H308" s="73" t="s">
        <v>925</v>
      </c>
    </row>
    <row r="309" spans="1:8">
      <c r="A309" s="106" t="s">
        <v>31</v>
      </c>
      <c r="B309" s="11" t="s">
        <v>315</v>
      </c>
      <c r="C309" s="7"/>
      <c r="D309" s="11" t="s">
        <v>648</v>
      </c>
      <c r="E309" s="11"/>
      <c r="G309" s="8">
        <f>1/4</f>
        <v>0.25</v>
      </c>
      <c r="H309" s="73" t="s">
        <v>925</v>
      </c>
    </row>
    <row r="310" spans="1:8">
      <c r="A310" s="106"/>
      <c r="B310" s="11" t="s">
        <v>314</v>
      </c>
      <c r="C310" s="7"/>
      <c r="D310" s="11" t="s">
        <v>649</v>
      </c>
      <c r="E310" s="11"/>
      <c r="G310" s="8">
        <f t="shared" ref="G310:G312" si="17">1/4</f>
        <v>0.25</v>
      </c>
      <c r="H310" s="73" t="s">
        <v>925</v>
      </c>
    </row>
    <row r="311" spans="1:8">
      <c r="A311" s="106"/>
      <c r="B311" s="11" t="s">
        <v>313</v>
      </c>
      <c r="C311" s="7"/>
      <c r="D311" s="7" t="s">
        <v>650</v>
      </c>
      <c r="E311" s="7"/>
      <c r="G311" s="8">
        <f t="shared" si="17"/>
        <v>0.25</v>
      </c>
      <c r="H311" s="73" t="s">
        <v>925</v>
      </c>
    </row>
    <row r="312" spans="1:8">
      <c r="A312" s="106"/>
      <c r="B312" s="11" t="s">
        <v>312</v>
      </c>
      <c r="C312" s="7"/>
      <c r="D312" s="7" t="s">
        <v>651</v>
      </c>
      <c r="E312" s="7"/>
      <c r="G312" s="8">
        <f t="shared" si="17"/>
        <v>0.25</v>
      </c>
      <c r="H312" s="73" t="s">
        <v>925</v>
      </c>
    </row>
    <row r="313" spans="1:8">
      <c r="A313" s="26" t="s">
        <v>32</v>
      </c>
      <c r="B313" s="11" t="s">
        <v>1015</v>
      </c>
      <c r="G313" s="8">
        <f>1</f>
        <v>1</v>
      </c>
      <c r="H313" s="73" t="s">
        <v>925</v>
      </c>
    </row>
    <row r="314" spans="1:8">
      <c r="A314" s="26" t="s">
        <v>1026</v>
      </c>
      <c r="B314" s="11" t="s">
        <v>654</v>
      </c>
      <c r="D314" s="3" t="s">
        <v>1026</v>
      </c>
      <c r="G314" s="8">
        <f>1</f>
        <v>1</v>
      </c>
      <c r="H314" s="73" t="s">
        <v>925</v>
      </c>
    </row>
    <row r="315" spans="1:8">
      <c r="A315" s="88" t="s">
        <v>933</v>
      </c>
      <c r="B315" s="11" t="s">
        <v>653</v>
      </c>
      <c r="D315" s="3" t="s">
        <v>652</v>
      </c>
      <c r="G315" s="8">
        <f>1</f>
        <v>1</v>
      </c>
      <c r="H315" s="7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8BD1-3CE5-4A46-96B1-7B4F41106451}">
  <dimension ref="A1:K315"/>
  <sheetViews>
    <sheetView workbookViewId="0"/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5" width="29.875" style="3" customWidth="1"/>
    <col min="6" max="6" width="18.875" style="3" bestFit="1" customWidth="1"/>
    <col min="7" max="7" width="11.62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655</v>
      </c>
      <c r="E1" s="22" t="s">
        <v>808</v>
      </c>
      <c r="F1" s="22" t="s">
        <v>691</v>
      </c>
      <c r="G1" s="23" t="s">
        <v>1027</v>
      </c>
      <c r="H1" s="2"/>
      <c r="I1" s="2"/>
      <c r="J1" s="2"/>
    </row>
    <row r="2" spans="1:11" ht="30">
      <c r="A2" s="106" t="s">
        <v>3</v>
      </c>
      <c r="B2" s="5" t="s">
        <v>36</v>
      </c>
      <c r="C2" s="6"/>
      <c r="D2" s="7" t="s">
        <v>621</v>
      </c>
      <c r="E2" s="7"/>
      <c r="K2" s="4"/>
    </row>
    <row r="3" spans="1:11">
      <c r="A3" s="106"/>
      <c r="B3" s="5" t="s">
        <v>46</v>
      </c>
      <c r="C3" s="6"/>
      <c r="D3" s="7" t="s">
        <v>316</v>
      </c>
      <c r="E3" s="7"/>
      <c r="H3" s="4"/>
      <c r="I3" s="9"/>
      <c r="K3" s="4"/>
    </row>
    <row r="4" spans="1:11">
      <c r="A4" s="106"/>
      <c r="B4" s="5" t="s">
        <v>40</v>
      </c>
      <c r="C4" s="6" t="s">
        <v>799</v>
      </c>
      <c r="D4" s="7" t="s">
        <v>317</v>
      </c>
      <c r="E4" s="7">
        <v>1200</v>
      </c>
      <c r="F4" s="3">
        <f>SUM($E4:$E4)</f>
        <v>1200</v>
      </c>
      <c r="G4" s="8">
        <f>F4/SUM($F$4:$F$9)</f>
        <v>0.35294117647058826</v>
      </c>
      <c r="K4" s="4"/>
    </row>
    <row r="5" spans="1:11">
      <c r="A5" s="106"/>
      <c r="B5" s="5" t="s">
        <v>44</v>
      </c>
      <c r="C5" s="6" t="s">
        <v>810</v>
      </c>
      <c r="D5" s="7" t="s">
        <v>318</v>
      </c>
      <c r="E5" s="7"/>
      <c r="F5" s="3">
        <f>SUM($E5:$E5)</f>
        <v>0</v>
      </c>
      <c r="G5" s="8">
        <f t="shared" ref="G5:G9" si="0">F5/SUM($F$4:$F$9)</f>
        <v>0</v>
      </c>
      <c r="K5" s="4"/>
    </row>
    <row r="6" spans="1:11">
      <c r="A6" s="106"/>
      <c r="B6" s="5" t="s">
        <v>45</v>
      </c>
      <c r="C6" s="6"/>
      <c r="D6" s="7" t="s">
        <v>319</v>
      </c>
      <c r="E6" s="7"/>
      <c r="K6" s="4"/>
    </row>
    <row r="7" spans="1:11">
      <c r="A7" s="106"/>
      <c r="B7" s="5" t="s">
        <v>37</v>
      </c>
      <c r="C7" s="6"/>
      <c r="D7" s="7" t="s">
        <v>320</v>
      </c>
      <c r="E7" s="7"/>
      <c r="K7" s="4"/>
    </row>
    <row r="8" spans="1:11">
      <c r="A8" s="106"/>
      <c r="B8" s="5" t="s">
        <v>43</v>
      </c>
      <c r="C8" s="6"/>
      <c r="D8" s="7" t="s">
        <v>321</v>
      </c>
      <c r="E8" s="7"/>
      <c r="K8" s="4"/>
    </row>
    <row r="9" spans="1:11" ht="30">
      <c r="A9" s="106"/>
      <c r="B9" s="5" t="s">
        <v>42</v>
      </c>
      <c r="C9" s="6" t="s">
        <v>798</v>
      </c>
      <c r="D9" s="7" t="s">
        <v>322</v>
      </c>
      <c r="E9" s="7">
        <f>850+350+1000</f>
        <v>2200</v>
      </c>
      <c r="F9" s="3">
        <f>SUM($E9:$E9)</f>
        <v>2200</v>
      </c>
      <c r="G9" s="8">
        <f t="shared" si="0"/>
        <v>0.6470588235294118</v>
      </c>
      <c r="K9" s="4"/>
    </row>
    <row r="10" spans="1:11">
      <c r="A10" s="106"/>
      <c r="B10" s="5" t="s">
        <v>41</v>
      </c>
      <c r="C10" s="6"/>
      <c r="D10" s="7" t="s">
        <v>323</v>
      </c>
      <c r="E10" s="7"/>
      <c r="K10" s="4"/>
    </row>
    <row r="11" spans="1:11">
      <c r="A11" s="106"/>
      <c r="B11" s="5" t="s">
        <v>39</v>
      </c>
      <c r="C11" s="6"/>
      <c r="D11" s="7" t="s">
        <v>324</v>
      </c>
      <c r="E11" s="7"/>
      <c r="K11" s="4"/>
    </row>
    <row r="12" spans="1:11">
      <c r="A12" s="106"/>
      <c r="B12" s="5" t="s">
        <v>38</v>
      </c>
      <c r="C12" s="6"/>
      <c r="D12" s="7" t="s">
        <v>325</v>
      </c>
      <c r="E12" s="7"/>
      <c r="K12" s="4"/>
    </row>
    <row r="13" spans="1:11">
      <c r="A13" s="106" t="s">
        <v>4</v>
      </c>
      <c r="B13" s="5" t="s">
        <v>47</v>
      </c>
      <c r="C13" s="6"/>
      <c r="D13" s="7" t="s">
        <v>326</v>
      </c>
      <c r="E13" s="7"/>
      <c r="K13" s="4"/>
    </row>
    <row r="14" spans="1:11">
      <c r="A14" s="106"/>
      <c r="B14" s="5" t="s">
        <v>49</v>
      </c>
      <c r="C14" s="6"/>
      <c r="D14" s="7" t="s">
        <v>327</v>
      </c>
      <c r="E14" s="7"/>
      <c r="K14" s="4"/>
    </row>
    <row r="15" spans="1:11">
      <c r="A15" s="106"/>
      <c r="B15" s="5" t="s">
        <v>50</v>
      </c>
      <c r="C15" s="6"/>
      <c r="D15" s="7" t="s">
        <v>328</v>
      </c>
      <c r="E15" s="7"/>
      <c r="K15" s="4"/>
    </row>
    <row r="16" spans="1:11">
      <c r="A16" s="106"/>
      <c r="B16" s="5" t="s">
        <v>51</v>
      </c>
      <c r="C16" s="6"/>
      <c r="D16" s="7" t="s">
        <v>329</v>
      </c>
      <c r="E16" s="7"/>
      <c r="K16" s="4"/>
    </row>
    <row r="17" spans="1:11">
      <c r="A17" s="106"/>
      <c r="B17" s="5" t="s">
        <v>52</v>
      </c>
      <c r="C17" s="6" t="s">
        <v>825</v>
      </c>
      <c r="D17" s="7" t="s">
        <v>330</v>
      </c>
      <c r="E17" s="7">
        <v>1000</v>
      </c>
      <c r="F17" s="3">
        <f>SUM($E17:$E17)</f>
        <v>1000</v>
      </c>
      <c r="G17" s="8">
        <v>1</v>
      </c>
      <c r="K17" s="4"/>
    </row>
    <row r="18" spans="1:11">
      <c r="A18" s="106"/>
      <c r="B18" s="5" t="s">
        <v>48</v>
      </c>
      <c r="C18" s="6"/>
      <c r="D18" s="7" t="s">
        <v>331</v>
      </c>
      <c r="E18" s="7"/>
      <c r="K18" s="4"/>
    </row>
    <row r="19" spans="1:11">
      <c r="A19" s="106" t="s">
        <v>5</v>
      </c>
      <c r="B19" s="5" t="s">
        <v>54</v>
      </c>
      <c r="C19" s="6"/>
      <c r="D19" s="7" t="s">
        <v>332</v>
      </c>
      <c r="E19" s="7"/>
      <c r="K19" s="4"/>
    </row>
    <row r="20" spans="1:11">
      <c r="A20" s="106"/>
      <c r="B20" s="5" t="s">
        <v>53</v>
      </c>
      <c r="C20" s="6"/>
      <c r="D20" s="7" t="s">
        <v>333</v>
      </c>
      <c r="E20" s="7"/>
      <c r="K20" s="4"/>
    </row>
    <row r="21" spans="1:11">
      <c r="A21" s="106"/>
      <c r="B21" s="5" t="s">
        <v>60</v>
      </c>
      <c r="C21" s="6" t="s">
        <v>829</v>
      </c>
      <c r="D21" s="7" t="s">
        <v>334</v>
      </c>
      <c r="E21" s="7">
        <v>150</v>
      </c>
      <c r="F21" s="3">
        <f>SUM($E21:$E21)</f>
        <v>150</v>
      </c>
      <c r="G21" s="8">
        <f>F21/SUM($F$21:$F$26)</f>
        <v>0.55555555555555558</v>
      </c>
      <c r="K21" s="4"/>
    </row>
    <row r="22" spans="1:11">
      <c r="A22" s="106"/>
      <c r="B22" s="5" t="s">
        <v>58</v>
      </c>
      <c r="D22" s="7" t="s">
        <v>335</v>
      </c>
      <c r="E22" s="7"/>
      <c r="K22" s="4"/>
    </row>
    <row r="23" spans="1:11">
      <c r="A23" s="106"/>
      <c r="B23" s="5" t="s">
        <v>57</v>
      </c>
      <c r="C23" s="6"/>
      <c r="D23" s="7" t="s">
        <v>336</v>
      </c>
      <c r="E23" s="7"/>
      <c r="K23" s="4"/>
    </row>
    <row r="24" spans="1:11">
      <c r="A24" s="106"/>
      <c r="B24" s="5" t="s">
        <v>59</v>
      </c>
      <c r="C24" s="6"/>
      <c r="D24" s="7" t="s">
        <v>337</v>
      </c>
      <c r="E24" s="7"/>
      <c r="K24" s="4"/>
    </row>
    <row r="25" spans="1:11">
      <c r="A25" s="106"/>
      <c r="B25" s="5" t="s">
        <v>55</v>
      </c>
      <c r="C25" s="6"/>
      <c r="D25" s="7" t="s">
        <v>338</v>
      </c>
      <c r="E25" s="7"/>
      <c r="K25" s="4"/>
    </row>
    <row r="26" spans="1:11" ht="30">
      <c r="A26" s="106"/>
      <c r="B26" s="5" t="s">
        <v>56</v>
      </c>
      <c r="C26" s="6" t="s">
        <v>828</v>
      </c>
      <c r="D26" s="7" t="s">
        <v>339</v>
      </c>
      <c r="E26" s="7">
        <v>120</v>
      </c>
      <c r="F26" s="3">
        <f>SUM($E26:$E26)</f>
        <v>120</v>
      </c>
      <c r="G26" s="8">
        <f t="shared" ref="G26" si="1">F26/SUM($F$21:$F$26)</f>
        <v>0.44444444444444442</v>
      </c>
      <c r="K26" s="4"/>
    </row>
    <row r="27" spans="1:11">
      <c r="A27" s="106" t="s">
        <v>6</v>
      </c>
      <c r="B27" s="5" t="s">
        <v>64</v>
      </c>
      <c r="C27" s="6"/>
      <c r="D27" s="7" t="s">
        <v>340</v>
      </c>
      <c r="E27" s="7"/>
      <c r="G27" s="8">
        <f>1/ROWS(B27:B31)</f>
        <v>0.2</v>
      </c>
      <c r="H27" s="82" t="s">
        <v>925</v>
      </c>
      <c r="K27" s="4"/>
    </row>
    <row r="28" spans="1:11">
      <c r="A28" s="106"/>
      <c r="B28" s="5" t="s">
        <v>61</v>
      </c>
      <c r="C28" s="6"/>
      <c r="D28" s="7" t="s">
        <v>341</v>
      </c>
      <c r="E28" s="7"/>
      <c r="G28" s="8">
        <f>1/ROWS(B28:B32)</f>
        <v>0.2</v>
      </c>
      <c r="H28" s="82" t="s">
        <v>925</v>
      </c>
      <c r="K28" s="4"/>
    </row>
    <row r="29" spans="1:11">
      <c r="A29" s="106"/>
      <c r="B29" s="5" t="s">
        <v>63</v>
      </c>
      <c r="C29" s="6"/>
      <c r="D29" s="7" t="s">
        <v>342</v>
      </c>
      <c r="E29" s="7"/>
      <c r="G29" s="8">
        <f>1/ROWS(B29:B33)</f>
        <v>0.2</v>
      </c>
      <c r="H29" s="82" t="s">
        <v>925</v>
      </c>
      <c r="K29" s="4"/>
    </row>
    <row r="30" spans="1:11">
      <c r="A30" s="106"/>
      <c r="B30" s="5" t="s">
        <v>65</v>
      </c>
      <c r="C30" s="6"/>
      <c r="D30" s="7" t="s">
        <v>343</v>
      </c>
      <c r="E30" s="7"/>
      <c r="G30" s="8">
        <f>1/ROWS(B30:B34)</f>
        <v>0.2</v>
      </c>
      <c r="H30" s="82" t="s">
        <v>925</v>
      </c>
      <c r="K30" s="4"/>
    </row>
    <row r="31" spans="1:11">
      <c r="A31" s="106"/>
      <c r="B31" s="5" t="s">
        <v>62</v>
      </c>
      <c r="C31" s="6"/>
      <c r="D31" s="7" t="s">
        <v>344</v>
      </c>
      <c r="E31" s="7"/>
      <c r="G31" s="8">
        <f>1/ROWS(B31:B35)</f>
        <v>0.2</v>
      </c>
      <c r="H31" s="82" t="s">
        <v>925</v>
      </c>
      <c r="K31" s="4"/>
    </row>
    <row r="32" spans="1:11">
      <c r="A32" s="106" t="s">
        <v>7</v>
      </c>
      <c r="B32" s="5" t="s">
        <v>101</v>
      </c>
      <c r="C32" s="6"/>
      <c r="D32" s="7" t="s">
        <v>345</v>
      </c>
      <c r="E32" s="7"/>
      <c r="K32" s="4"/>
    </row>
    <row r="33" spans="1:11">
      <c r="A33" s="106"/>
      <c r="B33" s="5" t="s">
        <v>102</v>
      </c>
      <c r="C33" s="6"/>
      <c r="D33" s="7" t="s">
        <v>346</v>
      </c>
      <c r="E33" s="7"/>
      <c r="K33" s="4"/>
    </row>
    <row r="34" spans="1:11">
      <c r="A34" s="106"/>
      <c r="B34" s="5" t="s">
        <v>103</v>
      </c>
      <c r="C34" s="6" t="s">
        <v>840</v>
      </c>
      <c r="D34" s="7" t="s">
        <v>347</v>
      </c>
      <c r="E34" s="7">
        <v>2500</v>
      </c>
      <c r="F34" s="3">
        <f>SUM($E34:$E34)</f>
        <v>2500</v>
      </c>
      <c r="G34" s="8">
        <f>F34/SUM($F$34:$F$69)</f>
        <v>0.16926201760324983</v>
      </c>
      <c r="K34" s="4"/>
    </row>
    <row r="35" spans="1:11">
      <c r="A35" s="106"/>
      <c r="B35" s="5" t="s">
        <v>100</v>
      </c>
      <c r="C35" s="6"/>
      <c r="D35" s="7" t="s">
        <v>348</v>
      </c>
      <c r="E35" s="7"/>
      <c r="K35" s="4"/>
    </row>
    <row r="36" spans="1:11">
      <c r="A36" s="106"/>
      <c r="B36" s="5" t="s">
        <v>97</v>
      </c>
      <c r="C36" s="25"/>
      <c r="D36" s="7" t="s">
        <v>349</v>
      </c>
      <c r="E36" s="25"/>
      <c r="K36" s="4"/>
    </row>
    <row r="37" spans="1:11">
      <c r="A37" s="106"/>
      <c r="B37" s="5" t="s">
        <v>98</v>
      </c>
      <c r="C37" s="6"/>
      <c r="D37" s="7" t="s">
        <v>350</v>
      </c>
      <c r="E37" s="7"/>
      <c r="K37" s="4"/>
    </row>
    <row r="38" spans="1:11">
      <c r="A38" s="106"/>
      <c r="B38" s="5" t="s">
        <v>95</v>
      </c>
      <c r="C38" s="6"/>
      <c r="D38" s="7" t="s">
        <v>351</v>
      </c>
      <c r="E38" s="7"/>
      <c r="K38" s="4"/>
    </row>
    <row r="39" spans="1:11">
      <c r="A39" s="106"/>
      <c r="B39" s="5" t="s">
        <v>96</v>
      </c>
      <c r="C39" s="6"/>
      <c r="D39" s="7" t="s">
        <v>352</v>
      </c>
      <c r="E39" s="7"/>
      <c r="K39" s="4"/>
    </row>
    <row r="40" spans="1:11">
      <c r="A40" s="106"/>
      <c r="B40" s="5" t="s">
        <v>99</v>
      </c>
      <c r="C40" s="6"/>
      <c r="D40" s="7" t="s">
        <v>353</v>
      </c>
      <c r="E40" s="7"/>
      <c r="K40" s="4"/>
    </row>
    <row r="41" spans="1:11">
      <c r="A41" s="106"/>
      <c r="B41" s="5" t="s">
        <v>93</v>
      </c>
      <c r="C41" s="6"/>
      <c r="D41" s="7" t="s">
        <v>354</v>
      </c>
      <c r="E41" s="7"/>
      <c r="K41" s="4"/>
    </row>
    <row r="42" spans="1:11">
      <c r="A42" s="106"/>
      <c r="B42" s="5" t="s">
        <v>94</v>
      </c>
      <c r="C42" s="6" t="s">
        <v>839</v>
      </c>
      <c r="D42" s="7" t="s">
        <v>355</v>
      </c>
      <c r="E42" s="7">
        <v>1180</v>
      </c>
      <c r="F42" s="3">
        <f>SUM($E42:$E42)</f>
        <v>1180</v>
      </c>
      <c r="G42" s="8">
        <f t="shared" ref="G42:G69" si="2">F42/SUM($F$34:$F$69)</f>
        <v>7.9891672308733924E-2</v>
      </c>
      <c r="K42" s="4"/>
    </row>
    <row r="43" spans="1:11">
      <c r="A43" s="106"/>
      <c r="B43" s="5" t="s">
        <v>92</v>
      </c>
      <c r="C43" s="6"/>
      <c r="D43" s="7" t="s">
        <v>356</v>
      </c>
      <c r="E43" s="7"/>
      <c r="K43" s="4"/>
    </row>
    <row r="44" spans="1:11" ht="45">
      <c r="A44" s="106"/>
      <c r="B44" s="5" t="s">
        <v>91</v>
      </c>
      <c r="C44" s="6" t="s">
        <v>838</v>
      </c>
      <c r="D44" s="7" t="s">
        <v>357</v>
      </c>
      <c r="E44" s="7">
        <f>1800+1000</f>
        <v>2800</v>
      </c>
      <c r="F44" s="3">
        <f>SUM($E44:$E44)</f>
        <v>2800</v>
      </c>
      <c r="G44" s="8">
        <f t="shared" si="2"/>
        <v>0.1895734597156398</v>
      </c>
      <c r="K44" s="4"/>
    </row>
    <row r="45" spans="1:11">
      <c r="A45" s="106"/>
      <c r="B45" s="5" t="s">
        <v>90</v>
      </c>
      <c r="C45" s="6" t="s">
        <v>358</v>
      </c>
      <c r="D45" s="7" t="s">
        <v>358</v>
      </c>
      <c r="E45" s="7"/>
      <c r="F45" s="3">
        <f>SUM($E45:$E45)</f>
        <v>0</v>
      </c>
      <c r="G45" s="8">
        <f t="shared" si="2"/>
        <v>0</v>
      </c>
      <c r="K45" s="4"/>
    </row>
    <row r="46" spans="1:11">
      <c r="A46" s="106"/>
      <c r="B46" s="5" t="s">
        <v>89</v>
      </c>
      <c r="C46" s="6" t="s">
        <v>359</v>
      </c>
      <c r="D46" s="7" t="s">
        <v>359</v>
      </c>
      <c r="E46" s="7">
        <v>1100</v>
      </c>
      <c r="F46" s="3">
        <f>SUM($E46:$E46)</f>
        <v>1100</v>
      </c>
      <c r="G46" s="8">
        <f t="shared" si="2"/>
        <v>7.4475287745429927E-2</v>
      </c>
      <c r="K46" s="4"/>
    </row>
    <row r="47" spans="1:11">
      <c r="A47" s="106"/>
      <c r="B47" s="5" t="s">
        <v>88</v>
      </c>
      <c r="C47" s="6"/>
      <c r="D47" s="7" t="s">
        <v>360</v>
      </c>
      <c r="E47" s="7"/>
      <c r="K47" s="4"/>
    </row>
    <row r="48" spans="1:11">
      <c r="A48" s="106"/>
      <c r="B48" s="5" t="s">
        <v>87</v>
      </c>
      <c r="C48" s="6" t="s">
        <v>801</v>
      </c>
      <c r="D48" s="7" t="s">
        <v>361</v>
      </c>
      <c r="E48" s="7">
        <v>400</v>
      </c>
      <c r="F48" s="3">
        <f>SUM($E48:$E48)</f>
        <v>400</v>
      </c>
      <c r="G48" s="8">
        <f t="shared" si="2"/>
        <v>2.7081922816519974E-2</v>
      </c>
      <c r="K48" s="4"/>
    </row>
    <row r="49" spans="1:11">
      <c r="A49" s="106"/>
      <c r="B49" s="5" t="s">
        <v>86</v>
      </c>
      <c r="C49" s="6"/>
      <c r="D49" s="7" t="s">
        <v>362</v>
      </c>
      <c r="E49" s="7"/>
      <c r="K49" s="4"/>
    </row>
    <row r="50" spans="1:11">
      <c r="A50" s="106"/>
      <c r="B50" s="5" t="s">
        <v>85</v>
      </c>
      <c r="C50" s="6"/>
      <c r="D50" s="7" t="s">
        <v>363</v>
      </c>
      <c r="E50" s="7"/>
      <c r="K50" s="4"/>
    </row>
    <row r="51" spans="1:11" ht="30">
      <c r="A51" s="106"/>
      <c r="B51" s="5" t="s">
        <v>84</v>
      </c>
      <c r="C51" s="6" t="s">
        <v>842</v>
      </c>
      <c r="D51" s="7" t="s">
        <v>364</v>
      </c>
      <c r="E51" s="7">
        <v>1000</v>
      </c>
      <c r="F51" s="3">
        <f>SUM($E51:$E51)</f>
        <v>1000</v>
      </c>
      <c r="G51" s="8">
        <f t="shared" si="2"/>
        <v>6.7704807041299928E-2</v>
      </c>
      <c r="K51" s="4"/>
    </row>
    <row r="52" spans="1:11">
      <c r="A52" s="106"/>
      <c r="B52" s="5" t="s">
        <v>83</v>
      </c>
      <c r="C52" s="6"/>
      <c r="D52" s="7" t="s">
        <v>365</v>
      </c>
      <c r="E52" s="7"/>
      <c r="K52" s="4"/>
    </row>
    <row r="53" spans="1:11">
      <c r="A53" s="106"/>
      <c r="B53" s="5" t="s">
        <v>82</v>
      </c>
      <c r="C53" s="6"/>
      <c r="D53" s="7" t="s">
        <v>366</v>
      </c>
      <c r="E53" s="7"/>
      <c r="K53" s="4"/>
    </row>
    <row r="54" spans="1:11" ht="30">
      <c r="A54" s="106"/>
      <c r="B54" s="5" t="s">
        <v>81</v>
      </c>
      <c r="C54" s="6" t="s">
        <v>841</v>
      </c>
      <c r="D54" s="7" t="s">
        <v>367</v>
      </c>
      <c r="E54" s="7">
        <f>1100+620</f>
        <v>1720</v>
      </c>
      <c r="F54" s="3">
        <f>SUM($E54:$E54)</f>
        <v>1720</v>
      </c>
      <c r="G54" s="8">
        <f t="shared" si="2"/>
        <v>0.11645226811103589</v>
      </c>
      <c r="K54" s="4"/>
    </row>
    <row r="55" spans="1:11">
      <c r="A55" s="106"/>
      <c r="B55" s="5" t="s">
        <v>78</v>
      </c>
      <c r="C55" s="3" t="s">
        <v>812</v>
      </c>
      <c r="D55" s="7" t="s">
        <v>368</v>
      </c>
      <c r="F55" s="3">
        <f>SUM($E55:$E55)</f>
        <v>0</v>
      </c>
      <c r="G55" s="8">
        <f t="shared" si="2"/>
        <v>0</v>
      </c>
      <c r="K55" s="4"/>
    </row>
    <row r="56" spans="1:11">
      <c r="A56" s="106"/>
      <c r="B56" s="5" t="s">
        <v>77</v>
      </c>
      <c r="C56" s="25"/>
      <c r="D56" s="7" t="s">
        <v>369</v>
      </c>
      <c r="E56" s="25"/>
      <c r="K56" s="4"/>
    </row>
    <row r="57" spans="1:11">
      <c r="A57" s="106"/>
      <c r="B57" s="5" t="s">
        <v>76</v>
      </c>
      <c r="C57" s="6"/>
      <c r="D57" s="7" t="s">
        <v>370</v>
      </c>
      <c r="E57" s="7"/>
      <c r="K57" s="4"/>
    </row>
    <row r="58" spans="1:11">
      <c r="A58" s="106"/>
      <c r="B58" s="5" t="s">
        <v>79</v>
      </c>
      <c r="C58" s="6"/>
      <c r="D58" s="7" t="s">
        <v>371</v>
      </c>
      <c r="E58" s="7"/>
      <c r="K58" s="4"/>
    </row>
    <row r="59" spans="1:11" ht="30">
      <c r="A59" s="106"/>
      <c r="B59" s="5" t="s">
        <v>80</v>
      </c>
      <c r="C59" s="6" t="s">
        <v>802</v>
      </c>
      <c r="D59" s="7" t="s">
        <v>372</v>
      </c>
      <c r="E59" s="7">
        <f>600+150+480</f>
        <v>1230</v>
      </c>
      <c r="F59" s="3">
        <f>SUM($E59:$E59)</f>
        <v>1230</v>
      </c>
      <c r="G59" s="8">
        <f t="shared" si="2"/>
        <v>8.327691266079891E-2</v>
      </c>
      <c r="K59" s="4"/>
    </row>
    <row r="60" spans="1:11">
      <c r="A60" s="106"/>
      <c r="B60" s="5" t="s">
        <v>75</v>
      </c>
      <c r="C60" s="6"/>
      <c r="D60" s="7" t="s">
        <v>373</v>
      </c>
      <c r="E60" s="7"/>
      <c r="K60" s="4"/>
    </row>
    <row r="61" spans="1:11">
      <c r="A61" s="106"/>
      <c r="B61" s="5" t="s">
        <v>73</v>
      </c>
      <c r="C61" s="6"/>
      <c r="D61" s="7" t="s">
        <v>374</v>
      </c>
      <c r="E61" s="7"/>
      <c r="K61" s="4"/>
    </row>
    <row r="62" spans="1:11">
      <c r="A62" s="106"/>
      <c r="B62" s="5" t="s">
        <v>74</v>
      </c>
      <c r="D62" s="7" t="s">
        <v>375</v>
      </c>
      <c r="K62" s="4"/>
    </row>
    <row r="63" spans="1:11" ht="45">
      <c r="A63" s="106"/>
      <c r="B63" s="5" t="s">
        <v>72</v>
      </c>
      <c r="C63" s="6" t="s">
        <v>837</v>
      </c>
      <c r="D63" s="7" t="s">
        <v>376</v>
      </c>
      <c r="E63" s="7">
        <f>350+300</f>
        <v>650</v>
      </c>
      <c r="F63" s="3">
        <f>SUM($E63:$E63)</f>
        <v>650</v>
      </c>
      <c r="G63" s="8">
        <f t="shared" si="2"/>
        <v>4.4008124576844956E-2</v>
      </c>
      <c r="K63" s="4"/>
    </row>
    <row r="64" spans="1:11" ht="45">
      <c r="A64" s="106"/>
      <c r="B64" s="5" t="s">
        <v>69</v>
      </c>
      <c r="C64" s="6" t="s">
        <v>843</v>
      </c>
      <c r="D64" s="7" t="s">
        <v>377</v>
      </c>
      <c r="E64" s="3">
        <f>90+100+900</f>
        <v>1090</v>
      </c>
      <c r="F64" s="3">
        <f>SUM($E64:$E64)</f>
        <v>1090</v>
      </c>
      <c r="G64" s="8">
        <f t="shared" si="2"/>
        <v>7.3798239675016933E-2</v>
      </c>
      <c r="K64" s="4"/>
    </row>
    <row r="65" spans="1:11">
      <c r="A65" s="106"/>
      <c r="B65" s="5" t="s">
        <v>70</v>
      </c>
      <c r="C65" s="6"/>
      <c r="D65" s="7" t="s">
        <v>378</v>
      </c>
      <c r="E65" s="7"/>
      <c r="K65" s="4"/>
    </row>
    <row r="66" spans="1:11">
      <c r="A66" s="106"/>
      <c r="B66" s="5" t="s">
        <v>68</v>
      </c>
      <c r="D66" s="7" t="s">
        <v>379</v>
      </c>
      <c r="K66" s="4"/>
    </row>
    <row r="67" spans="1:11">
      <c r="A67" s="106"/>
      <c r="B67" s="5" t="s">
        <v>71</v>
      </c>
      <c r="C67" s="6"/>
      <c r="D67" s="7" t="s">
        <v>380</v>
      </c>
      <c r="E67" s="7"/>
      <c r="K67" s="4"/>
    </row>
    <row r="68" spans="1:11">
      <c r="A68" s="106"/>
      <c r="B68" s="5" t="s">
        <v>67</v>
      </c>
      <c r="D68" s="7" t="s">
        <v>381</v>
      </c>
      <c r="K68" s="4"/>
    </row>
    <row r="69" spans="1:11">
      <c r="A69" s="106"/>
      <c r="B69" s="5" t="s">
        <v>66</v>
      </c>
      <c r="C69" s="6" t="s">
        <v>844</v>
      </c>
      <c r="D69" s="7" t="s">
        <v>382</v>
      </c>
      <c r="E69" s="7">
        <v>1100</v>
      </c>
      <c r="F69" s="3">
        <f>SUM($E69:$E69)</f>
        <v>1100</v>
      </c>
      <c r="G69" s="8">
        <f t="shared" si="2"/>
        <v>7.4475287745429927E-2</v>
      </c>
      <c r="K69" s="4"/>
    </row>
    <row r="70" spans="1:11">
      <c r="A70" s="24" t="s">
        <v>622</v>
      </c>
      <c r="B70" s="5" t="s">
        <v>383</v>
      </c>
      <c r="C70" s="6"/>
      <c r="D70" s="7" t="s">
        <v>384</v>
      </c>
      <c r="E70" s="7"/>
      <c r="G70" s="8">
        <v>1</v>
      </c>
      <c r="H70" s="82" t="s">
        <v>925</v>
      </c>
      <c r="K70" s="4"/>
    </row>
    <row r="71" spans="1:11">
      <c r="A71" s="106" t="s">
        <v>8</v>
      </c>
      <c r="B71" s="5" t="s">
        <v>106</v>
      </c>
      <c r="C71" s="6"/>
      <c r="D71" s="7" t="s">
        <v>385</v>
      </c>
      <c r="E71" s="7"/>
      <c r="G71" s="8">
        <f>1/ROWS(B71:B73)</f>
        <v>0.33333333333333331</v>
      </c>
      <c r="H71" s="82" t="s">
        <v>925</v>
      </c>
      <c r="K71" s="4"/>
    </row>
    <row r="72" spans="1:11">
      <c r="A72" s="106"/>
      <c r="B72" s="5" t="s">
        <v>105</v>
      </c>
      <c r="C72" s="6"/>
      <c r="D72" s="7" t="s">
        <v>386</v>
      </c>
      <c r="E72" s="7"/>
      <c r="G72" s="8">
        <f>1/ROWS(B72:B74)</f>
        <v>0.33333333333333331</v>
      </c>
      <c r="H72" s="82" t="s">
        <v>925</v>
      </c>
      <c r="K72" s="4"/>
    </row>
    <row r="73" spans="1:11">
      <c r="A73" s="106"/>
      <c r="B73" s="5" t="s">
        <v>104</v>
      </c>
      <c r="C73" s="6"/>
      <c r="D73" s="7" t="s">
        <v>387</v>
      </c>
      <c r="E73" s="7"/>
      <c r="G73" s="8">
        <f>1/ROWS(B73:B75)</f>
        <v>0.33333333333333331</v>
      </c>
      <c r="H73" s="82" t="s">
        <v>925</v>
      </c>
      <c r="K73" s="4"/>
    </row>
    <row r="74" spans="1:11" ht="30">
      <c r="A74" s="106" t="s">
        <v>9</v>
      </c>
      <c r="B74" s="5" t="s">
        <v>114</v>
      </c>
      <c r="C74" s="6" t="s">
        <v>847</v>
      </c>
      <c r="D74" s="7" t="s">
        <v>388</v>
      </c>
      <c r="E74" s="7">
        <f>400+800</f>
        <v>1200</v>
      </c>
      <c r="F74" s="3">
        <f>SUM($E74:$E74)</f>
        <v>1200</v>
      </c>
      <c r="G74" s="8">
        <f>F74/SUM($F$74:$F$82)</f>
        <v>0.34782608695652173</v>
      </c>
      <c r="K74" s="4"/>
    </row>
    <row r="75" spans="1:11">
      <c r="A75" s="106"/>
      <c r="B75" s="5" t="s">
        <v>389</v>
      </c>
      <c r="C75" s="6"/>
      <c r="D75" s="7" t="s">
        <v>390</v>
      </c>
      <c r="E75" s="7"/>
      <c r="K75" s="4"/>
    </row>
    <row r="76" spans="1:11">
      <c r="A76" s="106"/>
      <c r="B76" s="5" t="s">
        <v>391</v>
      </c>
      <c r="C76" s="6"/>
      <c r="D76" s="7" t="s">
        <v>392</v>
      </c>
      <c r="E76" s="7"/>
    </row>
    <row r="77" spans="1:11">
      <c r="A77" s="106"/>
      <c r="B77" s="5" t="s">
        <v>393</v>
      </c>
      <c r="C77" s="6"/>
      <c r="D77" s="7" t="s">
        <v>394</v>
      </c>
      <c r="E77" s="7"/>
    </row>
    <row r="78" spans="1:11">
      <c r="A78" s="106"/>
      <c r="B78" s="5" t="s">
        <v>115</v>
      </c>
      <c r="C78" s="6"/>
      <c r="D78" s="7" t="s">
        <v>395</v>
      </c>
      <c r="E78" s="7"/>
    </row>
    <row r="79" spans="1:11">
      <c r="A79" s="106"/>
      <c r="B79" s="5" t="s">
        <v>110</v>
      </c>
      <c r="C79" s="6" t="s">
        <v>771</v>
      </c>
      <c r="D79" s="7" t="s">
        <v>396</v>
      </c>
      <c r="E79" s="7">
        <v>600</v>
      </c>
      <c r="F79" s="3">
        <f>SUM($E79:$E79)</f>
        <v>600</v>
      </c>
      <c r="G79" s="8">
        <f t="shared" ref="G79:G82" si="3">F79/SUM($F$74:$F$82)</f>
        <v>0.17391304347826086</v>
      </c>
    </row>
    <row r="80" spans="1:11">
      <c r="A80" s="106"/>
      <c r="B80" s="5" t="s">
        <v>112</v>
      </c>
      <c r="C80" s="6"/>
      <c r="D80" s="7" t="s">
        <v>397</v>
      </c>
      <c r="E80" s="7"/>
    </row>
    <row r="81" spans="1:7">
      <c r="A81" s="106"/>
      <c r="B81" s="5" t="s">
        <v>111</v>
      </c>
      <c r="C81" s="6"/>
      <c r="D81" s="7" t="s">
        <v>398</v>
      </c>
      <c r="E81" s="7"/>
    </row>
    <row r="82" spans="1:7" ht="30">
      <c r="A82" s="106"/>
      <c r="B82" s="5" t="s">
        <v>107</v>
      </c>
      <c r="C82" s="6" t="s">
        <v>848</v>
      </c>
      <c r="D82" s="7" t="s">
        <v>399</v>
      </c>
      <c r="E82" s="7">
        <f>1200+450</f>
        <v>1650</v>
      </c>
      <c r="F82" s="3">
        <f>SUM($E82:$E82)</f>
        <v>1650</v>
      </c>
      <c r="G82" s="8">
        <f t="shared" si="3"/>
        <v>0.47826086956521741</v>
      </c>
    </row>
    <row r="83" spans="1:7">
      <c r="A83" s="106"/>
      <c r="B83" s="5" t="s">
        <v>400</v>
      </c>
      <c r="C83" s="6"/>
      <c r="D83" s="7" t="s">
        <v>401</v>
      </c>
      <c r="E83" s="7"/>
    </row>
    <row r="84" spans="1:7">
      <c r="A84" s="106"/>
      <c r="B84" s="5" t="s">
        <v>113</v>
      </c>
      <c r="C84" s="6"/>
      <c r="D84" s="7" t="s">
        <v>402</v>
      </c>
      <c r="E84" s="7"/>
    </row>
    <row r="85" spans="1:7">
      <c r="A85" s="106"/>
      <c r="B85" s="5" t="s">
        <v>108</v>
      </c>
      <c r="C85" s="6"/>
      <c r="D85" s="7" t="s">
        <v>403</v>
      </c>
      <c r="E85" s="7"/>
    </row>
    <row r="86" spans="1:7">
      <c r="A86" s="106"/>
      <c r="B86" s="5" t="s">
        <v>109</v>
      </c>
      <c r="C86" s="6"/>
      <c r="D86" s="7" t="s">
        <v>404</v>
      </c>
      <c r="E86" s="7"/>
    </row>
    <row r="87" spans="1:7">
      <c r="A87" s="106" t="s">
        <v>10</v>
      </c>
      <c r="B87" s="5" t="s">
        <v>120</v>
      </c>
      <c r="C87" s="6" t="s">
        <v>867</v>
      </c>
      <c r="D87" s="7" t="s">
        <v>405</v>
      </c>
      <c r="E87" s="7">
        <v>700</v>
      </c>
      <c r="F87" s="3">
        <f>SUM($E87:$E87)</f>
        <v>700</v>
      </c>
      <c r="G87" s="8">
        <f>F87/SUM($F$87:$F$105)</f>
        <v>4.0887850467289717E-2</v>
      </c>
    </row>
    <row r="88" spans="1:7" ht="30">
      <c r="A88" s="106"/>
      <c r="B88" s="5" t="s">
        <v>117</v>
      </c>
      <c r="C88" s="6" t="s">
        <v>819</v>
      </c>
      <c r="D88" s="7" t="s">
        <v>406</v>
      </c>
      <c r="E88" s="7"/>
      <c r="F88" s="3">
        <f>SUM($E88:$E88)</f>
        <v>0</v>
      </c>
      <c r="G88" s="8">
        <f t="shared" ref="G88:G101" si="4">F88/SUM($F$87:$F$105)</f>
        <v>0</v>
      </c>
    </row>
    <row r="89" spans="1:7" ht="30">
      <c r="A89" s="106"/>
      <c r="B89" s="5" t="s">
        <v>128</v>
      </c>
      <c r="C89" s="6" t="s">
        <v>868</v>
      </c>
      <c r="D89" s="7" t="s">
        <v>407</v>
      </c>
      <c r="E89" s="7">
        <f>240+750</f>
        <v>990</v>
      </c>
      <c r="F89" s="3">
        <f>SUM($E89:$E89)</f>
        <v>990</v>
      </c>
      <c r="G89" s="8">
        <f t="shared" si="4"/>
        <v>5.7827102803738317E-2</v>
      </c>
    </row>
    <row r="90" spans="1:7" ht="120">
      <c r="A90" s="106"/>
      <c r="B90" s="5" t="s">
        <v>118</v>
      </c>
      <c r="C90" s="6" t="s">
        <v>869</v>
      </c>
      <c r="D90" s="7" t="s">
        <v>408</v>
      </c>
      <c r="E90" s="7">
        <f>150+360+800+740+1100+400+130+2450+2000</f>
        <v>8130</v>
      </c>
      <c r="F90" s="3">
        <f>SUM($E90:$E90)</f>
        <v>8130</v>
      </c>
      <c r="G90" s="8">
        <f t="shared" si="4"/>
        <v>0.47488317757009346</v>
      </c>
    </row>
    <row r="91" spans="1:7">
      <c r="A91" s="106"/>
      <c r="B91" s="5" t="s">
        <v>123</v>
      </c>
      <c r="C91" s="6"/>
      <c r="D91" s="7" t="s">
        <v>409</v>
      </c>
      <c r="E91" s="7"/>
    </row>
    <row r="92" spans="1:7">
      <c r="A92" s="106"/>
      <c r="B92" s="5" t="s">
        <v>119</v>
      </c>
      <c r="C92" s="6"/>
      <c r="D92" s="7" t="s">
        <v>410</v>
      </c>
      <c r="E92" s="7"/>
    </row>
    <row r="93" spans="1:7">
      <c r="A93" s="106"/>
      <c r="B93" s="5" t="s">
        <v>129</v>
      </c>
      <c r="C93" s="6" t="s">
        <v>871</v>
      </c>
      <c r="D93" s="7" t="s">
        <v>411</v>
      </c>
      <c r="E93" s="7">
        <v>500</v>
      </c>
      <c r="F93" s="3">
        <f>SUM($E93:$E93)</f>
        <v>500</v>
      </c>
      <c r="G93" s="8">
        <f t="shared" si="4"/>
        <v>2.9205607476635514E-2</v>
      </c>
    </row>
    <row r="94" spans="1:7">
      <c r="A94" s="106"/>
      <c r="B94" s="5" t="s">
        <v>124</v>
      </c>
      <c r="C94" s="6" t="s">
        <v>866</v>
      </c>
      <c r="D94" s="7" t="s">
        <v>412</v>
      </c>
      <c r="E94" s="7">
        <v>600</v>
      </c>
      <c r="F94" s="3">
        <f>SUM($E94:$E94)</f>
        <v>600</v>
      </c>
      <c r="G94" s="8">
        <f t="shared" si="4"/>
        <v>3.5046728971962614E-2</v>
      </c>
    </row>
    <row r="95" spans="1:7">
      <c r="A95" s="106"/>
      <c r="B95" s="5" t="s">
        <v>126</v>
      </c>
      <c r="C95" s="6"/>
      <c r="D95" s="7" t="s">
        <v>413</v>
      </c>
      <c r="E95" s="7"/>
    </row>
    <row r="96" spans="1:7">
      <c r="A96" s="106"/>
      <c r="B96" s="5" t="s">
        <v>127</v>
      </c>
      <c r="C96" s="6"/>
      <c r="D96" s="7" t="s">
        <v>414</v>
      </c>
      <c r="E96" s="7"/>
    </row>
    <row r="97" spans="1:7">
      <c r="A97" s="106"/>
      <c r="B97" s="5" t="s">
        <v>121</v>
      </c>
      <c r="C97" s="6"/>
      <c r="D97" s="7" t="s">
        <v>415</v>
      </c>
      <c r="E97" s="7"/>
    </row>
    <row r="98" spans="1:7">
      <c r="A98" s="106"/>
      <c r="B98" s="5" t="s">
        <v>125</v>
      </c>
      <c r="C98" s="6" t="s">
        <v>865</v>
      </c>
      <c r="D98" s="7" t="s">
        <v>416</v>
      </c>
      <c r="E98" s="7">
        <v>2400</v>
      </c>
      <c r="F98" s="3">
        <f>SUM($E98:$E98)</f>
        <v>2400</v>
      </c>
      <c r="G98" s="8">
        <f t="shared" si="4"/>
        <v>0.14018691588785046</v>
      </c>
    </row>
    <row r="99" spans="1:7">
      <c r="A99" s="106"/>
      <c r="B99" s="5" t="s">
        <v>122</v>
      </c>
      <c r="C99" s="6"/>
      <c r="D99" s="7" t="s">
        <v>417</v>
      </c>
      <c r="E99" s="7"/>
    </row>
    <row r="100" spans="1:7">
      <c r="A100" s="106"/>
      <c r="B100" s="5" t="s">
        <v>418</v>
      </c>
      <c r="C100" s="6"/>
      <c r="D100" s="7" t="s">
        <v>419</v>
      </c>
      <c r="E100" s="7"/>
    </row>
    <row r="101" spans="1:7" ht="45">
      <c r="A101" s="106"/>
      <c r="B101" s="5" t="s">
        <v>130</v>
      </c>
      <c r="C101" s="6" t="s">
        <v>870</v>
      </c>
      <c r="D101" s="7" t="s">
        <v>420</v>
      </c>
      <c r="E101" s="7">
        <f>1300+1200+1300</f>
        <v>3800</v>
      </c>
      <c r="F101" s="3">
        <f>SUM($E101:$E101)</f>
        <v>3800</v>
      </c>
      <c r="G101" s="8">
        <f t="shared" si="4"/>
        <v>0.2219626168224299</v>
      </c>
    </row>
    <row r="102" spans="1:7">
      <c r="A102" s="106"/>
      <c r="B102" s="5" t="s">
        <v>116</v>
      </c>
      <c r="C102" s="6"/>
      <c r="D102" s="7" t="s">
        <v>421</v>
      </c>
      <c r="E102" s="7"/>
    </row>
    <row r="103" spans="1:7">
      <c r="A103" s="106"/>
      <c r="B103" s="5" t="s">
        <v>422</v>
      </c>
      <c r="C103" s="6"/>
      <c r="D103" s="7" t="s">
        <v>423</v>
      </c>
      <c r="E103" s="7"/>
    </row>
    <row r="104" spans="1:7">
      <c r="A104" s="106"/>
      <c r="B104" s="5" t="s">
        <v>424</v>
      </c>
      <c r="C104" s="6"/>
      <c r="D104" s="7" t="s">
        <v>425</v>
      </c>
      <c r="E104" s="7"/>
    </row>
    <row r="105" spans="1:7">
      <c r="A105" s="106"/>
      <c r="B105" s="5" t="s">
        <v>426</v>
      </c>
      <c r="C105" s="6"/>
      <c r="D105" s="7" t="s">
        <v>427</v>
      </c>
      <c r="E105" s="7"/>
    </row>
    <row r="106" spans="1:7" ht="45">
      <c r="A106" s="106" t="s">
        <v>11</v>
      </c>
      <c r="B106" s="5" t="s">
        <v>132</v>
      </c>
      <c r="C106" s="6" t="s">
        <v>833</v>
      </c>
      <c r="D106" s="7" t="s">
        <v>428</v>
      </c>
      <c r="E106" s="7">
        <f>550+700+720</f>
        <v>1970</v>
      </c>
      <c r="F106" s="3">
        <f>SUM($E106:$E106)</f>
        <v>1970</v>
      </c>
      <c r="G106" s="8">
        <f>F106/SUM($F$106:$F$132)</f>
        <v>0.2802275960170697</v>
      </c>
    </row>
    <row r="107" spans="1:7">
      <c r="A107" s="106"/>
      <c r="B107" s="5" t="s">
        <v>143</v>
      </c>
      <c r="C107" s="6"/>
      <c r="D107" s="7" t="s">
        <v>429</v>
      </c>
      <c r="E107" s="7"/>
    </row>
    <row r="108" spans="1:7" ht="30">
      <c r="A108" s="106"/>
      <c r="B108" s="5" t="s">
        <v>141</v>
      </c>
      <c r="C108" s="6" t="s">
        <v>800</v>
      </c>
      <c r="D108" s="7" t="s">
        <v>430</v>
      </c>
      <c r="E108" s="7">
        <f>90+150</f>
        <v>240</v>
      </c>
      <c r="F108" s="3">
        <f>SUM($E108:$E108)</f>
        <v>240</v>
      </c>
      <c r="G108" s="8">
        <f t="shared" ref="G108:G126" si="5">F108/SUM($F$106:$F$132)</f>
        <v>3.4139402560455195E-2</v>
      </c>
    </row>
    <row r="109" spans="1:7">
      <c r="A109" s="106"/>
      <c r="B109" s="5" t="s">
        <v>138</v>
      </c>
      <c r="D109" s="7" t="s">
        <v>431</v>
      </c>
      <c r="E109" s="7"/>
    </row>
    <row r="110" spans="1:7">
      <c r="A110" s="106"/>
      <c r="B110" s="10" t="s">
        <v>145</v>
      </c>
      <c r="C110" s="7"/>
      <c r="D110" s="11" t="s">
        <v>432</v>
      </c>
      <c r="E110" s="11"/>
    </row>
    <row r="111" spans="1:7">
      <c r="A111" s="106"/>
      <c r="B111" s="10" t="s">
        <v>137</v>
      </c>
      <c r="C111" s="25"/>
      <c r="D111" s="11" t="s">
        <v>433</v>
      </c>
      <c r="E111" s="11"/>
    </row>
    <row r="112" spans="1:7" ht="45">
      <c r="A112" s="106"/>
      <c r="B112" s="5" t="s">
        <v>134</v>
      </c>
      <c r="C112" s="25" t="s">
        <v>835</v>
      </c>
      <c r="D112" s="7" t="s">
        <v>434</v>
      </c>
      <c r="E112" s="7">
        <f>730+800</f>
        <v>1530</v>
      </c>
      <c r="F112" s="3">
        <f>SUM($E112:$E112)</f>
        <v>1530</v>
      </c>
      <c r="G112" s="8">
        <f t="shared" si="5"/>
        <v>0.21763869132290184</v>
      </c>
    </row>
    <row r="113" spans="1:7">
      <c r="A113" s="106"/>
      <c r="B113" s="5" t="s">
        <v>151</v>
      </c>
      <c r="C113" s="41"/>
      <c r="D113" s="7" t="s">
        <v>435</v>
      </c>
      <c r="E113" s="7"/>
    </row>
    <row r="114" spans="1:7">
      <c r="A114" s="106"/>
      <c r="B114" s="5" t="s">
        <v>133</v>
      </c>
      <c r="C114" s="6"/>
      <c r="D114" s="7" t="s">
        <v>436</v>
      </c>
      <c r="E114" s="7"/>
    </row>
    <row r="115" spans="1:7">
      <c r="A115" s="106"/>
      <c r="B115" s="5" t="s">
        <v>148</v>
      </c>
      <c r="C115" s="6"/>
      <c r="D115" s="7" t="s">
        <v>437</v>
      </c>
      <c r="E115" s="7"/>
    </row>
    <row r="116" spans="1:7" ht="30">
      <c r="A116" s="106"/>
      <c r="B116" s="5" t="s">
        <v>135</v>
      </c>
      <c r="C116" s="6" t="s">
        <v>834</v>
      </c>
      <c r="D116" s="7" t="s">
        <v>438</v>
      </c>
      <c r="E116" s="7">
        <f>460+800</f>
        <v>1260</v>
      </c>
      <c r="F116" s="3">
        <f>SUM($E116:$E116)</f>
        <v>1260</v>
      </c>
      <c r="G116" s="8">
        <f t="shared" si="5"/>
        <v>0.17923186344238975</v>
      </c>
    </row>
    <row r="117" spans="1:7">
      <c r="A117" s="106"/>
      <c r="B117" s="5" t="s">
        <v>136</v>
      </c>
      <c r="C117" s="6"/>
      <c r="D117" s="7" t="s">
        <v>439</v>
      </c>
      <c r="E117" s="7"/>
    </row>
    <row r="118" spans="1:7">
      <c r="A118" s="106"/>
      <c r="B118" s="5" t="s">
        <v>140</v>
      </c>
      <c r="C118" s="6"/>
      <c r="D118" s="7" t="s">
        <v>440</v>
      </c>
      <c r="E118" s="7"/>
    </row>
    <row r="119" spans="1:7">
      <c r="A119" s="106"/>
      <c r="B119" s="5" t="s">
        <v>139</v>
      </c>
      <c r="C119" s="6" t="s">
        <v>832</v>
      </c>
      <c r="D119" s="7" t="s">
        <v>441</v>
      </c>
      <c r="E119" s="7">
        <v>1200</v>
      </c>
      <c r="F119" s="3">
        <f>SUM($E119:$E119)</f>
        <v>1200</v>
      </c>
      <c r="G119" s="8">
        <f t="shared" si="5"/>
        <v>0.17069701280227595</v>
      </c>
    </row>
    <row r="120" spans="1:7">
      <c r="A120" s="106"/>
      <c r="B120" s="5" t="s">
        <v>142</v>
      </c>
      <c r="C120" s="6"/>
      <c r="D120" s="7" t="s">
        <v>442</v>
      </c>
      <c r="E120" s="7"/>
    </row>
    <row r="121" spans="1:7">
      <c r="A121" s="106"/>
      <c r="B121" s="5" t="s">
        <v>144</v>
      </c>
      <c r="C121" s="6"/>
      <c r="D121" s="7" t="s">
        <v>443</v>
      </c>
      <c r="E121" s="7"/>
    </row>
    <row r="122" spans="1:7">
      <c r="A122" s="106"/>
      <c r="B122" s="5" t="s">
        <v>146</v>
      </c>
      <c r="C122" s="6"/>
      <c r="D122" s="7" t="s">
        <v>444</v>
      </c>
      <c r="E122" s="7"/>
    </row>
    <row r="123" spans="1:7">
      <c r="A123" s="106"/>
      <c r="B123" s="5" t="s">
        <v>147</v>
      </c>
      <c r="C123" s="6"/>
      <c r="D123" s="7" t="s">
        <v>445</v>
      </c>
      <c r="E123" s="7"/>
    </row>
    <row r="124" spans="1:7">
      <c r="A124" s="106"/>
      <c r="B124" s="5" t="s">
        <v>150</v>
      </c>
      <c r="C124" s="6"/>
      <c r="D124" s="7" t="s">
        <v>446</v>
      </c>
      <c r="E124" s="7"/>
    </row>
    <row r="125" spans="1:7" ht="30">
      <c r="A125" s="106"/>
      <c r="B125" s="5" t="s">
        <v>152</v>
      </c>
      <c r="C125" s="6" t="s">
        <v>836</v>
      </c>
      <c r="D125" s="7" t="s">
        <v>447</v>
      </c>
      <c r="E125" s="7">
        <f>100+250</f>
        <v>350</v>
      </c>
      <c r="F125" s="3">
        <f>SUM($E125:$E125)</f>
        <v>350</v>
      </c>
      <c r="G125" s="8">
        <f t="shared" si="5"/>
        <v>4.9786628733997154E-2</v>
      </c>
    </row>
    <row r="126" spans="1:7">
      <c r="A126" s="106"/>
      <c r="B126" s="5" t="s">
        <v>149</v>
      </c>
      <c r="C126" s="6" t="s">
        <v>811</v>
      </c>
      <c r="D126" s="7" t="s">
        <v>448</v>
      </c>
      <c r="E126" s="7">
        <v>480</v>
      </c>
      <c r="F126" s="3">
        <f>SUM($E126:$E126)</f>
        <v>480</v>
      </c>
      <c r="G126" s="8">
        <f t="shared" si="5"/>
        <v>6.8278805120910391E-2</v>
      </c>
    </row>
    <row r="127" spans="1:7">
      <c r="A127" s="106"/>
      <c r="B127" s="5" t="s">
        <v>131</v>
      </c>
      <c r="C127" s="6"/>
      <c r="D127" s="7" t="s">
        <v>449</v>
      </c>
      <c r="E127" s="7"/>
    </row>
    <row r="128" spans="1:7">
      <c r="A128" s="106"/>
      <c r="B128" s="5" t="s">
        <v>450</v>
      </c>
      <c r="C128" s="6"/>
      <c r="D128" s="7" t="s">
        <v>451</v>
      </c>
      <c r="E128" s="7"/>
    </row>
    <row r="129" spans="1:7">
      <c r="A129" s="106"/>
      <c r="B129" s="5" t="s">
        <v>452</v>
      </c>
      <c r="C129" s="6"/>
      <c r="D129" s="7" t="s">
        <v>453</v>
      </c>
      <c r="E129" s="7"/>
    </row>
    <row r="130" spans="1:7">
      <c r="A130" s="106"/>
      <c r="B130" s="5" t="s">
        <v>454</v>
      </c>
      <c r="C130" s="6"/>
      <c r="D130" s="7" t="s">
        <v>455</v>
      </c>
      <c r="E130" s="7"/>
    </row>
    <row r="131" spans="1:7">
      <c r="A131" s="106"/>
      <c r="B131" s="5" t="s">
        <v>456</v>
      </c>
      <c r="C131" s="6"/>
      <c r="D131" s="7" t="s">
        <v>457</v>
      </c>
      <c r="E131" s="7"/>
    </row>
    <row r="132" spans="1:7">
      <c r="A132" s="106"/>
      <c r="B132" s="5" t="s">
        <v>458</v>
      </c>
      <c r="C132" s="6"/>
      <c r="D132" s="7" t="s">
        <v>459</v>
      </c>
      <c r="E132" s="7"/>
    </row>
    <row r="133" spans="1:7">
      <c r="A133" s="106" t="s">
        <v>12</v>
      </c>
      <c r="B133" s="11" t="s">
        <v>460</v>
      </c>
      <c r="C133" s="7" t="s">
        <v>826</v>
      </c>
      <c r="D133" s="11" t="s">
        <v>461</v>
      </c>
      <c r="E133" s="11">
        <v>350</v>
      </c>
      <c r="F133" s="3">
        <f>SUM($E133:$E133)</f>
        <v>350</v>
      </c>
      <c r="G133" s="8">
        <f>F133/SUM($F$133:$F$134)</f>
        <v>0.65420560747663548</v>
      </c>
    </row>
    <row r="134" spans="1:7">
      <c r="A134" s="106"/>
      <c r="B134" s="5" t="s">
        <v>154</v>
      </c>
      <c r="C134" s="6" t="s">
        <v>827</v>
      </c>
      <c r="D134" s="7" t="s">
        <v>462</v>
      </c>
      <c r="E134" s="7">
        <v>185</v>
      </c>
      <c r="F134" s="3">
        <f>SUM($E134:$E134)</f>
        <v>185</v>
      </c>
      <c r="G134" s="8">
        <f>F134/SUM($F$133:$F$134)</f>
        <v>0.34579439252336447</v>
      </c>
    </row>
    <row r="135" spans="1:7">
      <c r="A135" s="106"/>
      <c r="B135" s="5" t="s">
        <v>153</v>
      </c>
      <c r="C135" s="6"/>
      <c r="D135" s="7"/>
      <c r="E135" s="7">
        <f>E133+E136+E137</f>
        <v>350</v>
      </c>
      <c r="F135" s="7">
        <f t="shared" ref="F135:G135" si="6">F133+F136+F137</f>
        <v>350</v>
      </c>
      <c r="G135" s="91">
        <f t="shared" si="6"/>
        <v>0.65420560747663548</v>
      </c>
    </row>
    <row r="136" spans="1:7">
      <c r="A136" s="106"/>
      <c r="B136" s="5" t="s">
        <v>463</v>
      </c>
      <c r="C136" s="6"/>
      <c r="D136" s="7" t="s">
        <v>464</v>
      </c>
      <c r="E136" s="7"/>
    </row>
    <row r="137" spans="1:7">
      <c r="A137" s="106"/>
      <c r="B137" s="5" t="s">
        <v>465</v>
      </c>
      <c r="C137" s="6"/>
      <c r="D137" s="7" t="s">
        <v>466</v>
      </c>
      <c r="E137" s="7"/>
    </row>
    <row r="138" spans="1:7">
      <c r="A138" s="106" t="s">
        <v>13</v>
      </c>
      <c r="B138" s="5" t="s">
        <v>163</v>
      </c>
      <c r="C138" s="6" t="s">
        <v>851</v>
      </c>
      <c r="D138" s="7" t="s">
        <v>467</v>
      </c>
      <c r="E138" s="7">
        <v>600</v>
      </c>
      <c r="F138" s="3">
        <f>SUM($E138:$E138)</f>
        <v>600</v>
      </c>
      <c r="G138" s="8">
        <f>F138/SUM($F$138:$F$156)</f>
        <v>2.664298401420959E-2</v>
      </c>
    </row>
    <row r="139" spans="1:7">
      <c r="A139" s="106"/>
      <c r="B139" s="5" t="s">
        <v>156</v>
      </c>
      <c r="C139" s="6" t="s">
        <v>803</v>
      </c>
      <c r="D139" s="7" t="s">
        <v>468</v>
      </c>
      <c r="E139" s="7">
        <v>260</v>
      </c>
      <c r="F139" s="3">
        <f>SUM($E139:$E139)</f>
        <v>260</v>
      </c>
      <c r="G139" s="8">
        <f t="shared" ref="G139:G156" si="7">F139/SUM($F$138:$F$156)</f>
        <v>1.1545293072824156E-2</v>
      </c>
    </row>
    <row r="140" spans="1:7">
      <c r="A140" s="106"/>
      <c r="B140" s="5" t="s">
        <v>167</v>
      </c>
      <c r="C140" s="6"/>
      <c r="D140" s="7" t="s">
        <v>469</v>
      </c>
      <c r="E140" s="7"/>
    </row>
    <row r="141" spans="1:7" ht="180">
      <c r="A141" s="106"/>
      <c r="B141" s="5" t="s">
        <v>166</v>
      </c>
      <c r="C141" s="6" t="s">
        <v>852</v>
      </c>
      <c r="D141" s="7" t="s">
        <v>470</v>
      </c>
      <c r="E141" s="7">
        <f>100+1200+650+780+250+3850+700+1100+600+150+900+150+800+540</f>
        <v>11770</v>
      </c>
      <c r="F141" s="3">
        <f>SUM($E141:$E141)</f>
        <v>11770</v>
      </c>
      <c r="G141" s="8">
        <f t="shared" si="7"/>
        <v>0.52264653641207814</v>
      </c>
    </row>
    <row r="142" spans="1:7">
      <c r="A142" s="106"/>
      <c r="B142" s="5" t="s">
        <v>175</v>
      </c>
      <c r="C142" s="6"/>
      <c r="D142" s="7" t="s">
        <v>471</v>
      </c>
      <c r="E142" s="7"/>
    </row>
    <row r="143" spans="1:7">
      <c r="A143" s="106"/>
      <c r="B143" s="5" t="s">
        <v>164</v>
      </c>
      <c r="C143" s="6"/>
      <c r="D143" s="7" t="s">
        <v>472</v>
      </c>
      <c r="E143" s="7"/>
    </row>
    <row r="144" spans="1:7">
      <c r="A144" s="106"/>
      <c r="B144" s="5" t="s">
        <v>171</v>
      </c>
      <c r="C144" s="6"/>
      <c r="D144" s="7" t="s">
        <v>473</v>
      </c>
      <c r="E144" s="7"/>
    </row>
    <row r="145" spans="1:8">
      <c r="A145" s="106"/>
      <c r="B145" s="5" t="s">
        <v>174</v>
      </c>
      <c r="C145" s="3" t="s">
        <v>814</v>
      </c>
      <c r="D145" s="7" t="s">
        <v>474</v>
      </c>
      <c r="E145" s="7"/>
      <c r="F145" s="3">
        <f>SUM($E145:$E145)</f>
        <v>0</v>
      </c>
      <c r="G145" s="8">
        <f t="shared" si="7"/>
        <v>0</v>
      </c>
    </row>
    <row r="146" spans="1:8">
      <c r="A146" s="106"/>
      <c r="B146" s="5" t="s">
        <v>173</v>
      </c>
      <c r="C146" s="6"/>
      <c r="D146" s="7" t="s">
        <v>475</v>
      </c>
      <c r="E146" s="7"/>
    </row>
    <row r="147" spans="1:8">
      <c r="A147" s="106"/>
      <c r="B147" s="5" t="s">
        <v>172</v>
      </c>
      <c r="C147" s="6"/>
      <c r="D147" s="7" t="s">
        <v>476</v>
      </c>
      <c r="E147" s="7"/>
    </row>
    <row r="148" spans="1:8">
      <c r="A148" s="106"/>
      <c r="B148" s="5" t="s">
        <v>161</v>
      </c>
      <c r="C148" s="3" t="s">
        <v>850</v>
      </c>
      <c r="D148" s="7" t="s">
        <v>477</v>
      </c>
      <c r="E148" s="7">
        <v>500</v>
      </c>
      <c r="F148" s="3">
        <f>SUM($E148:$E148)</f>
        <v>500</v>
      </c>
      <c r="G148" s="8">
        <f t="shared" si="7"/>
        <v>2.2202486678507993E-2</v>
      </c>
    </row>
    <row r="149" spans="1:8">
      <c r="A149" s="106"/>
      <c r="B149" s="5" t="s">
        <v>162</v>
      </c>
      <c r="C149" s="6"/>
      <c r="D149" s="7" t="s">
        <v>478</v>
      </c>
      <c r="E149" s="7"/>
      <c r="G149" s="8">
        <f t="shared" si="7"/>
        <v>0</v>
      </c>
    </row>
    <row r="150" spans="1:8" ht="30">
      <c r="A150" s="106"/>
      <c r="B150" s="5" t="s">
        <v>158</v>
      </c>
      <c r="C150" s="6" t="s">
        <v>804</v>
      </c>
      <c r="D150" s="7" t="s">
        <v>479</v>
      </c>
      <c r="E150" s="7">
        <v>200</v>
      </c>
      <c r="F150" s="3">
        <f>SUM($E150:$E150)</f>
        <v>200</v>
      </c>
      <c r="G150" s="8">
        <f t="shared" si="7"/>
        <v>8.8809946714031966E-3</v>
      </c>
    </row>
    <row r="151" spans="1:8">
      <c r="A151" s="106"/>
      <c r="B151" s="5" t="s">
        <v>159</v>
      </c>
      <c r="C151" s="6" t="s">
        <v>849</v>
      </c>
      <c r="D151" s="7" t="s">
        <v>480</v>
      </c>
      <c r="E151" s="7">
        <v>600</v>
      </c>
      <c r="F151" s="3">
        <f>SUM($E151:$E151)</f>
        <v>600</v>
      </c>
      <c r="G151" s="8">
        <f t="shared" si="7"/>
        <v>2.664298401420959E-2</v>
      </c>
    </row>
    <row r="152" spans="1:8" ht="75">
      <c r="A152" s="106"/>
      <c r="B152" s="5" t="s">
        <v>155</v>
      </c>
      <c r="C152" s="25" t="s">
        <v>853</v>
      </c>
      <c r="D152" s="7" t="s">
        <v>481</v>
      </c>
      <c r="E152" s="7">
        <f>600+2200+450+1250+170+1200</f>
        <v>5870</v>
      </c>
      <c r="F152" s="3">
        <f>SUM($E152:$E152)</f>
        <v>5870</v>
      </c>
      <c r="G152" s="8">
        <f t="shared" si="7"/>
        <v>0.26065719360568385</v>
      </c>
    </row>
    <row r="153" spans="1:8">
      <c r="A153" s="106"/>
      <c r="B153" s="5" t="s">
        <v>169</v>
      </c>
      <c r="C153" s="6" t="s">
        <v>806</v>
      </c>
      <c r="D153" s="7" t="s">
        <v>482</v>
      </c>
      <c r="E153" s="7">
        <f>500+770</f>
        <v>1270</v>
      </c>
      <c r="F153" s="3">
        <f>SUM($E153:$E153)</f>
        <v>1270</v>
      </c>
      <c r="G153" s="8">
        <f t="shared" si="7"/>
        <v>5.6394316163410299E-2</v>
      </c>
    </row>
    <row r="154" spans="1:8">
      <c r="A154" s="106"/>
      <c r="B154" s="5" t="s">
        <v>170</v>
      </c>
      <c r="C154" s="6"/>
      <c r="D154" s="7" t="s">
        <v>483</v>
      </c>
      <c r="E154" s="7"/>
    </row>
    <row r="155" spans="1:8">
      <c r="A155" s="106"/>
      <c r="B155" s="5" t="s">
        <v>160</v>
      </c>
      <c r="C155" s="6"/>
      <c r="D155" s="7" t="s">
        <v>484</v>
      </c>
      <c r="E155" s="7"/>
    </row>
    <row r="156" spans="1:8">
      <c r="A156" s="106"/>
      <c r="B156" s="5" t="s">
        <v>157</v>
      </c>
      <c r="C156" s="6" t="s">
        <v>805</v>
      </c>
      <c r="D156" s="7" t="s">
        <v>485</v>
      </c>
      <c r="E156" s="7">
        <v>1450</v>
      </c>
      <c r="F156" s="3">
        <f>SUM($E156:$E156)</f>
        <v>1450</v>
      </c>
      <c r="G156" s="8">
        <f t="shared" si="7"/>
        <v>6.4387211367673183E-2</v>
      </c>
    </row>
    <row r="157" spans="1:8">
      <c r="A157" s="106"/>
      <c r="B157" s="5" t="s">
        <v>165</v>
      </c>
      <c r="C157" s="6"/>
      <c r="D157" s="7" t="s">
        <v>486</v>
      </c>
      <c r="E157" s="7"/>
    </row>
    <row r="158" spans="1:8">
      <c r="A158" s="106"/>
      <c r="B158" s="5" t="s">
        <v>168</v>
      </c>
      <c r="C158" s="6"/>
      <c r="D158" s="7" t="s">
        <v>487</v>
      </c>
      <c r="E158" s="7"/>
    </row>
    <row r="159" spans="1:8">
      <c r="A159" s="26" t="s">
        <v>623</v>
      </c>
      <c r="B159" s="5" t="s">
        <v>488</v>
      </c>
      <c r="C159" s="6"/>
      <c r="D159" s="7" t="s">
        <v>489</v>
      </c>
      <c r="E159" s="7"/>
      <c r="G159" s="8">
        <v>1</v>
      </c>
      <c r="H159" s="82" t="s">
        <v>925</v>
      </c>
    </row>
    <row r="160" spans="1:8">
      <c r="A160" s="26" t="s">
        <v>14</v>
      </c>
      <c r="B160" s="5" t="s">
        <v>176</v>
      </c>
      <c r="C160" s="6"/>
      <c r="D160" s="7" t="s">
        <v>490</v>
      </c>
      <c r="E160" s="7"/>
      <c r="G160" s="8">
        <v>1</v>
      </c>
      <c r="H160" s="82" t="s">
        <v>925</v>
      </c>
    </row>
    <row r="161" spans="1:8">
      <c r="A161" s="106" t="s">
        <v>1164</v>
      </c>
      <c r="B161" s="5" t="s">
        <v>491</v>
      </c>
      <c r="C161" s="6"/>
      <c r="D161" s="7" t="s">
        <v>492</v>
      </c>
      <c r="E161" s="7"/>
      <c r="G161" s="8">
        <v>0.5</v>
      </c>
      <c r="H161" s="82" t="s">
        <v>925</v>
      </c>
    </row>
    <row r="162" spans="1:8">
      <c r="A162" s="106"/>
      <c r="B162" s="5" t="s">
        <v>493</v>
      </c>
      <c r="C162" s="6"/>
      <c r="D162" s="7" t="s">
        <v>494</v>
      </c>
      <c r="E162" s="7"/>
      <c r="G162" s="8">
        <v>0.5</v>
      </c>
      <c r="H162" s="82" t="s">
        <v>925</v>
      </c>
    </row>
    <row r="163" spans="1:8">
      <c r="A163" s="26" t="s">
        <v>15</v>
      </c>
      <c r="B163" s="5" t="s">
        <v>177</v>
      </c>
      <c r="C163" s="6" t="s">
        <v>845</v>
      </c>
      <c r="D163" s="7" t="s">
        <v>15</v>
      </c>
      <c r="E163" s="7">
        <v>2250</v>
      </c>
      <c r="F163" s="3">
        <f>SUM($E163:$E163)</f>
        <v>2250</v>
      </c>
      <c r="G163" s="8">
        <v>1</v>
      </c>
    </row>
    <row r="164" spans="1:8">
      <c r="A164" s="106" t="s">
        <v>16</v>
      </c>
      <c r="B164" s="5" t="s">
        <v>182</v>
      </c>
      <c r="C164" s="6"/>
      <c r="D164" s="7" t="s">
        <v>495</v>
      </c>
      <c r="E164" s="7"/>
    </row>
    <row r="165" spans="1:8">
      <c r="A165" s="106"/>
      <c r="B165" s="5" t="s">
        <v>181</v>
      </c>
      <c r="C165" s="6"/>
      <c r="D165" s="7" t="s">
        <v>496</v>
      </c>
      <c r="E165" s="7"/>
    </row>
    <row r="166" spans="1:8">
      <c r="A166" s="106"/>
      <c r="B166" s="5" t="s">
        <v>180</v>
      </c>
      <c r="C166" s="6" t="s">
        <v>813</v>
      </c>
      <c r="D166" s="7" t="s">
        <v>497</v>
      </c>
      <c r="E166" s="7"/>
      <c r="F166" s="3">
        <f>SUM($E166:$E166)</f>
        <v>0</v>
      </c>
      <c r="G166" s="8">
        <f>F166/SUM($F$166:$F$169)</f>
        <v>0</v>
      </c>
    </row>
    <row r="167" spans="1:8">
      <c r="A167" s="106"/>
      <c r="B167" s="5" t="s">
        <v>179</v>
      </c>
      <c r="C167" s="6"/>
      <c r="D167" s="7" t="s">
        <v>498</v>
      </c>
      <c r="E167" s="7"/>
    </row>
    <row r="168" spans="1:8">
      <c r="A168" s="106"/>
      <c r="B168" s="5" t="s">
        <v>184</v>
      </c>
      <c r="C168" s="6"/>
      <c r="D168" s="7" t="s">
        <v>499</v>
      </c>
      <c r="E168" s="7"/>
    </row>
    <row r="169" spans="1:8">
      <c r="A169" s="106"/>
      <c r="B169" s="5" t="s">
        <v>183</v>
      </c>
      <c r="C169" s="3" t="s">
        <v>846</v>
      </c>
      <c r="D169" s="7" t="s">
        <v>500</v>
      </c>
      <c r="E169" s="7">
        <v>400</v>
      </c>
      <c r="F169" s="3">
        <f>SUM($E169:$E169)</f>
        <v>400</v>
      </c>
      <c r="G169" s="8">
        <f t="shared" ref="G169" si="8">F169/SUM($F$166:$F$169)</f>
        <v>1</v>
      </c>
    </row>
    <row r="170" spans="1:8">
      <c r="A170" s="106"/>
      <c r="B170" s="5" t="s">
        <v>178</v>
      </c>
      <c r="C170" s="6"/>
      <c r="D170" s="7" t="s">
        <v>501</v>
      </c>
      <c r="E170" s="7"/>
    </row>
    <row r="171" spans="1:8">
      <c r="A171" s="106"/>
      <c r="B171" s="5" t="s">
        <v>185</v>
      </c>
      <c r="C171" s="6"/>
      <c r="D171" s="7" t="s">
        <v>502</v>
      </c>
      <c r="E171" s="7"/>
    </row>
    <row r="172" spans="1:8">
      <c r="A172" s="26" t="s">
        <v>504</v>
      </c>
      <c r="B172" s="5" t="s">
        <v>503</v>
      </c>
      <c r="C172" s="6"/>
      <c r="D172" s="7" t="s">
        <v>504</v>
      </c>
      <c r="E172" s="7"/>
      <c r="G172" s="8">
        <v>1</v>
      </c>
      <c r="H172" s="82" t="s">
        <v>925</v>
      </c>
    </row>
    <row r="173" spans="1:8">
      <c r="A173" s="106" t="s">
        <v>17</v>
      </c>
      <c r="B173" s="5" t="s">
        <v>193</v>
      </c>
      <c r="C173" s="6"/>
      <c r="D173" s="7" t="s">
        <v>505</v>
      </c>
      <c r="E173" s="7"/>
      <c r="G173" s="8">
        <f>1/ROWS($B$173:$B$184)</f>
        <v>8.3333333333333329E-2</v>
      </c>
    </row>
    <row r="174" spans="1:8">
      <c r="A174" s="106"/>
      <c r="B174" s="5" t="s">
        <v>195</v>
      </c>
      <c r="C174" s="6"/>
      <c r="D174" s="7" t="s">
        <v>506</v>
      </c>
      <c r="E174" s="7"/>
      <c r="G174" s="8">
        <f t="shared" ref="G174:G184" si="9">1/ROWS($B$173:$B$184)</f>
        <v>8.3333333333333329E-2</v>
      </c>
    </row>
    <row r="175" spans="1:8">
      <c r="A175" s="106"/>
      <c r="B175" s="5" t="s">
        <v>197</v>
      </c>
      <c r="C175" s="6"/>
      <c r="D175" s="7" t="s">
        <v>507</v>
      </c>
      <c r="E175" s="7"/>
      <c r="G175" s="8">
        <f t="shared" si="9"/>
        <v>8.3333333333333329E-2</v>
      </c>
    </row>
    <row r="176" spans="1:8">
      <c r="A176" s="106"/>
      <c r="B176" s="5" t="s">
        <v>188</v>
      </c>
      <c r="C176" s="6"/>
      <c r="D176" s="7" t="s">
        <v>508</v>
      </c>
      <c r="E176" s="7"/>
      <c r="G176" s="8">
        <f t="shared" si="9"/>
        <v>8.3333333333333329E-2</v>
      </c>
    </row>
    <row r="177" spans="1:7">
      <c r="A177" s="106"/>
      <c r="B177" s="5" t="s">
        <v>194</v>
      </c>
      <c r="C177" s="6"/>
      <c r="D177" s="7" t="s">
        <v>509</v>
      </c>
      <c r="E177" s="7"/>
      <c r="G177" s="8">
        <f t="shared" si="9"/>
        <v>8.3333333333333329E-2</v>
      </c>
    </row>
    <row r="178" spans="1:7">
      <c r="A178" s="106"/>
      <c r="B178" s="5" t="s">
        <v>196</v>
      </c>
      <c r="C178" s="6"/>
      <c r="D178" s="7" t="s">
        <v>510</v>
      </c>
      <c r="E178" s="7"/>
      <c r="G178" s="8">
        <f t="shared" si="9"/>
        <v>8.3333333333333329E-2</v>
      </c>
    </row>
    <row r="179" spans="1:7">
      <c r="A179" s="106"/>
      <c r="B179" s="5" t="s">
        <v>190</v>
      </c>
      <c r="C179" s="6"/>
      <c r="D179" s="7" t="s">
        <v>511</v>
      </c>
      <c r="E179" s="7"/>
      <c r="G179" s="8">
        <f t="shared" si="9"/>
        <v>8.3333333333333329E-2</v>
      </c>
    </row>
    <row r="180" spans="1:7">
      <c r="A180" s="106"/>
      <c r="B180" s="5" t="s">
        <v>189</v>
      </c>
      <c r="C180" s="6" t="s">
        <v>815</v>
      </c>
      <c r="D180" s="7" t="s">
        <v>512</v>
      </c>
      <c r="E180" s="7"/>
      <c r="F180" s="3">
        <f>SUM($E180:$E180)</f>
        <v>0</v>
      </c>
      <c r="G180" s="8">
        <f t="shared" si="9"/>
        <v>8.3333333333333329E-2</v>
      </c>
    </row>
    <row r="181" spans="1:7">
      <c r="A181" s="106"/>
      <c r="B181" s="5" t="s">
        <v>186</v>
      </c>
      <c r="C181" s="6"/>
      <c r="D181" s="7" t="s">
        <v>513</v>
      </c>
      <c r="E181" s="7"/>
      <c r="G181" s="8">
        <f t="shared" si="9"/>
        <v>8.3333333333333329E-2</v>
      </c>
    </row>
    <row r="182" spans="1:7">
      <c r="A182" s="106"/>
      <c r="B182" s="5" t="s">
        <v>187</v>
      </c>
      <c r="D182" s="7" t="s">
        <v>514</v>
      </c>
      <c r="E182" s="7"/>
      <c r="G182" s="8">
        <f t="shared" si="9"/>
        <v>8.3333333333333329E-2</v>
      </c>
    </row>
    <row r="183" spans="1:7">
      <c r="A183" s="106"/>
      <c r="B183" s="5" t="s">
        <v>191</v>
      </c>
      <c r="D183" s="7" t="s">
        <v>515</v>
      </c>
      <c r="E183" s="7"/>
      <c r="G183" s="8">
        <f t="shared" si="9"/>
        <v>8.3333333333333329E-2</v>
      </c>
    </row>
    <row r="184" spans="1:7">
      <c r="A184" s="106"/>
      <c r="B184" s="5" t="s">
        <v>192</v>
      </c>
      <c r="D184" s="7" t="s">
        <v>516</v>
      </c>
      <c r="E184" s="7"/>
      <c r="G184" s="8">
        <f t="shared" si="9"/>
        <v>8.3333333333333329E-2</v>
      </c>
    </row>
    <row r="185" spans="1:7">
      <c r="A185" s="106" t="s">
        <v>18</v>
      </c>
      <c r="B185" s="5" t="s">
        <v>206</v>
      </c>
      <c r="C185" s="6"/>
      <c r="D185" s="7" t="s">
        <v>517</v>
      </c>
      <c r="E185" s="7"/>
    </row>
    <row r="186" spans="1:7">
      <c r="A186" s="106"/>
      <c r="B186" s="5" t="s">
        <v>204</v>
      </c>
      <c r="C186" s="6"/>
      <c r="D186" s="7" t="s">
        <v>518</v>
      </c>
      <c r="E186" s="7"/>
    </row>
    <row r="187" spans="1:7">
      <c r="A187" s="106"/>
      <c r="B187" s="5" t="s">
        <v>203</v>
      </c>
      <c r="C187" s="6"/>
      <c r="D187" s="7" t="s">
        <v>519</v>
      </c>
      <c r="E187" s="7"/>
    </row>
    <row r="188" spans="1:7">
      <c r="A188" s="106"/>
      <c r="B188" s="5" t="s">
        <v>205</v>
      </c>
      <c r="C188" s="6"/>
      <c r="D188" s="7" t="s">
        <v>520</v>
      </c>
      <c r="E188" s="7"/>
    </row>
    <row r="189" spans="1:7" ht="60">
      <c r="A189" s="106"/>
      <c r="B189" s="5" t="s">
        <v>200</v>
      </c>
      <c r="C189" s="6" t="s">
        <v>824</v>
      </c>
      <c r="D189" s="7" t="s">
        <v>521</v>
      </c>
      <c r="E189" s="7">
        <f>365+180+300</f>
        <v>845</v>
      </c>
      <c r="F189" s="3">
        <f>SUM($E189:$E189)</f>
        <v>845</v>
      </c>
      <c r="G189" s="42">
        <f>F189/SUM($F$189:$F$190)</f>
        <v>1</v>
      </c>
    </row>
    <row r="190" spans="1:7">
      <c r="A190" s="106"/>
      <c r="B190" s="5" t="s">
        <v>202</v>
      </c>
      <c r="C190" s="6" t="s">
        <v>809</v>
      </c>
      <c r="D190" s="7" t="s">
        <v>522</v>
      </c>
      <c r="E190" s="7"/>
      <c r="F190" s="3">
        <f>SUM($E190:$E190)</f>
        <v>0</v>
      </c>
      <c r="G190" s="42">
        <f>F190/SUM($F$189:$F$190)</f>
        <v>0</v>
      </c>
    </row>
    <row r="191" spans="1:7">
      <c r="A191" s="106"/>
      <c r="B191" s="5" t="s">
        <v>201</v>
      </c>
      <c r="C191" s="6"/>
      <c r="D191" s="7" t="s">
        <v>523</v>
      </c>
      <c r="E191" s="7"/>
    </row>
    <row r="192" spans="1:7">
      <c r="A192" s="106"/>
      <c r="B192" s="5" t="s">
        <v>199</v>
      </c>
      <c r="C192" s="6"/>
      <c r="D192" s="7" t="s">
        <v>524</v>
      </c>
      <c r="E192" s="7"/>
    </row>
    <row r="193" spans="1:7">
      <c r="A193" s="106"/>
      <c r="B193" s="5" t="s">
        <v>198</v>
      </c>
      <c r="C193" s="6"/>
      <c r="D193" s="7" t="s">
        <v>525</v>
      </c>
      <c r="E193" s="7"/>
    </row>
    <row r="194" spans="1:7">
      <c r="A194" s="106" t="s">
        <v>19</v>
      </c>
      <c r="B194" s="5" t="s">
        <v>219</v>
      </c>
      <c r="C194" s="6" t="s">
        <v>816</v>
      </c>
      <c r="D194" s="7" t="s">
        <v>526</v>
      </c>
      <c r="E194" s="7"/>
      <c r="F194" s="3">
        <f>SUM($E194:$E194)</f>
        <v>0</v>
      </c>
      <c r="G194" s="8">
        <f>F194/SUM($F$194:$F$210)</f>
        <v>0</v>
      </c>
    </row>
    <row r="195" spans="1:7" ht="90">
      <c r="A195" s="106"/>
      <c r="B195" s="5" t="s">
        <v>210</v>
      </c>
      <c r="C195" s="6" t="s">
        <v>857</v>
      </c>
      <c r="D195" s="7" t="s">
        <v>527</v>
      </c>
      <c r="E195" s="7">
        <f>145+800+250+65+1340</f>
        <v>2600</v>
      </c>
      <c r="F195" s="3">
        <f>SUM($E195:$E195)</f>
        <v>2600</v>
      </c>
      <c r="G195" s="8">
        <f t="shared" ref="G195:G209" si="10">F195/SUM($F$194:$F$210)</f>
        <v>0.57906458797327398</v>
      </c>
    </row>
    <row r="196" spans="1:7">
      <c r="A196" s="106"/>
      <c r="B196" s="5" t="s">
        <v>221</v>
      </c>
      <c r="C196" s="6"/>
      <c r="D196" s="7" t="s">
        <v>528</v>
      </c>
      <c r="E196" s="7"/>
    </row>
    <row r="197" spans="1:7">
      <c r="A197" s="106"/>
      <c r="B197" s="5" t="s">
        <v>207</v>
      </c>
      <c r="C197" s="6"/>
      <c r="D197" s="7" t="s">
        <v>529</v>
      </c>
      <c r="E197" s="7"/>
    </row>
    <row r="198" spans="1:7">
      <c r="A198" s="106"/>
      <c r="B198" s="5" t="s">
        <v>216</v>
      </c>
      <c r="C198" s="6"/>
      <c r="D198" s="7" t="s">
        <v>530</v>
      </c>
      <c r="E198" s="7"/>
    </row>
    <row r="199" spans="1:7">
      <c r="A199" s="106"/>
      <c r="B199" s="5" t="s">
        <v>218</v>
      </c>
      <c r="C199" s="6"/>
      <c r="D199" s="7" t="s">
        <v>531</v>
      </c>
      <c r="E199" s="7"/>
    </row>
    <row r="200" spans="1:7">
      <c r="A200" s="106"/>
      <c r="B200" s="5" t="s">
        <v>213</v>
      </c>
      <c r="C200" s="6"/>
      <c r="D200" s="7" t="s">
        <v>532</v>
      </c>
      <c r="E200" s="7"/>
    </row>
    <row r="201" spans="1:7">
      <c r="A201" s="106"/>
      <c r="B201" s="5" t="s">
        <v>220</v>
      </c>
      <c r="C201" s="6"/>
      <c r="D201" s="7" t="s">
        <v>533</v>
      </c>
      <c r="E201" s="7"/>
    </row>
    <row r="202" spans="1:7">
      <c r="A202" s="106"/>
      <c r="B202" s="5" t="s">
        <v>208</v>
      </c>
      <c r="C202" s="6"/>
      <c r="D202" s="7" t="s">
        <v>534</v>
      </c>
      <c r="E202" s="7"/>
    </row>
    <row r="203" spans="1:7">
      <c r="A203" s="106"/>
      <c r="B203" s="5" t="s">
        <v>211</v>
      </c>
      <c r="C203" s="6"/>
      <c r="D203" s="7" t="s">
        <v>535</v>
      </c>
      <c r="E203" s="7"/>
    </row>
    <row r="204" spans="1:7">
      <c r="A204" s="106"/>
      <c r="B204" s="5" t="s">
        <v>223</v>
      </c>
      <c r="C204" s="6"/>
      <c r="D204" s="7" t="s">
        <v>536</v>
      </c>
      <c r="E204" s="7"/>
    </row>
    <row r="205" spans="1:7">
      <c r="A205" s="106"/>
      <c r="B205" s="5" t="s">
        <v>222</v>
      </c>
      <c r="C205" s="6" t="s">
        <v>854</v>
      </c>
      <c r="D205" s="7" t="s">
        <v>537</v>
      </c>
      <c r="E205" s="7">
        <v>900</v>
      </c>
      <c r="F205" s="3">
        <f>SUM($E205:$E205)</f>
        <v>900</v>
      </c>
      <c r="G205" s="8">
        <f>F205/SUM($F$194:$F$210)</f>
        <v>0.20044543429844097</v>
      </c>
    </row>
    <row r="206" spans="1:7">
      <c r="A206" s="106"/>
      <c r="B206" s="5" t="s">
        <v>217</v>
      </c>
      <c r="C206" s="6"/>
      <c r="D206" s="7" t="s">
        <v>538</v>
      </c>
      <c r="E206" s="7"/>
    </row>
    <row r="207" spans="1:7">
      <c r="A207" s="106"/>
      <c r="B207" s="5" t="s">
        <v>209</v>
      </c>
      <c r="C207" s="6" t="s">
        <v>855</v>
      </c>
      <c r="D207" s="7" t="s">
        <v>539</v>
      </c>
      <c r="E207" s="7">
        <v>240</v>
      </c>
      <c r="F207" s="3">
        <f>SUM($E207:$E207)</f>
        <v>240</v>
      </c>
      <c r="G207" s="8">
        <f t="shared" si="10"/>
        <v>5.3452115812917596E-2</v>
      </c>
    </row>
    <row r="208" spans="1:7">
      <c r="A208" s="106"/>
      <c r="B208" s="5" t="s">
        <v>212</v>
      </c>
      <c r="C208" s="6"/>
      <c r="D208" s="7" t="s">
        <v>540</v>
      </c>
      <c r="E208" s="7"/>
    </row>
    <row r="209" spans="1:7">
      <c r="A209" s="106"/>
      <c r="B209" s="5" t="s">
        <v>214</v>
      </c>
      <c r="C209" s="6" t="s">
        <v>856</v>
      </c>
      <c r="D209" s="7" t="s">
        <v>541</v>
      </c>
      <c r="E209" s="7">
        <v>750</v>
      </c>
      <c r="F209" s="3">
        <f>SUM($E209:$E209)</f>
        <v>750</v>
      </c>
      <c r="G209" s="8">
        <f t="shared" si="10"/>
        <v>0.16703786191536749</v>
      </c>
    </row>
    <row r="210" spans="1:7">
      <c r="A210" s="106"/>
      <c r="B210" s="5" t="s">
        <v>215</v>
      </c>
      <c r="D210" s="7" t="s">
        <v>542</v>
      </c>
      <c r="E210" s="7"/>
    </row>
    <row r="211" spans="1:7">
      <c r="A211" s="106" t="s">
        <v>20</v>
      </c>
      <c r="B211" s="5" t="s">
        <v>226</v>
      </c>
      <c r="C211" s="6" t="s">
        <v>858</v>
      </c>
      <c r="D211" s="7" t="s">
        <v>543</v>
      </c>
      <c r="E211" s="7">
        <v>600</v>
      </c>
      <c r="F211" s="3">
        <f>SUM($E211:$E211)</f>
        <v>600</v>
      </c>
      <c r="G211" s="8">
        <f>F211/SUM($F$211:$F$214)</f>
        <v>0.35294117647058826</v>
      </c>
    </row>
    <row r="212" spans="1:7">
      <c r="A212" s="106"/>
      <c r="B212" s="5" t="s">
        <v>225</v>
      </c>
      <c r="C212" s="6"/>
      <c r="D212" s="7" t="s">
        <v>544</v>
      </c>
      <c r="E212" s="7"/>
    </row>
    <row r="213" spans="1:7">
      <c r="A213" s="106"/>
      <c r="B213" s="5" t="s">
        <v>228</v>
      </c>
      <c r="C213" s="6"/>
      <c r="D213" s="7" t="s">
        <v>545</v>
      </c>
      <c r="E213" s="7"/>
    </row>
    <row r="214" spans="1:7">
      <c r="A214" s="106"/>
      <c r="B214" s="5" t="s">
        <v>224</v>
      </c>
      <c r="C214" s="6" t="s">
        <v>859</v>
      </c>
      <c r="D214" s="7" t="s">
        <v>546</v>
      </c>
      <c r="E214" s="7">
        <v>1100</v>
      </c>
      <c r="F214" s="3">
        <f>SUM($E214:$E214)</f>
        <v>1100</v>
      </c>
      <c r="G214" s="8">
        <f t="shared" ref="G214" si="11">F214/SUM($F$211:$F$214)</f>
        <v>0.6470588235294118</v>
      </c>
    </row>
    <row r="215" spans="1:7">
      <c r="A215" s="106"/>
      <c r="B215" s="5" t="s">
        <v>227</v>
      </c>
      <c r="D215" s="7" t="s">
        <v>547</v>
      </c>
      <c r="E215" s="7"/>
    </row>
    <row r="216" spans="1:7">
      <c r="A216" s="106"/>
      <c r="B216" s="5" t="s">
        <v>548</v>
      </c>
      <c r="C216" s="6"/>
      <c r="D216" s="7" t="s">
        <v>549</v>
      </c>
      <c r="E216" s="7"/>
    </row>
    <row r="217" spans="1:7">
      <c r="A217" s="106"/>
      <c r="B217" s="5" t="s">
        <v>550</v>
      </c>
      <c r="C217" s="6"/>
      <c r="D217" s="7" t="s">
        <v>551</v>
      </c>
      <c r="E217" s="7"/>
    </row>
    <row r="218" spans="1:7">
      <c r="A218" s="106" t="s">
        <v>21</v>
      </c>
      <c r="B218" s="5" t="s">
        <v>231</v>
      </c>
      <c r="C218" s="6"/>
      <c r="D218" s="7" t="s">
        <v>552</v>
      </c>
      <c r="E218" s="7"/>
    </row>
    <row r="219" spans="1:7">
      <c r="A219" s="106"/>
      <c r="B219" s="5" t="s">
        <v>236</v>
      </c>
      <c r="C219" s="6"/>
      <c r="D219" s="7" t="s">
        <v>553</v>
      </c>
      <c r="E219" s="7"/>
    </row>
    <row r="220" spans="1:7">
      <c r="A220" s="106"/>
      <c r="B220" s="5" t="s">
        <v>232</v>
      </c>
      <c r="C220" s="6"/>
      <c r="D220" s="7" t="s">
        <v>554</v>
      </c>
      <c r="E220" s="7"/>
    </row>
    <row r="221" spans="1:7">
      <c r="A221" s="106"/>
      <c r="B221" s="5" t="s">
        <v>230</v>
      </c>
      <c r="C221" s="6" t="s">
        <v>817</v>
      </c>
      <c r="D221" s="7" t="s">
        <v>555</v>
      </c>
      <c r="E221" s="7"/>
      <c r="F221" s="3">
        <f>SUM($E221:$E221)</f>
        <v>0</v>
      </c>
      <c r="G221" s="8">
        <f>F221/SUM($F$221:$F$225)</f>
        <v>0</v>
      </c>
    </row>
    <row r="222" spans="1:7">
      <c r="A222" s="106"/>
      <c r="B222" s="5" t="s">
        <v>234</v>
      </c>
      <c r="C222" s="6" t="s">
        <v>860</v>
      </c>
      <c r="D222" s="7" t="s">
        <v>556</v>
      </c>
      <c r="E222" s="7">
        <v>470</v>
      </c>
      <c r="F222" s="3">
        <f>SUM($E222:$E222)</f>
        <v>470</v>
      </c>
      <c r="G222" s="8">
        <f t="shared" ref="G222:G225" si="12">F222/SUM($F$221:$F$225)</f>
        <v>0.20434782608695654</v>
      </c>
    </row>
    <row r="223" spans="1:7">
      <c r="A223" s="106"/>
      <c r="B223" s="5" t="s">
        <v>233</v>
      </c>
      <c r="C223" s="6"/>
      <c r="D223" s="7" t="s">
        <v>557</v>
      </c>
      <c r="E223" s="7"/>
    </row>
    <row r="224" spans="1:7">
      <c r="A224" s="106"/>
      <c r="B224" s="5" t="s">
        <v>229</v>
      </c>
      <c r="C224" s="6"/>
      <c r="D224" s="7" t="s">
        <v>558</v>
      </c>
      <c r="E224" s="7"/>
    </row>
    <row r="225" spans="1:7" ht="45">
      <c r="A225" s="106"/>
      <c r="B225" s="5" t="s">
        <v>235</v>
      </c>
      <c r="C225" s="6" t="s">
        <v>861</v>
      </c>
      <c r="D225" s="7" t="s">
        <v>559</v>
      </c>
      <c r="E225" s="7">
        <f>550+830+450</f>
        <v>1830</v>
      </c>
      <c r="F225" s="3">
        <f>SUM($E225:$E225)</f>
        <v>1830</v>
      </c>
      <c r="G225" s="8">
        <f t="shared" si="12"/>
        <v>0.79565217391304344</v>
      </c>
    </row>
    <row r="226" spans="1:7" ht="30">
      <c r="A226" s="106" t="s">
        <v>22</v>
      </c>
      <c r="B226" s="5" t="s">
        <v>237</v>
      </c>
      <c r="C226" s="6" t="s">
        <v>864</v>
      </c>
      <c r="D226" s="7" t="s">
        <v>560</v>
      </c>
      <c r="E226" s="7">
        <f>150+140</f>
        <v>290</v>
      </c>
      <c r="F226" s="3">
        <f>SUM($E226:$E226)</f>
        <v>290</v>
      </c>
      <c r="G226" s="8">
        <f>F226/SUM(F$226:F$227)</f>
        <v>0.36708860759493672</v>
      </c>
    </row>
    <row r="227" spans="1:7">
      <c r="A227" s="106"/>
      <c r="B227" s="5" t="s">
        <v>238</v>
      </c>
      <c r="C227" s="6" t="s">
        <v>863</v>
      </c>
      <c r="D227" s="7" t="s">
        <v>561</v>
      </c>
      <c r="E227" s="7">
        <v>500</v>
      </c>
      <c r="F227" s="3">
        <f>SUM($E227:$E227)</f>
        <v>500</v>
      </c>
      <c r="G227" s="8">
        <f>F227/SUM(F$226:F$227)</f>
        <v>0.63291139240506333</v>
      </c>
    </row>
    <row r="228" spans="1:7">
      <c r="A228" s="106" t="s">
        <v>23</v>
      </c>
      <c r="B228" s="5" t="s">
        <v>241</v>
      </c>
      <c r="C228" s="6"/>
      <c r="D228" s="7" t="s">
        <v>562</v>
      </c>
      <c r="E228" s="7"/>
    </row>
    <row r="229" spans="1:7">
      <c r="A229" s="106"/>
      <c r="B229" s="5" t="s">
        <v>239</v>
      </c>
      <c r="C229" s="6"/>
      <c r="D229" s="7" t="s">
        <v>563</v>
      </c>
      <c r="E229" s="7"/>
    </row>
    <row r="230" spans="1:7">
      <c r="A230" s="106"/>
      <c r="B230" s="5" t="s">
        <v>242</v>
      </c>
      <c r="C230" s="6" t="s">
        <v>862</v>
      </c>
      <c r="D230" s="7" t="s">
        <v>564</v>
      </c>
      <c r="E230" s="7">
        <v>350</v>
      </c>
      <c r="F230" s="3">
        <f>SUM($E230:$E230)</f>
        <v>350</v>
      </c>
      <c r="G230" s="8">
        <f>F230/SUM(F$230:F$231)</f>
        <v>1</v>
      </c>
    </row>
    <row r="231" spans="1:7">
      <c r="A231" s="106"/>
      <c r="B231" s="5" t="s">
        <v>240</v>
      </c>
      <c r="C231" s="6" t="s">
        <v>818</v>
      </c>
      <c r="D231" s="7" t="s">
        <v>565</v>
      </c>
      <c r="E231" s="7"/>
      <c r="F231" s="3">
        <f>SUM($E231:$E231)</f>
        <v>0</v>
      </c>
      <c r="G231" s="8">
        <f>F231/SUM(F$230:F$231)</f>
        <v>0</v>
      </c>
    </row>
    <row r="232" spans="1:7">
      <c r="A232" s="106" t="s">
        <v>24</v>
      </c>
      <c r="B232" s="5" t="s">
        <v>243</v>
      </c>
      <c r="C232" s="6"/>
      <c r="D232" s="7" t="s">
        <v>566</v>
      </c>
      <c r="E232" s="7"/>
    </row>
    <row r="233" spans="1:7">
      <c r="A233" s="106"/>
      <c r="B233" s="5" t="s">
        <v>245</v>
      </c>
      <c r="C233" s="6"/>
      <c r="D233" s="7" t="s">
        <v>567</v>
      </c>
      <c r="E233" s="7"/>
    </row>
    <row r="234" spans="1:7">
      <c r="A234" s="106"/>
      <c r="B234" s="5" t="s">
        <v>244</v>
      </c>
      <c r="C234" s="6" t="s">
        <v>830</v>
      </c>
      <c r="D234" s="7" t="s">
        <v>568</v>
      </c>
      <c r="E234" s="7">
        <v>360</v>
      </c>
      <c r="F234" s="3">
        <f>SUM($E234:$E234)</f>
        <v>360</v>
      </c>
      <c r="G234" s="8">
        <f>F234/SUM(F$234:F$235)</f>
        <v>0.21686746987951808</v>
      </c>
    </row>
    <row r="235" spans="1:7" ht="30">
      <c r="A235" s="106"/>
      <c r="B235" s="5" t="s">
        <v>246</v>
      </c>
      <c r="C235" s="6" t="s">
        <v>831</v>
      </c>
      <c r="D235" s="7" t="s">
        <v>569</v>
      </c>
      <c r="E235" s="7">
        <v>1300</v>
      </c>
      <c r="F235" s="3">
        <f>SUM($E235:$E235)</f>
        <v>1300</v>
      </c>
      <c r="G235" s="8">
        <f>F235/SUM(F$234:F$235)</f>
        <v>0.7831325301204819</v>
      </c>
    </row>
    <row r="236" spans="1:7">
      <c r="A236" s="106"/>
      <c r="B236" s="5" t="s">
        <v>570</v>
      </c>
      <c r="C236" s="6"/>
      <c r="D236" s="7" t="s">
        <v>571</v>
      </c>
      <c r="E236" s="7"/>
    </row>
    <row r="237" spans="1:7">
      <c r="A237" s="106" t="s">
        <v>25</v>
      </c>
      <c r="B237" s="5" t="s">
        <v>247</v>
      </c>
      <c r="C237" s="6"/>
      <c r="D237" s="7" t="s">
        <v>572</v>
      </c>
      <c r="E237" s="7"/>
    </row>
    <row r="238" spans="1:7">
      <c r="A238" s="106"/>
      <c r="B238" s="5" t="s">
        <v>248</v>
      </c>
      <c r="C238" s="6" t="s">
        <v>821</v>
      </c>
      <c r="D238" s="7" t="s">
        <v>573</v>
      </c>
      <c r="E238" s="7"/>
      <c r="F238" s="3">
        <f>SUM($E238:$E238)</f>
        <v>0</v>
      </c>
      <c r="G238" s="8">
        <f>F238/SUM(F$238:F$244)</f>
        <v>0</v>
      </c>
    </row>
    <row r="239" spans="1:7">
      <c r="A239" s="106"/>
      <c r="B239" s="5" t="s">
        <v>252</v>
      </c>
      <c r="C239" s="6"/>
      <c r="D239" s="7" t="s">
        <v>574</v>
      </c>
      <c r="E239" s="7"/>
    </row>
    <row r="240" spans="1:7">
      <c r="A240" s="106"/>
      <c r="B240" s="5" t="s">
        <v>254</v>
      </c>
      <c r="C240" s="6"/>
      <c r="D240" s="7" t="s">
        <v>575</v>
      </c>
      <c r="E240" s="7"/>
    </row>
    <row r="241" spans="1:7">
      <c r="A241" s="106"/>
      <c r="B241" s="5" t="s">
        <v>251</v>
      </c>
      <c r="D241" s="7" t="s">
        <v>576</v>
      </c>
      <c r="E241" s="7"/>
    </row>
    <row r="242" spans="1:7" ht="90">
      <c r="A242" s="106"/>
      <c r="B242" s="5" t="s">
        <v>253</v>
      </c>
      <c r="C242" s="6" t="s">
        <v>872</v>
      </c>
      <c r="D242" s="7" t="s">
        <v>577</v>
      </c>
      <c r="E242" s="7">
        <f>500+95+120+500+200+480</f>
        <v>1895</v>
      </c>
      <c r="F242" s="3">
        <f>SUM($E242:$E242)</f>
        <v>1895</v>
      </c>
      <c r="G242" s="8">
        <f t="shared" ref="G242:G244" si="13">F242/SUM(F$238:F$244)</f>
        <v>1</v>
      </c>
    </row>
    <row r="243" spans="1:7">
      <c r="A243" s="106"/>
      <c r="B243" s="5" t="s">
        <v>250</v>
      </c>
      <c r="C243" s="6"/>
      <c r="D243" s="7" t="s">
        <v>578</v>
      </c>
      <c r="E243" s="7"/>
    </row>
    <row r="244" spans="1:7">
      <c r="A244" s="106"/>
      <c r="B244" s="5" t="s">
        <v>249</v>
      </c>
      <c r="C244" s="6" t="s">
        <v>820</v>
      </c>
      <c r="D244" s="7" t="s">
        <v>579</v>
      </c>
      <c r="E244" s="7"/>
      <c r="F244" s="3">
        <f>SUM($E244:$E244)</f>
        <v>0</v>
      </c>
      <c r="G244" s="8">
        <f t="shared" si="13"/>
        <v>0</v>
      </c>
    </row>
    <row r="245" spans="1:7">
      <c r="A245" s="106" t="s">
        <v>26</v>
      </c>
      <c r="B245" s="5" t="s">
        <v>294</v>
      </c>
      <c r="D245" s="7" t="s">
        <v>580</v>
      </c>
      <c r="E245" s="7"/>
    </row>
    <row r="246" spans="1:7">
      <c r="A246" s="106"/>
      <c r="B246" s="5" t="s">
        <v>268</v>
      </c>
      <c r="C246" s="6"/>
      <c r="D246" s="7" t="s">
        <v>581</v>
      </c>
      <c r="E246" s="7"/>
    </row>
    <row r="247" spans="1:7">
      <c r="A247" s="106"/>
      <c r="B247" s="5" t="s">
        <v>280</v>
      </c>
      <c r="C247" s="6"/>
      <c r="D247" s="7" t="s">
        <v>582</v>
      </c>
      <c r="E247" s="7"/>
    </row>
    <row r="248" spans="1:7">
      <c r="A248" s="106"/>
      <c r="B248" s="5" t="s">
        <v>270</v>
      </c>
      <c r="C248" s="6"/>
      <c r="D248" s="7" t="s">
        <v>583</v>
      </c>
      <c r="E248" s="7"/>
    </row>
    <row r="249" spans="1:7">
      <c r="A249" s="106"/>
      <c r="B249" s="5" t="s">
        <v>285</v>
      </c>
      <c r="C249" s="6"/>
      <c r="D249" s="7" t="s">
        <v>584</v>
      </c>
      <c r="E249" s="7"/>
    </row>
    <row r="250" spans="1:7">
      <c r="A250" s="106"/>
      <c r="B250" s="5" t="s">
        <v>264</v>
      </c>
      <c r="C250" s="6"/>
      <c r="D250" s="7" t="s">
        <v>585</v>
      </c>
      <c r="E250" s="7"/>
    </row>
    <row r="251" spans="1:7">
      <c r="A251" s="106"/>
      <c r="B251" s="5" t="s">
        <v>269</v>
      </c>
      <c r="C251" s="6"/>
      <c r="D251" s="7" t="s">
        <v>586</v>
      </c>
      <c r="E251" s="7"/>
    </row>
    <row r="252" spans="1:7" ht="30">
      <c r="A252" s="106"/>
      <c r="B252" s="5" t="s">
        <v>277</v>
      </c>
      <c r="C252" s="6" t="s">
        <v>823</v>
      </c>
      <c r="D252" s="7" t="s">
        <v>587</v>
      </c>
      <c r="E252" s="7"/>
      <c r="F252" s="3">
        <f>SUM($E252:$E252)</f>
        <v>0</v>
      </c>
      <c r="G252" s="8">
        <f>F252/SUM(F$252:F$279)</f>
        <v>0</v>
      </c>
    </row>
    <row r="253" spans="1:7">
      <c r="A253" s="106"/>
      <c r="B253" s="5" t="s">
        <v>295</v>
      </c>
      <c r="C253" s="6"/>
      <c r="D253" s="7" t="s">
        <v>588</v>
      </c>
      <c r="E253" s="7"/>
    </row>
    <row r="254" spans="1:7" ht="45">
      <c r="A254" s="106"/>
      <c r="B254" s="5" t="s">
        <v>266</v>
      </c>
      <c r="C254" s="6" t="s">
        <v>807</v>
      </c>
      <c r="D254" s="7" t="s">
        <v>589</v>
      </c>
      <c r="E254" s="7">
        <f>1200+150+500</f>
        <v>1850</v>
      </c>
      <c r="F254" s="3">
        <f>SUM($E254:$E254)</f>
        <v>1850</v>
      </c>
      <c r="G254" s="8">
        <f t="shared" ref="G254:G279" si="14">F254/SUM(F$252:F$279)</f>
        <v>0.60655737704918034</v>
      </c>
    </row>
    <row r="255" spans="1:7">
      <c r="A255" s="106"/>
      <c r="B255" s="5" t="s">
        <v>263</v>
      </c>
      <c r="C255" s="6"/>
      <c r="D255" s="7" t="s">
        <v>590</v>
      </c>
      <c r="E255" s="7"/>
    </row>
    <row r="256" spans="1:7">
      <c r="A256" s="106"/>
      <c r="B256" s="5" t="s">
        <v>279</v>
      </c>
      <c r="C256" s="6"/>
      <c r="D256" s="7" t="s">
        <v>591</v>
      </c>
      <c r="E256" s="7"/>
    </row>
    <row r="257" spans="1:5" ht="30">
      <c r="A257" s="106"/>
      <c r="B257" s="5" t="s">
        <v>272</v>
      </c>
      <c r="C257" s="6"/>
      <c r="D257" s="7" t="s">
        <v>592</v>
      </c>
      <c r="E257" s="7"/>
    </row>
    <row r="258" spans="1:5">
      <c r="A258" s="106"/>
      <c r="B258" s="5" t="s">
        <v>271</v>
      </c>
      <c r="C258" s="6"/>
      <c r="D258" s="7" t="s">
        <v>593</v>
      </c>
      <c r="E258" s="7"/>
    </row>
    <row r="259" spans="1:5" ht="30">
      <c r="A259" s="106"/>
      <c r="B259" s="5" t="s">
        <v>275</v>
      </c>
      <c r="C259" s="6"/>
      <c r="D259" s="7" t="s">
        <v>594</v>
      </c>
      <c r="E259" s="7"/>
    </row>
    <row r="260" spans="1:5">
      <c r="A260" s="106"/>
      <c r="B260" s="5" t="s">
        <v>267</v>
      </c>
      <c r="C260" s="6"/>
      <c r="D260" s="7" t="s">
        <v>595</v>
      </c>
      <c r="E260" s="7"/>
    </row>
    <row r="261" spans="1:5">
      <c r="A261" s="106"/>
      <c r="B261" s="5" t="s">
        <v>274</v>
      </c>
      <c r="C261" s="6"/>
      <c r="D261" s="7" t="s">
        <v>596</v>
      </c>
      <c r="E261" s="7"/>
    </row>
    <row r="262" spans="1:5">
      <c r="A262" s="106"/>
      <c r="B262" s="5" t="s">
        <v>282</v>
      </c>
      <c r="C262" s="6"/>
      <c r="D262" s="7" t="s">
        <v>597</v>
      </c>
      <c r="E262" s="7"/>
    </row>
    <row r="263" spans="1:5">
      <c r="A263" s="106"/>
      <c r="B263" s="5" t="s">
        <v>287</v>
      </c>
      <c r="C263" s="6"/>
      <c r="D263" s="7" t="s">
        <v>598</v>
      </c>
      <c r="E263" s="7"/>
    </row>
    <row r="264" spans="1:5">
      <c r="A264" s="106"/>
      <c r="B264" s="5" t="s">
        <v>265</v>
      </c>
      <c r="C264" s="6"/>
      <c r="D264" s="7" t="s">
        <v>599</v>
      </c>
      <c r="E264" s="7"/>
    </row>
    <row r="265" spans="1:5">
      <c r="A265" s="106"/>
      <c r="B265" s="5" t="s">
        <v>293</v>
      </c>
      <c r="C265" s="6"/>
      <c r="D265" s="7" t="s">
        <v>600</v>
      </c>
      <c r="E265" s="7"/>
    </row>
    <row r="266" spans="1:5">
      <c r="A266" s="106"/>
      <c r="B266" s="5" t="s">
        <v>292</v>
      </c>
      <c r="C266" s="6"/>
      <c r="D266" s="7" t="s">
        <v>601</v>
      </c>
      <c r="E266" s="7"/>
    </row>
    <row r="267" spans="1:5">
      <c r="A267" s="106"/>
      <c r="B267" s="5" t="s">
        <v>291</v>
      </c>
      <c r="C267" s="6"/>
      <c r="D267" s="7" t="s">
        <v>602</v>
      </c>
      <c r="E267" s="7"/>
    </row>
    <row r="268" spans="1:5">
      <c r="A268" s="106"/>
      <c r="B268" s="5" t="s">
        <v>290</v>
      </c>
      <c r="C268" s="6"/>
      <c r="D268" s="7" t="s">
        <v>603</v>
      </c>
      <c r="E268" s="7"/>
    </row>
    <row r="269" spans="1:5" ht="30">
      <c r="A269" s="106"/>
      <c r="B269" s="5" t="s">
        <v>289</v>
      </c>
      <c r="C269" s="6"/>
      <c r="D269" s="7" t="s">
        <v>604</v>
      </c>
      <c r="E269" s="7"/>
    </row>
    <row r="270" spans="1:5" ht="30">
      <c r="A270" s="106"/>
      <c r="B270" s="5" t="s">
        <v>286</v>
      </c>
      <c r="C270" s="6"/>
      <c r="D270" s="7" t="s">
        <v>605</v>
      </c>
      <c r="E270" s="7"/>
    </row>
    <row r="271" spans="1:5">
      <c r="A271" s="106"/>
      <c r="B271" s="5" t="s">
        <v>283</v>
      </c>
      <c r="C271" s="6"/>
      <c r="D271" s="7" t="s">
        <v>606</v>
      </c>
      <c r="E271" s="7"/>
    </row>
    <row r="272" spans="1:5">
      <c r="A272" s="106"/>
      <c r="B272" s="5" t="s">
        <v>276</v>
      </c>
      <c r="C272" s="6"/>
      <c r="D272" s="7" t="s">
        <v>607</v>
      </c>
      <c r="E272" s="7"/>
    </row>
    <row r="273" spans="1:8">
      <c r="A273" s="106"/>
      <c r="B273" s="5" t="s">
        <v>273</v>
      </c>
      <c r="C273" s="6"/>
      <c r="D273" s="7" t="s">
        <v>608</v>
      </c>
      <c r="E273" s="7"/>
    </row>
    <row r="274" spans="1:8" ht="30">
      <c r="A274" s="106"/>
      <c r="B274" s="5" t="s">
        <v>288</v>
      </c>
      <c r="C274" s="6"/>
      <c r="D274" s="7" t="s">
        <v>609</v>
      </c>
      <c r="E274" s="7"/>
    </row>
    <row r="275" spans="1:8">
      <c r="A275" s="106"/>
      <c r="B275" s="5" t="s">
        <v>284</v>
      </c>
      <c r="C275" s="6"/>
      <c r="D275" s="7" t="s">
        <v>610</v>
      </c>
      <c r="E275" s="7"/>
    </row>
    <row r="276" spans="1:8">
      <c r="A276" s="106"/>
      <c r="B276" s="5" t="s">
        <v>281</v>
      </c>
      <c r="C276" s="6"/>
      <c r="D276" s="7" t="s">
        <v>611</v>
      </c>
      <c r="E276" s="7"/>
    </row>
    <row r="277" spans="1:8">
      <c r="A277" s="106"/>
      <c r="B277" s="5" t="s">
        <v>278</v>
      </c>
      <c r="C277" s="6"/>
      <c r="D277" s="7" t="s">
        <v>612</v>
      </c>
      <c r="E277" s="7"/>
    </row>
    <row r="278" spans="1:8">
      <c r="A278" s="106"/>
      <c r="B278" s="5" t="s">
        <v>255</v>
      </c>
      <c r="C278" s="6" t="s">
        <v>822</v>
      </c>
      <c r="D278" s="7" t="s">
        <v>613</v>
      </c>
      <c r="E278" s="7"/>
      <c r="F278" s="3">
        <f>SUM($E278:$E278)</f>
        <v>0</v>
      </c>
      <c r="G278" s="8">
        <f t="shared" si="14"/>
        <v>0</v>
      </c>
    </row>
    <row r="279" spans="1:8">
      <c r="A279" s="106"/>
      <c r="B279" s="5" t="s">
        <v>256</v>
      </c>
      <c r="C279" s="6" t="s">
        <v>873</v>
      </c>
      <c r="D279" s="7" t="s">
        <v>614</v>
      </c>
      <c r="E279" s="7">
        <v>1200</v>
      </c>
      <c r="F279" s="3">
        <f>SUM($E279:$E279)</f>
        <v>1200</v>
      </c>
      <c r="G279" s="8">
        <f t="shared" si="14"/>
        <v>0.39344262295081966</v>
      </c>
    </row>
    <row r="280" spans="1:8">
      <c r="A280" s="106"/>
      <c r="B280" s="5" t="s">
        <v>261</v>
      </c>
      <c r="C280" s="6"/>
      <c r="D280" s="7" t="s">
        <v>615</v>
      </c>
      <c r="E280" s="7"/>
    </row>
    <row r="281" spans="1:8">
      <c r="A281" s="106"/>
      <c r="B281" s="5" t="s">
        <v>259</v>
      </c>
      <c r="C281" s="6"/>
      <c r="D281" s="7" t="s">
        <v>616</v>
      </c>
      <c r="E281" s="7"/>
    </row>
    <row r="282" spans="1:8">
      <c r="A282" s="106"/>
      <c r="B282" s="5" t="s">
        <v>260</v>
      </c>
      <c r="C282" s="25"/>
      <c r="D282" s="7" t="s">
        <v>617</v>
      </c>
      <c r="E282" s="7"/>
    </row>
    <row r="283" spans="1:8">
      <c r="A283" s="106"/>
      <c r="B283" s="5" t="s">
        <v>258</v>
      </c>
      <c r="C283" s="6"/>
      <c r="D283" s="7" t="s">
        <v>618</v>
      </c>
      <c r="E283" s="7"/>
    </row>
    <row r="284" spans="1:8">
      <c r="A284" s="106"/>
      <c r="B284" s="5" t="s">
        <v>257</v>
      </c>
      <c r="C284" s="6"/>
      <c r="D284" s="7" t="s">
        <v>619</v>
      </c>
      <c r="E284" s="7"/>
    </row>
    <row r="285" spans="1:8">
      <c r="A285" s="106"/>
      <c r="B285" s="5" t="s">
        <v>262</v>
      </c>
      <c r="C285" s="6"/>
      <c r="D285" s="7" t="s">
        <v>620</v>
      </c>
      <c r="E285" s="7"/>
    </row>
    <row r="286" spans="1:8">
      <c r="A286" s="106" t="s">
        <v>27</v>
      </c>
      <c r="B286" s="12" t="s">
        <v>298</v>
      </c>
      <c r="D286" s="11" t="s">
        <v>628</v>
      </c>
      <c r="E286" s="11"/>
      <c r="G286" s="8">
        <f>1/7</f>
        <v>0.14285714285714285</v>
      </c>
      <c r="H286" s="73" t="s">
        <v>925</v>
      </c>
    </row>
    <row r="287" spans="1:8">
      <c r="A287" s="106"/>
      <c r="B287" s="11" t="s">
        <v>297</v>
      </c>
      <c r="D287" s="11" t="s">
        <v>629</v>
      </c>
      <c r="E287" s="11"/>
      <c r="G287" s="8">
        <f t="shared" ref="G287:G303" si="15">1/7</f>
        <v>0.14285714285714285</v>
      </c>
      <c r="H287" s="73" t="s">
        <v>925</v>
      </c>
    </row>
    <row r="288" spans="1:8">
      <c r="A288" s="106"/>
      <c r="B288" s="11" t="s">
        <v>299</v>
      </c>
      <c r="D288" s="11" t="s">
        <v>630</v>
      </c>
      <c r="E288" s="11"/>
      <c r="G288" s="8">
        <f t="shared" si="15"/>
        <v>0.14285714285714285</v>
      </c>
      <c r="H288" s="73" t="s">
        <v>925</v>
      </c>
    </row>
    <row r="289" spans="1:8">
      <c r="A289" s="106"/>
      <c r="B289" s="5" t="s">
        <v>624</v>
      </c>
      <c r="D289" s="11" t="s">
        <v>631</v>
      </c>
      <c r="E289" s="11"/>
      <c r="G289" s="8">
        <f t="shared" si="15"/>
        <v>0.14285714285714285</v>
      </c>
      <c r="H289" s="73" t="s">
        <v>925</v>
      </c>
    </row>
    <row r="290" spans="1:8">
      <c r="A290" s="106"/>
      <c r="B290" s="12" t="s">
        <v>625</v>
      </c>
      <c r="D290" s="11" t="s">
        <v>632</v>
      </c>
      <c r="E290" s="11"/>
      <c r="G290" s="8">
        <f t="shared" si="15"/>
        <v>0.14285714285714285</v>
      </c>
      <c r="H290" s="73" t="s">
        <v>925</v>
      </c>
    </row>
    <row r="291" spans="1:8">
      <c r="A291" s="106"/>
      <c r="B291" s="12" t="s">
        <v>626</v>
      </c>
      <c r="D291" s="11" t="s">
        <v>633</v>
      </c>
      <c r="E291" s="11"/>
      <c r="G291" s="8">
        <f t="shared" si="15"/>
        <v>0.14285714285714285</v>
      </c>
      <c r="H291" s="73" t="s">
        <v>925</v>
      </c>
    </row>
    <row r="292" spans="1:8">
      <c r="A292" s="106"/>
      <c r="B292" s="12" t="s">
        <v>627</v>
      </c>
      <c r="D292" s="11" t="s">
        <v>634</v>
      </c>
      <c r="E292" s="11"/>
      <c r="G292" s="8">
        <f t="shared" si="15"/>
        <v>0.14285714285714285</v>
      </c>
      <c r="H292" s="73" t="s">
        <v>925</v>
      </c>
    </row>
    <row r="293" spans="1:8">
      <c r="A293" s="106"/>
      <c r="B293" s="12" t="s">
        <v>302</v>
      </c>
      <c r="D293" s="11"/>
      <c r="E293" s="11"/>
      <c r="G293" s="8">
        <f>G289*1.3/2.3</f>
        <v>8.0745341614906846E-2</v>
      </c>
      <c r="H293" s="73" t="s">
        <v>925</v>
      </c>
    </row>
    <row r="294" spans="1:8">
      <c r="A294" s="106"/>
      <c r="B294" s="12" t="s">
        <v>301</v>
      </c>
      <c r="D294" s="11"/>
      <c r="E294" s="11"/>
      <c r="G294" s="8">
        <f>G289*1/2.3</f>
        <v>6.2111801242236024E-2</v>
      </c>
      <c r="H294" s="73" t="s">
        <v>925</v>
      </c>
    </row>
    <row r="295" spans="1:8">
      <c r="A295" s="106"/>
      <c r="B295" s="12" t="s">
        <v>300</v>
      </c>
      <c r="D295" s="11"/>
      <c r="E295" s="11"/>
      <c r="G295" s="8">
        <f>G290</f>
        <v>0.14285714285714285</v>
      </c>
      <c r="H295" s="73" t="s">
        <v>925</v>
      </c>
    </row>
    <row r="296" spans="1:8">
      <c r="A296" s="106"/>
      <c r="B296" s="12" t="s">
        <v>296</v>
      </c>
      <c r="D296" s="11"/>
      <c r="E296" s="11"/>
      <c r="G296" s="8">
        <f>G291</f>
        <v>0.14285714285714285</v>
      </c>
      <c r="H296" s="73" t="s">
        <v>925</v>
      </c>
    </row>
    <row r="297" spans="1:8">
      <c r="A297" s="106" t="s">
        <v>635</v>
      </c>
      <c r="B297" s="12" t="s">
        <v>305</v>
      </c>
      <c r="C297" s="13"/>
      <c r="D297" s="12" t="s">
        <v>636</v>
      </c>
      <c r="E297" s="12"/>
      <c r="G297" s="8">
        <f t="shared" si="15"/>
        <v>0.14285714285714285</v>
      </c>
      <c r="H297" s="73" t="s">
        <v>925</v>
      </c>
    </row>
    <row r="298" spans="1:8">
      <c r="A298" s="106"/>
      <c r="B298" s="12" t="s">
        <v>307</v>
      </c>
      <c r="C298" s="13"/>
      <c r="D298" s="12" t="s">
        <v>637</v>
      </c>
      <c r="E298" s="12"/>
      <c r="G298" s="8">
        <f t="shared" si="15"/>
        <v>0.14285714285714285</v>
      </c>
      <c r="H298" s="73" t="s">
        <v>925</v>
      </c>
    </row>
    <row r="299" spans="1:8">
      <c r="A299" s="106"/>
      <c r="B299" s="12" t="s">
        <v>309</v>
      </c>
      <c r="C299" s="13"/>
      <c r="D299" s="12" t="s">
        <v>638</v>
      </c>
      <c r="E299" s="12"/>
      <c r="G299" s="8">
        <f t="shared" si="15"/>
        <v>0.14285714285714285</v>
      </c>
      <c r="H299" s="73" t="s">
        <v>925</v>
      </c>
    </row>
    <row r="300" spans="1:8">
      <c r="A300" s="106"/>
      <c r="B300" s="12" t="s">
        <v>303</v>
      </c>
      <c r="C300" s="13"/>
      <c r="D300" s="12" t="s">
        <v>639</v>
      </c>
      <c r="E300" s="12"/>
      <c r="G300" s="8">
        <f t="shared" si="15"/>
        <v>0.14285714285714285</v>
      </c>
      <c r="H300" s="73" t="s">
        <v>925</v>
      </c>
    </row>
    <row r="301" spans="1:8">
      <c r="A301" s="106"/>
      <c r="B301" s="12" t="s">
        <v>308</v>
      </c>
      <c r="C301" s="13"/>
      <c r="D301" s="12" t="s">
        <v>640</v>
      </c>
      <c r="E301" s="12"/>
      <c r="G301" s="8">
        <f t="shared" si="15"/>
        <v>0.14285714285714285</v>
      </c>
      <c r="H301" s="73" t="s">
        <v>925</v>
      </c>
    </row>
    <row r="302" spans="1:8">
      <c r="A302" s="106"/>
      <c r="B302" s="12" t="s">
        <v>304</v>
      </c>
      <c r="C302" s="13"/>
      <c r="D302" s="12" t="s">
        <v>641</v>
      </c>
      <c r="E302" s="12"/>
      <c r="G302" s="8">
        <f t="shared" si="15"/>
        <v>0.14285714285714285</v>
      </c>
      <c r="H302" s="73" t="s">
        <v>925</v>
      </c>
    </row>
    <row r="303" spans="1:8">
      <c r="A303" s="106"/>
      <c r="B303" s="12" t="s">
        <v>306</v>
      </c>
      <c r="C303" s="13"/>
      <c r="D303" s="12" t="s">
        <v>642</v>
      </c>
      <c r="E303" s="12"/>
      <c r="G303" s="8">
        <f t="shared" si="15"/>
        <v>0.14285714285714285</v>
      </c>
      <c r="H303" s="73" t="s">
        <v>925</v>
      </c>
    </row>
    <row r="304" spans="1:8">
      <c r="A304" s="26" t="s">
        <v>28</v>
      </c>
      <c r="B304" s="28" t="s">
        <v>310</v>
      </c>
      <c r="C304" s="27"/>
      <c r="D304" s="28" t="s">
        <v>643</v>
      </c>
      <c r="E304" s="28"/>
      <c r="G304" s="8">
        <f>1</f>
        <v>1</v>
      </c>
      <c r="H304" s="73" t="s">
        <v>925</v>
      </c>
    </row>
    <row r="305" spans="1:8">
      <c r="A305" s="24" t="s">
        <v>29</v>
      </c>
      <c r="B305" s="11" t="s">
        <v>311</v>
      </c>
      <c r="C305" s="7"/>
      <c r="D305" s="7" t="s">
        <v>644</v>
      </c>
      <c r="E305" s="7"/>
      <c r="G305" s="8">
        <f>1</f>
        <v>1</v>
      </c>
      <c r="H305" s="73" t="s">
        <v>925</v>
      </c>
    </row>
    <row r="306" spans="1:8">
      <c r="A306" s="106" t="s">
        <v>30</v>
      </c>
      <c r="B306" s="11" t="s">
        <v>33</v>
      </c>
      <c r="C306" s="7"/>
      <c r="D306" s="11" t="s">
        <v>645</v>
      </c>
      <c r="E306" s="11"/>
      <c r="G306" s="8">
        <f>1/3</f>
        <v>0.33333333333333331</v>
      </c>
      <c r="H306" s="73" t="s">
        <v>925</v>
      </c>
    </row>
    <row r="307" spans="1:8">
      <c r="A307" s="106"/>
      <c r="B307" s="11" t="s">
        <v>34</v>
      </c>
      <c r="C307" s="7"/>
      <c r="D307" s="11" t="s">
        <v>646</v>
      </c>
      <c r="E307" s="11"/>
      <c r="G307" s="8">
        <f t="shared" ref="G307:G308" si="16">1/3</f>
        <v>0.33333333333333331</v>
      </c>
      <c r="H307" s="73" t="s">
        <v>925</v>
      </c>
    </row>
    <row r="308" spans="1:8">
      <c r="A308" s="106"/>
      <c r="B308" s="11" t="s">
        <v>35</v>
      </c>
      <c r="C308" s="7"/>
      <c r="D308" s="11" t="s">
        <v>647</v>
      </c>
      <c r="E308" s="11"/>
      <c r="G308" s="8">
        <f t="shared" si="16"/>
        <v>0.33333333333333331</v>
      </c>
      <c r="H308" s="73" t="s">
        <v>925</v>
      </c>
    </row>
    <row r="309" spans="1:8">
      <c r="A309" s="106" t="s">
        <v>31</v>
      </c>
      <c r="B309" s="11" t="s">
        <v>315</v>
      </c>
      <c r="C309" s="7"/>
      <c r="D309" s="11" t="s">
        <v>648</v>
      </c>
      <c r="E309" s="11"/>
      <c r="G309" s="8">
        <f>1/4</f>
        <v>0.25</v>
      </c>
      <c r="H309" s="73" t="s">
        <v>925</v>
      </c>
    </row>
    <row r="310" spans="1:8">
      <c r="A310" s="106"/>
      <c r="B310" s="11" t="s">
        <v>314</v>
      </c>
      <c r="C310" s="7"/>
      <c r="D310" s="11" t="s">
        <v>649</v>
      </c>
      <c r="E310" s="11"/>
      <c r="G310" s="8">
        <f t="shared" ref="G310:G312" si="17">1/4</f>
        <v>0.25</v>
      </c>
      <c r="H310" s="73" t="s">
        <v>925</v>
      </c>
    </row>
    <row r="311" spans="1:8">
      <c r="A311" s="106"/>
      <c r="B311" s="11" t="s">
        <v>313</v>
      </c>
      <c r="C311" s="7"/>
      <c r="D311" s="7" t="s">
        <v>650</v>
      </c>
      <c r="E311" s="7"/>
      <c r="G311" s="8">
        <f t="shared" si="17"/>
        <v>0.25</v>
      </c>
      <c r="H311" s="73" t="s">
        <v>925</v>
      </c>
    </row>
    <row r="312" spans="1:8">
      <c r="A312" s="106"/>
      <c r="B312" s="11" t="s">
        <v>312</v>
      </c>
      <c r="C312" s="7"/>
      <c r="D312" s="7" t="s">
        <v>651</v>
      </c>
      <c r="E312" s="7"/>
      <c r="G312" s="8">
        <f t="shared" si="17"/>
        <v>0.25</v>
      </c>
      <c r="H312" s="73" t="s">
        <v>925</v>
      </c>
    </row>
    <row r="313" spans="1:8">
      <c r="A313" s="26" t="s">
        <v>32</v>
      </c>
      <c r="B313" s="11" t="s">
        <v>1015</v>
      </c>
      <c r="G313" s="8">
        <f>1</f>
        <v>1</v>
      </c>
      <c r="H313" s="73" t="s">
        <v>925</v>
      </c>
    </row>
    <row r="314" spans="1:8">
      <c r="A314" s="26" t="s">
        <v>1026</v>
      </c>
      <c r="B314" s="11" t="s">
        <v>654</v>
      </c>
      <c r="D314" s="3" t="s">
        <v>1026</v>
      </c>
      <c r="G314" s="8">
        <f>1</f>
        <v>1</v>
      </c>
      <c r="H314" s="73" t="s">
        <v>925</v>
      </c>
    </row>
    <row r="315" spans="1:8">
      <c r="A315" s="88" t="s">
        <v>933</v>
      </c>
      <c r="B315" s="11" t="s">
        <v>653</v>
      </c>
      <c r="D315" s="3" t="s">
        <v>652</v>
      </c>
      <c r="G315" s="8">
        <f>1</f>
        <v>1</v>
      </c>
      <c r="H315" s="7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8"/>
  <sheetViews>
    <sheetView topLeftCell="A24" workbookViewId="0"/>
    <sheetView topLeftCell="A119"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375" style="3" customWidth="1"/>
    <col min="4" max="4" width="29.875" style="3" bestFit="1" customWidth="1"/>
    <col min="5" max="5" width="23" style="3" customWidth="1"/>
    <col min="6" max="6" width="10.625" style="8" customWidth="1"/>
    <col min="7" max="7" width="20.625" style="3" bestFit="1" customWidth="1"/>
    <col min="8" max="16384" width="10.875" style="3"/>
  </cols>
  <sheetData>
    <row r="1" spans="1:8">
      <c r="A1" s="22" t="s">
        <v>0</v>
      </c>
      <c r="B1" s="22" t="s">
        <v>1</v>
      </c>
      <c r="C1" s="22" t="s">
        <v>2</v>
      </c>
      <c r="D1" s="22" t="s">
        <v>655</v>
      </c>
      <c r="E1" s="22" t="s">
        <v>728</v>
      </c>
      <c r="F1" s="23" t="s">
        <v>924</v>
      </c>
      <c r="G1" s="1" t="s">
        <v>926</v>
      </c>
    </row>
    <row r="2" spans="1:8" ht="29.25">
      <c r="A2" s="106" t="s">
        <v>3</v>
      </c>
      <c r="B2" s="29" t="s">
        <v>36</v>
      </c>
      <c r="C2" s="15"/>
      <c r="D2" s="16" t="s">
        <v>621</v>
      </c>
      <c r="F2" s="8">
        <v>9.0909090909090912E-2</v>
      </c>
      <c r="G2" s="73" t="s">
        <v>925</v>
      </c>
      <c r="H2" s="14"/>
    </row>
    <row r="3" spans="1:8">
      <c r="A3" s="106"/>
      <c r="B3" s="29" t="s">
        <v>46</v>
      </c>
      <c r="C3" s="15"/>
      <c r="D3" s="16" t="s">
        <v>316</v>
      </c>
      <c r="F3" s="8">
        <v>9.0909090909090912E-2</v>
      </c>
      <c r="G3" s="73" t="s">
        <v>925</v>
      </c>
      <c r="H3" s="14"/>
    </row>
    <row r="4" spans="1:8">
      <c r="A4" s="106"/>
      <c r="B4" s="29" t="s">
        <v>40</v>
      </c>
      <c r="C4" s="15"/>
      <c r="D4" s="16" t="s">
        <v>317</v>
      </c>
      <c r="F4" s="8">
        <v>9.0909090909090912E-2</v>
      </c>
      <c r="G4" s="73" t="s">
        <v>925</v>
      </c>
      <c r="H4" s="14"/>
    </row>
    <row r="5" spans="1:8">
      <c r="A5" s="106"/>
      <c r="B5" s="29" t="s">
        <v>44</v>
      </c>
      <c r="C5" s="15"/>
      <c r="D5" s="16" t="s">
        <v>318</v>
      </c>
      <c r="F5" s="8">
        <v>9.0909090909090912E-2</v>
      </c>
      <c r="G5" s="73" t="s">
        <v>925</v>
      </c>
      <c r="H5" s="14"/>
    </row>
    <row r="6" spans="1:8">
      <c r="A6" s="106"/>
      <c r="B6" s="29" t="s">
        <v>45</v>
      </c>
      <c r="C6" s="15"/>
      <c r="D6" s="16" t="s">
        <v>319</v>
      </c>
      <c r="F6" s="8">
        <v>9.0909090909090912E-2</v>
      </c>
      <c r="G6" s="73" t="s">
        <v>925</v>
      </c>
      <c r="H6" s="14"/>
    </row>
    <row r="7" spans="1:8">
      <c r="A7" s="106"/>
      <c r="B7" s="29" t="s">
        <v>37</v>
      </c>
      <c r="C7" s="15"/>
      <c r="D7" s="16" t="s">
        <v>320</v>
      </c>
      <c r="F7" s="8">
        <v>9.0909090909090912E-2</v>
      </c>
      <c r="G7" s="73" t="s">
        <v>925</v>
      </c>
      <c r="H7" s="14"/>
    </row>
    <row r="8" spans="1:8">
      <c r="A8" s="106"/>
      <c r="B8" s="29" t="s">
        <v>43</v>
      </c>
      <c r="C8" s="15"/>
      <c r="D8" s="16" t="s">
        <v>321</v>
      </c>
      <c r="F8" s="8">
        <v>9.0909090909090912E-2</v>
      </c>
      <c r="G8" s="73" t="s">
        <v>925</v>
      </c>
      <c r="H8" s="14"/>
    </row>
    <row r="9" spans="1:8">
      <c r="A9" s="106"/>
      <c r="B9" s="29" t="s">
        <v>42</v>
      </c>
      <c r="C9" s="15"/>
      <c r="D9" s="16" t="s">
        <v>322</v>
      </c>
      <c r="F9" s="8">
        <v>9.0909090909090912E-2</v>
      </c>
      <c r="G9" s="73" t="s">
        <v>925</v>
      </c>
      <c r="H9" s="14"/>
    </row>
    <row r="10" spans="1:8">
      <c r="A10" s="106"/>
      <c r="B10" s="29" t="s">
        <v>41</v>
      </c>
      <c r="C10" s="15"/>
      <c r="D10" s="16" t="s">
        <v>323</v>
      </c>
      <c r="F10" s="8">
        <v>9.0909090909090912E-2</v>
      </c>
      <c r="G10" s="73" t="s">
        <v>925</v>
      </c>
      <c r="H10" s="14"/>
    </row>
    <row r="11" spans="1:8">
      <c r="A11" s="106"/>
      <c r="B11" s="29" t="s">
        <v>39</v>
      </c>
      <c r="C11" s="15"/>
      <c r="D11" s="16" t="s">
        <v>324</v>
      </c>
      <c r="F11" s="8">
        <v>9.0909090909090912E-2</v>
      </c>
      <c r="G11" s="73" t="s">
        <v>925</v>
      </c>
      <c r="H11" s="14"/>
    </row>
    <row r="12" spans="1:8">
      <c r="A12" s="106"/>
      <c r="B12" s="29" t="s">
        <v>38</v>
      </c>
      <c r="C12" s="15"/>
      <c r="D12" s="16" t="s">
        <v>325</v>
      </c>
      <c r="F12" s="8">
        <v>9.0909090909090912E-2</v>
      </c>
      <c r="G12" s="73" t="s">
        <v>925</v>
      </c>
      <c r="H12" s="14"/>
    </row>
    <row r="13" spans="1:8">
      <c r="A13" s="106" t="s">
        <v>4</v>
      </c>
      <c r="B13" s="29" t="s">
        <v>47</v>
      </c>
      <c r="C13" s="15"/>
      <c r="D13" s="16" t="s">
        <v>326</v>
      </c>
      <c r="F13" s="8">
        <v>0.16666666666666666</v>
      </c>
      <c r="G13" s="73" t="s">
        <v>925</v>
      </c>
      <c r="H13" s="14"/>
    </row>
    <row r="14" spans="1:8">
      <c r="A14" s="106"/>
      <c r="B14" s="29" t="s">
        <v>49</v>
      </c>
      <c r="C14" s="15"/>
      <c r="D14" s="16" t="s">
        <v>327</v>
      </c>
      <c r="F14" s="8">
        <v>0.16666666666666666</v>
      </c>
      <c r="G14" s="73" t="s">
        <v>925</v>
      </c>
      <c r="H14" s="14"/>
    </row>
    <row r="15" spans="1:8">
      <c r="A15" s="106"/>
      <c r="B15" s="29" t="s">
        <v>50</v>
      </c>
      <c r="C15" s="15"/>
      <c r="D15" s="16" t="s">
        <v>328</v>
      </c>
      <c r="F15" s="8">
        <v>0.16666666666666666</v>
      </c>
      <c r="G15" s="73" t="s">
        <v>925</v>
      </c>
      <c r="H15" s="14"/>
    </row>
    <row r="16" spans="1:8">
      <c r="A16" s="106"/>
      <c r="B16" s="29" t="s">
        <v>51</v>
      </c>
      <c r="C16" s="15"/>
      <c r="D16" s="16" t="s">
        <v>329</v>
      </c>
      <c r="F16" s="8">
        <v>0.16666666666666666</v>
      </c>
      <c r="G16" s="73" t="s">
        <v>925</v>
      </c>
      <c r="H16" s="14"/>
    </row>
    <row r="17" spans="1:8">
      <c r="A17" s="106"/>
      <c r="B17" s="29" t="s">
        <v>52</v>
      </c>
      <c r="C17" s="15"/>
      <c r="D17" s="16" t="s">
        <v>330</v>
      </c>
      <c r="F17" s="8">
        <v>0.16666666666666666</v>
      </c>
      <c r="G17" s="73" t="s">
        <v>925</v>
      </c>
      <c r="H17" s="14"/>
    </row>
    <row r="18" spans="1:8">
      <c r="A18" s="106"/>
      <c r="B18" s="29" t="s">
        <v>48</v>
      </c>
      <c r="C18" s="15"/>
      <c r="D18" s="16" t="s">
        <v>331</v>
      </c>
      <c r="F18" s="8">
        <v>0.16666666666666666</v>
      </c>
      <c r="G18" s="73" t="s">
        <v>925</v>
      </c>
      <c r="H18" s="14"/>
    </row>
    <row r="19" spans="1:8">
      <c r="A19" s="106" t="s">
        <v>5</v>
      </c>
      <c r="B19" s="29" t="s">
        <v>54</v>
      </c>
      <c r="C19" s="15"/>
      <c r="D19" s="16" t="s">
        <v>332</v>
      </c>
      <c r="F19" s="8">
        <v>0.125</v>
      </c>
      <c r="G19" s="73" t="s">
        <v>925</v>
      </c>
      <c r="H19" s="14"/>
    </row>
    <row r="20" spans="1:8">
      <c r="A20" s="106"/>
      <c r="B20" s="29" t="s">
        <v>53</v>
      </c>
      <c r="C20" s="15"/>
      <c r="D20" s="16" t="s">
        <v>333</v>
      </c>
      <c r="F20" s="8">
        <v>0.125</v>
      </c>
      <c r="G20" s="73" t="s">
        <v>925</v>
      </c>
      <c r="H20" s="14"/>
    </row>
    <row r="21" spans="1:8">
      <c r="A21" s="106"/>
      <c r="B21" s="29" t="s">
        <v>60</v>
      </c>
      <c r="C21" s="15"/>
      <c r="D21" s="16" t="s">
        <v>334</v>
      </c>
      <c r="F21" s="8">
        <v>0.125</v>
      </c>
      <c r="G21" s="73" t="s">
        <v>925</v>
      </c>
      <c r="H21" s="14"/>
    </row>
    <row r="22" spans="1:8">
      <c r="A22" s="106"/>
      <c r="B22" s="29" t="s">
        <v>58</v>
      </c>
      <c r="C22" s="18"/>
      <c r="D22" s="16" t="s">
        <v>335</v>
      </c>
      <c r="F22" s="8">
        <v>0.125</v>
      </c>
      <c r="G22" s="73" t="s">
        <v>925</v>
      </c>
      <c r="H22" s="14"/>
    </row>
    <row r="23" spans="1:8">
      <c r="A23" s="106"/>
      <c r="B23" s="29" t="s">
        <v>57</v>
      </c>
      <c r="C23" s="15"/>
      <c r="D23" s="16" t="s">
        <v>336</v>
      </c>
      <c r="F23" s="8">
        <v>0.125</v>
      </c>
      <c r="G23" s="73" t="s">
        <v>925</v>
      </c>
      <c r="H23" s="14"/>
    </row>
    <row r="24" spans="1:8">
      <c r="A24" s="106"/>
      <c r="B24" s="29" t="s">
        <v>59</v>
      </c>
      <c r="C24" s="15"/>
      <c r="D24" s="16" t="s">
        <v>337</v>
      </c>
      <c r="F24" s="8">
        <v>0.125</v>
      </c>
      <c r="G24" s="73" t="s">
        <v>925</v>
      </c>
      <c r="H24" s="14"/>
    </row>
    <row r="25" spans="1:8">
      <c r="A25" s="106"/>
      <c r="B25" s="29" t="s">
        <v>55</v>
      </c>
      <c r="C25" s="15"/>
      <c r="D25" s="16" t="s">
        <v>338</v>
      </c>
      <c r="F25" s="8">
        <v>0.125</v>
      </c>
      <c r="G25" s="73" t="s">
        <v>925</v>
      </c>
      <c r="H25" s="14"/>
    </row>
    <row r="26" spans="1:8">
      <c r="A26" s="106"/>
      <c r="B26" s="29" t="s">
        <v>56</v>
      </c>
      <c r="C26" s="15"/>
      <c r="D26" s="16" t="s">
        <v>339</v>
      </c>
      <c r="F26" s="8">
        <v>0.125</v>
      </c>
      <c r="G26" s="73" t="s">
        <v>925</v>
      </c>
      <c r="H26" s="14"/>
    </row>
    <row r="27" spans="1:8">
      <c r="A27" s="106" t="s">
        <v>6</v>
      </c>
      <c r="B27" s="29" t="s">
        <v>64</v>
      </c>
      <c r="C27" s="15"/>
      <c r="D27" s="16" t="s">
        <v>340</v>
      </c>
      <c r="F27" s="8">
        <v>0.2</v>
      </c>
      <c r="G27" s="73" t="s">
        <v>925</v>
      </c>
      <c r="H27" s="14"/>
    </row>
    <row r="28" spans="1:8">
      <c r="A28" s="106"/>
      <c r="B28" s="29" t="s">
        <v>61</v>
      </c>
      <c r="C28" s="15"/>
      <c r="D28" s="16" t="s">
        <v>341</v>
      </c>
      <c r="F28" s="8">
        <v>0.2</v>
      </c>
      <c r="G28" s="73" t="s">
        <v>925</v>
      </c>
      <c r="H28" s="14"/>
    </row>
    <row r="29" spans="1:8">
      <c r="A29" s="106"/>
      <c r="B29" s="29" t="s">
        <v>63</v>
      </c>
      <c r="C29" s="15"/>
      <c r="D29" s="16" t="s">
        <v>342</v>
      </c>
      <c r="F29" s="8">
        <v>0.2</v>
      </c>
      <c r="G29" s="73" t="s">
        <v>925</v>
      </c>
      <c r="H29" s="14"/>
    </row>
    <row r="30" spans="1:8">
      <c r="A30" s="106"/>
      <c r="B30" s="29" t="s">
        <v>65</v>
      </c>
      <c r="C30" s="15"/>
      <c r="D30" s="16" t="s">
        <v>343</v>
      </c>
      <c r="F30" s="8">
        <v>0.2</v>
      </c>
      <c r="G30" s="73" t="s">
        <v>925</v>
      </c>
      <c r="H30" s="14"/>
    </row>
    <row r="31" spans="1:8">
      <c r="A31" s="106"/>
      <c r="B31" s="29" t="s">
        <v>62</v>
      </c>
      <c r="C31" s="15"/>
      <c r="D31" s="16" t="s">
        <v>344</v>
      </c>
      <c r="F31" s="8">
        <v>0.2</v>
      </c>
      <c r="G31" s="73" t="s">
        <v>925</v>
      </c>
      <c r="H31" s="14"/>
    </row>
    <row r="32" spans="1:8" ht="31.5">
      <c r="A32" s="106" t="s">
        <v>7</v>
      </c>
      <c r="B32" s="29" t="s">
        <v>101</v>
      </c>
      <c r="C32" s="72" t="s">
        <v>920</v>
      </c>
      <c r="D32" s="16" t="s">
        <v>345</v>
      </c>
      <c r="H32" s="14"/>
    </row>
    <row r="33" spans="1:8">
      <c r="A33" s="106"/>
      <c r="B33" s="29" t="s">
        <v>102</v>
      </c>
      <c r="C33" s="15"/>
      <c r="D33" s="16" t="s">
        <v>346</v>
      </c>
      <c r="H33" s="14"/>
    </row>
    <row r="34" spans="1:8" ht="78.75">
      <c r="A34" s="106"/>
      <c r="B34" s="29" t="s">
        <v>103</v>
      </c>
      <c r="C34" s="72" t="s">
        <v>923</v>
      </c>
      <c r="D34" s="16" t="s">
        <v>347</v>
      </c>
      <c r="H34" s="14"/>
    </row>
    <row r="35" spans="1:8" ht="43.5">
      <c r="A35" s="106"/>
      <c r="B35" s="29" t="s">
        <v>100</v>
      </c>
      <c r="C35" s="15" t="s">
        <v>917</v>
      </c>
      <c r="D35" s="16" t="s">
        <v>348</v>
      </c>
      <c r="H35" s="14"/>
    </row>
    <row r="36" spans="1:8" ht="43.5">
      <c r="A36" s="106"/>
      <c r="B36" s="29" t="s">
        <v>97</v>
      </c>
      <c r="C36" s="31" t="s">
        <v>921</v>
      </c>
      <c r="D36" s="16" t="s">
        <v>349</v>
      </c>
      <c r="H36" s="14"/>
    </row>
    <row r="37" spans="1:8" ht="15.75">
      <c r="A37" s="106"/>
      <c r="B37" s="29" t="s">
        <v>98</v>
      </c>
      <c r="C37" t="s">
        <v>914</v>
      </c>
      <c r="D37" s="16" t="s">
        <v>350</v>
      </c>
      <c r="H37" s="14"/>
    </row>
    <row r="38" spans="1:8">
      <c r="A38" s="106"/>
      <c r="B38" s="29" t="s">
        <v>95</v>
      </c>
      <c r="C38" s="15"/>
      <c r="D38" s="16" t="s">
        <v>351</v>
      </c>
      <c r="H38" s="14"/>
    </row>
    <row r="39" spans="1:8">
      <c r="A39" s="106"/>
      <c r="B39" s="29" t="s">
        <v>96</v>
      </c>
      <c r="C39" s="15"/>
      <c r="D39" s="16" t="s">
        <v>352</v>
      </c>
      <c r="H39" s="14"/>
    </row>
    <row r="40" spans="1:8">
      <c r="A40" s="106"/>
      <c r="B40" s="29" t="s">
        <v>99</v>
      </c>
      <c r="C40" s="15"/>
      <c r="D40" s="16" t="s">
        <v>353</v>
      </c>
      <c r="H40" s="14"/>
    </row>
    <row r="41" spans="1:8">
      <c r="A41" s="106"/>
      <c r="B41" s="29" t="s">
        <v>93</v>
      </c>
      <c r="C41" s="15"/>
      <c r="D41" s="16" t="s">
        <v>354</v>
      </c>
      <c r="H41" s="14"/>
    </row>
    <row r="42" spans="1:8" ht="47.25">
      <c r="A42" s="106"/>
      <c r="B42" s="29" t="s">
        <v>94</v>
      </c>
      <c r="C42" s="72" t="s">
        <v>922</v>
      </c>
      <c r="D42" s="16" t="s">
        <v>355</v>
      </c>
      <c r="H42" s="14"/>
    </row>
    <row r="43" spans="1:8">
      <c r="A43" s="106"/>
      <c r="B43" s="29" t="s">
        <v>92</v>
      </c>
      <c r="C43" s="15" t="s">
        <v>356</v>
      </c>
      <c r="D43" s="16" t="s">
        <v>356</v>
      </c>
      <c r="H43" s="14"/>
    </row>
    <row r="44" spans="1:8">
      <c r="A44" s="106"/>
      <c r="B44" s="29" t="s">
        <v>91</v>
      </c>
      <c r="C44" s="15"/>
      <c r="D44" s="16" t="s">
        <v>357</v>
      </c>
      <c r="H44" s="14"/>
    </row>
    <row r="45" spans="1:8">
      <c r="A45" s="106"/>
      <c r="B45" s="29" t="s">
        <v>90</v>
      </c>
      <c r="C45" s="15"/>
      <c r="D45" s="16" t="s">
        <v>358</v>
      </c>
      <c r="H45" s="14"/>
    </row>
    <row r="46" spans="1:8" ht="30">
      <c r="A46" s="106"/>
      <c r="B46" s="29" t="s">
        <v>89</v>
      </c>
      <c r="C46" s="17" t="s">
        <v>913</v>
      </c>
      <c r="D46" s="16" t="s">
        <v>359</v>
      </c>
      <c r="F46" s="8">
        <v>0.21394611727416799</v>
      </c>
      <c r="H46" s="14"/>
    </row>
    <row r="47" spans="1:8">
      <c r="A47" s="106"/>
      <c r="B47" s="29" t="s">
        <v>88</v>
      </c>
      <c r="C47" s="15"/>
      <c r="D47" s="16" t="s">
        <v>360</v>
      </c>
      <c r="H47" s="14"/>
    </row>
    <row r="48" spans="1:8">
      <c r="A48" s="106"/>
      <c r="B48" s="29" t="s">
        <v>87</v>
      </c>
      <c r="C48" s="15"/>
      <c r="D48" s="16" t="s">
        <v>361</v>
      </c>
      <c r="H48" s="14"/>
    </row>
    <row r="49" spans="1:8" ht="15.75">
      <c r="A49" s="106"/>
      <c r="B49" s="29" t="s">
        <v>86</v>
      </c>
      <c r="C49" t="s">
        <v>910</v>
      </c>
      <c r="D49" s="16" t="s">
        <v>362</v>
      </c>
      <c r="H49" s="14"/>
    </row>
    <row r="50" spans="1:8">
      <c r="A50" s="106"/>
      <c r="B50" s="29" t="s">
        <v>85</v>
      </c>
      <c r="C50" s="15"/>
      <c r="D50" s="16" t="s">
        <v>363</v>
      </c>
      <c r="H50" s="14"/>
    </row>
    <row r="51" spans="1:8" ht="15.75">
      <c r="A51" s="106"/>
      <c r="B51" s="29" t="s">
        <v>84</v>
      </c>
      <c r="C51" s="72" t="s">
        <v>912</v>
      </c>
      <c r="D51" s="16" t="s">
        <v>364</v>
      </c>
      <c r="H51" s="14"/>
    </row>
    <row r="52" spans="1:8" ht="15.75">
      <c r="A52" s="106"/>
      <c r="B52" s="29" t="s">
        <v>83</v>
      </c>
      <c r="C52" t="s">
        <v>365</v>
      </c>
      <c r="D52" s="16" t="s">
        <v>365</v>
      </c>
      <c r="H52" s="14"/>
    </row>
    <row r="53" spans="1:8">
      <c r="A53" s="106"/>
      <c r="B53" s="29" t="s">
        <v>82</v>
      </c>
      <c r="C53" s="15"/>
      <c r="D53" s="16" t="s">
        <v>366</v>
      </c>
      <c r="H53" s="14"/>
    </row>
    <row r="54" spans="1:8">
      <c r="A54" s="106"/>
      <c r="B54" s="29" t="s">
        <v>81</v>
      </c>
      <c r="C54" s="15"/>
      <c r="D54" s="16" t="s">
        <v>367</v>
      </c>
      <c r="H54" s="14"/>
    </row>
    <row r="55" spans="1:8" ht="131.25">
      <c r="A55" s="106"/>
      <c r="B55" s="29" t="s">
        <v>78</v>
      </c>
      <c r="C55" s="71" t="s">
        <v>918</v>
      </c>
      <c r="D55" s="16" t="s">
        <v>368</v>
      </c>
      <c r="F55" s="8">
        <v>0.78605388272583199</v>
      </c>
      <c r="H55" s="14"/>
    </row>
    <row r="56" spans="1:8">
      <c r="A56" s="106"/>
      <c r="B56" s="29" t="s">
        <v>77</v>
      </c>
      <c r="C56" s="31"/>
      <c r="D56" s="16" t="s">
        <v>369</v>
      </c>
      <c r="H56" s="14"/>
    </row>
    <row r="57" spans="1:8" ht="15.75">
      <c r="A57" s="106"/>
      <c r="B57" s="29" t="s">
        <v>76</v>
      </c>
      <c r="C57" t="s">
        <v>683</v>
      </c>
      <c r="D57" s="16" t="s">
        <v>370</v>
      </c>
      <c r="H57" s="14"/>
    </row>
    <row r="58" spans="1:8">
      <c r="A58" s="106"/>
      <c r="B58" s="29" t="s">
        <v>79</v>
      </c>
      <c r="C58" s="15"/>
      <c r="D58" s="16" t="s">
        <v>371</v>
      </c>
      <c r="H58" s="14"/>
    </row>
    <row r="59" spans="1:8" ht="63">
      <c r="A59" s="106"/>
      <c r="B59" s="29" t="s">
        <v>80</v>
      </c>
      <c r="C59" s="72" t="s">
        <v>915</v>
      </c>
      <c r="D59" s="16" t="s">
        <v>372</v>
      </c>
      <c r="H59" s="14"/>
    </row>
    <row r="60" spans="1:8">
      <c r="A60" s="106"/>
      <c r="B60" s="29" t="s">
        <v>75</v>
      </c>
      <c r="C60" s="15"/>
      <c r="D60" s="16" t="s">
        <v>373</v>
      </c>
      <c r="H60" s="14"/>
    </row>
    <row r="61" spans="1:8">
      <c r="A61" s="106"/>
      <c r="B61" s="29" t="s">
        <v>73</v>
      </c>
      <c r="C61" s="15"/>
      <c r="D61" s="16" t="s">
        <v>374</v>
      </c>
      <c r="H61" s="14"/>
    </row>
    <row r="62" spans="1:8">
      <c r="A62" s="106"/>
      <c r="B62" s="29" t="s">
        <v>74</v>
      </c>
      <c r="C62" s="32"/>
      <c r="D62" s="16" t="s">
        <v>375</v>
      </c>
      <c r="H62" s="14"/>
    </row>
    <row r="63" spans="1:8">
      <c r="A63" s="106"/>
      <c r="B63" s="29" t="s">
        <v>72</v>
      </c>
      <c r="C63" s="15"/>
      <c r="D63" s="16" t="s">
        <v>376</v>
      </c>
      <c r="H63" s="14"/>
    </row>
    <row r="64" spans="1:8">
      <c r="A64" s="106"/>
      <c r="B64" s="29" t="s">
        <v>69</v>
      </c>
      <c r="C64" s="15"/>
      <c r="D64" s="16" t="s">
        <v>377</v>
      </c>
      <c r="H64" s="14"/>
    </row>
    <row r="65" spans="1:8">
      <c r="A65" s="106"/>
      <c r="B65" s="29" t="s">
        <v>70</v>
      </c>
      <c r="C65" s="15" t="s">
        <v>911</v>
      </c>
      <c r="D65" s="16" t="s">
        <v>378</v>
      </c>
      <c r="H65" s="14"/>
    </row>
    <row r="66" spans="1:8">
      <c r="A66" s="106"/>
      <c r="B66" s="29" t="s">
        <v>68</v>
      </c>
      <c r="C66" s="32" t="s">
        <v>919</v>
      </c>
      <c r="D66" s="16" t="s">
        <v>379</v>
      </c>
      <c r="H66" s="14"/>
    </row>
    <row r="67" spans="1:8" ht="57.75">
      <c r="A67" s="106"/>
      <c r="B67" s="29" t="s">
        <v>71</v>
      </c>
      <c r="C67" s="15" t="s">
        <v>916</v>
      </c>
      <c r="D67" s="16" t="s">
        <v>380</v>
      </c>
      <c r="H67" s="14"/>
    </row>
    <row r="68" spans="1:8">
      <c r="A68" s="106"/>
      <c r="B68" s="29" t="s">
        <v>67</v>
      </c>
      <c r="C68" s="32"/>
      <c r="D68" s="16" t="s">
        <v>381</v>
      </c>
      <c r="H68" s="14"/>
    </row>
    <row r="69" spans="1:8">
      <c r="A69" s="106"/>
      <c r="B69" s="29" t="s">
        <v>66</v>
      </c>
      <c r="C69" s="15"/>
      <c r="D69" s="16" t="s">
        <v>382</v>
      </c>
      <c r="H69" s="14"/>
    </row>
    <row r="70" spans="1:8">
      <c r="A70" s="24" t="s">
        <v>622</v>
      </c>
      <c r="B70" s="29" t="s">
        <v>383</v>
      </c>
      <c r="C70" s="15"/>
      <c r="D70" s="16" t="s">
        <v>384</v>
      </c>
      <c r="H70" s="14"/>
    </row>
    <row r="71" spans="1:8">
      <c r="A71" s="106" t="s">
        <v>8</v>
      </c>
      <c r="B71" s="29" t="s">
        <v>106</v>
      </c>
      <c r="C71" s="15"/>
      <c r="D71" s="16" t="s">
        <v>385</v>
      </c>
      <c r="F71" s="8">
        <v>0.33333333333333331</v>
      </c>
      <c r="G71" s="73" t="s">
        <v>925</v>
      </c>
      <c r="H71" s="14"/>
    </row>
    <row r="72" spans="1:8">
      <c r="A72" s="106"/>
      <c r="B72" s="29" t="s">
        <v>105</v>
      </c>
      <c r="C72" s="15"/>
      <c r="D72" s="16" t="s">
        <v>386</v>
      </c>
      <c r="F72" s="8">
        <v>0.33333333333333331</v>
      </c>
      <c r="G72" s="73" t="s">
        <v>925</v>
      </c>
      <c r="H72" s="14"/>
    </row>
    <row r="73" spans="1:8">
      <c r="A73" s="106"/>
      <c r="B73" s="29" t="s">
        <v>104</v>
      </c>
      <c r="C73" s="15"/>
      <c r="D73" s="16" t="s">
        <v>387</v>
      </c>
      <c r="F73" s="8">
        <v>0.33333333333333331</v>
      </c>
      <c r="G73" s="73" t="s">
        <v>925</v>
      </c>
      <c r="H73" s="14"/>
    </row>
    <row r="74" spans="1:8">
      <c r="A74" s="106" t="s">
        <v>9</v>
      </c>
      <c r="B74" s="29" t="s">
        <v>114</v>
      </c>
      <c r="C74" s="15"/>
      <c r="D74" s="16" t="s">
        <v>388</v>
      </c>
      <c r="H74" s="14"/>
    </row>
    <row r="75" spans="1:8">
      <c r="A75" s="106"/>
      <c r="B75" s="29" t="s">
        <v>389</v>
      </c>
      <c r="C75" s="15"/>
      <c r="D75" s="16" t="s">
        <v>390</v>
      </c>
      <c r="H75" s="14"/>
    </row>
    <row r="76" spans="1:8">
      <c r="A76" s="106"/>
      <c r="B76" s="29" t="s">
        <v>391</v>
      </c>
      <c r="C76" s="15"/>
      <c r="D76" s="16" t="s">
        <v>392</v>
      </c>
    </row>
    <row r="77" spans="1:8">
      <c r="A77" s="106"/>
      <c r="B77" s="29" t="s">
        <v>393</v>
      </c>
      <c r="C77" s="15" t="s">
        <v>736</v>
      </c>
      <c r="D77" s="16" t="s">
        <v>394</v>
      </c>
      <c r="F77" s="8">
        <v>1</v>
      </c>
    </row>
    <row r="78" spans="1:8">
      <c r="A78" s="106"/>
      <c r="B78" s="29" t="s">
        <v>115</v>
      </c>
      <c r="C78" s="15"/>
      <c r="D78" s="16" t="s">
        <v>395</v>
      </c>
    </row>
    <row r="79" spans="1:8">
      <c r="A79" s="106"/>
      <c r="B79" s="29" t="s">
        <v>110</v>
      </c>
      <c r="C79" s="15"/>
      <c r="D79" s="16" t="s">
        <v>396</v>
      </c>
    </row>
    <row r="80" spans="1:8">
      <c r="A80" s="106"/>
      <c r="B80" s="29" t="s">
        <v>112</v>
      </c>
      <c r="C80" s="15"/>
      <c r="D80" s="16" t="s">
        <v>397</v>
      </c>
    </row>
    <row r="81" spans="1:6">
      <c r="A81" s="106"/>
      <c r="B81" s="29" t="s">
        <v>111</v>
      </c>
      <c r="C81" s="15"/>
      <c r="D81" s="16" t="s">
        <v>398</v>
      </c>
    </row>
    <row r="82" spans="1:6">
      <c r="A82" s="106"/>
      <c r="B82" s="29" t="s">
        <v>107</v>
      </c>
      <c r="C82" s="15"/>
      <c r="D82" s="16" t="s">
        <v>399</v>
      </c>
    </row>
    <row r="83" spans="1:6">
      <c r="A83" s="106"/>
      <c r="B83" s="29" t="s">
        <v>400</v>
      </c>
      <c r="C83" s="15"/>
      <c r="D83" s="16" t="s">
        <v>401</v>
      </c>
    </row>
    <row r="84" spans="1:6">
      <c r="A84" s="106"/>
      <c r="B84" s="29" t="s">
        <v>113</v>
      </c>
      <c r="C84" s="15"/>
      <c r="D84" s="16" t="s">
        <v>402</v>
      </c>
    </row>
    <row r="85" spans="1:6">
      <c r="A85" s="106"/>
      <c r="B85" s="29" t="s">
        <v>108</v>
      </c>
      <c r="C85" s="15"/>
      <c r="D85" s="16" t="s">
        <v>403</v>
      </c>
    </row>
    <row r="86" spans="1:6">
      <c r="A86" s="106"/>
      <c r="B86" s="29" t="s">
        <v>109</v>
      </c>
      <c r="C86" s="15"/>
      <c r="D86" s="16" t="s">
        <v>404</v>
      </c>
    </row>
    <row r="87" spans="1:6" ht="29.25">
      <c r="A87" s="106" t="s">
        <v>10</v>
      </c>
      <c r="B87" s="29" t="s">
        <v>120</v>
      </c>
      <c r="C87" s="15" t="s">
        <v>731</v>
      </c>
      <c r="D87" s="16" t="s">
        <v>405</v>
      </c>
      <c r="F87" s="8">
        <v>0.78372093023255818</v>
      </c>
    </row>
    <row r="88" spans="1:6">
      <c r="A88" s="106"/>
      <c r="B88" s="29" t="s">
        <v>117</v>
      </c>
      <c r="C88" s="15" t="s">
        <v>732</v>
      </c>
      <c r="D88" s="16" t="s">
        <v>406</v>
      </c>
      <c r="F88" s="8">
        <v>0.21627906976744185</v>
      </c>
    </row>
    <row r="89" spans="1:6">
      <c r="A89" s="106"/>
      <c r="B89" s="29" t="s">
        <v>128</v>
      </c>
      <c r="C89" s="15"/>
      <c r="D89" s="16" t="s">
        <v>407</v>
      </c>
    </row>
    <row r="90" spans="1:6">
      <c r="A90" s="106"/>
      <c r="B90" s="29" t="s">
        <v>118</v>
      </c>
      <c r="C90" s="15"/>
      <c r="D90" s="16" t="s">
        <v>408</v>
      </c>
    </row>
    <row r="91" spans="1:6">
      <c r="A91" s="106"/>
      <c r="B91" s="29" t="s">
        <v>123</v>
      </c>
      <c r="C91" s="15"/>
      <c r="D91" s="16" t="s">
        <v>409</v>
      </c>
    </row>
    <row r="92" spans="1:6">
      <c r="A92" s="106"/>
      <c r="B92" s="29" t="s">
        <v>119</v>
      </c>
      <c r="C92" s="15"/>
      <c r="D92" s="16" t="s">
        <v>410</v>
      </c>
    </row>
    <row r="93" spans="1:6">
      <c r="A93" s="106"/>
      <c r="B93" s="29" t="s">
        <v>129</v>
      </c>
      <c r="C93" s="15"/>
      <c r="D93" s="16" t="s">
        <v>411</v>
      </c>
    </row>
    <row r="94" spans="1:6">
      <c r="A94" s="106"/>
      <c r="B94" s="29" t="s">
        <v>124</v>
      </c>
      <c r="C94" s="15"/>
      <c r="D94" s="16" t="s">
        <v>412</v>
      </c>
    </row>
    <row r="95" spans="1:6">
      <c r="A95" s="106"/>
      <c r="B95" s="29" t="s">
        <v>126</v>
      </c>
      <c r="C95" s="15"/>
      <c r="D95" s="16" t="s">
        <v>413</v>
      </c>
    </row>
    <row r="96" spans="1:6">
      <c r="A96" s="106"/>
      <c r="B96" s="29" t="s">
        <v>127</v>
      </c>
      <c r="C96" s="15"/>
      <c r="D96" s="16" t="s">
        <v>414</v>
      </c>
    </row>
    <row r="97" spans="1:6">
      <c r="A97" s="106"/>
      <c r="B97" s="29" t="s">
        <v>121</v>
      </c>
      <c r="C97" s="15"/>
      <c r="D97" s="16" t="s">
        <v>415</v>
      </c>
    </row>
    <row r="98" spans="1:6">
      <c r="A98" s="106"/>
      <c r="B98" s="29" t="s">
        <v>125</v>
      </c>
      <c r="C98" s="15"/>
      <c r="D98" s="16" t="s">
        <v>416</v>
      </c>
    </row>
    <row r="99" spans="1:6">
      <c r="A99" s="106"/>
      <c r="B99" s="29" t="s">
        <v>122</v>
      </c>
      <c r="C99" s="15"/>
      <c r="D99" s="16" t="s">
        <v>417</v>
      </c>
    </row>
    <row r="100" spans="1:6">
      <c r="A100" s="106"/>
      <c r="B100" s="29" t="s">
        <v>418</v>
      </c>
      <c r="C100" s="15"/>
      <c r="D100" s="16" t="s">
        <v>419</v>
      </c>
    </row>
    <row r="101" spans="1:6">
      <c r="A101" s="106"/>
      <c r="B101" s="29" t="s">
        <v>130</v>
      </c>
      <c r="C101" s="15"/>
      <c r="D101" s="16" t="s">
        <v>420</v>
      </c>
    </row>
    <row r="102" spans="1:6">
      <c r="A102" s="106"/>
      <c r="B102" s="29" t="s">
        <v>116</v>
      </c>
      <c r="C102" s="15"/>
      <c r="D102" s="16" t="s">
        <v>421</v>
      </c>
    </row>
    <row r="103" spans="1:6">
      <c r="A103" s="106"/>
      <c r="B103" s="29" t="s">
        <v>422</v>
      </c>
      <c r="C103" s="15"/>
      <c r="D103" s="16" t="s">
        <v>423</v>
      </c>
    </row>
    <row r="104" spans="1:6">
      <c r="A104" s="106"/>
      <c r="B104" s="29" t="s">
        <v>424</v>
      </c>
      <c r="C104" s="15"/>
      <c r="D104" s="16" t="s">
        <v>425</v>
      </c>
    </row>
    <row r="105" spans="1:6">
      <c r="A105" s="106"/>
      <c r="B105" s="29" t="s">
        <v>426</v>
      </c>
      <c r="C105" s="15"/>
      <c r="D105" s="16" t="s">
        <v>427</v>
      </c>
    </row>
    <row r="106" spans="1:6">
      <c r="A106" s="106" t="s">
        <v>11</v>
      </c>
      <c r="B106" s="29" t="s">
        <v>132</v>
      </c>
      <c r="C106" s="15"/>
      <c r="D106" s="16" t="s">
        <v>428</v>
      </c>
    </row>
    <row r="107" spans="1:6">
      <c r="A107" s="106"/>
      <c r="B107" s="29" t="s">
        <v>143</v>
      </c>
      <c r="C107" s="15"/>
      <c r="D107" s="16" t="s">
        <v>429</v>
      </c>
    </row>
    <row r="108" spans="1:6">
      <c r="A108" s="106"/>
      <c r="B108" s="29" t="s">
        <v>141</v>
      </c>
      <c r="C108" s="15"/>
      <c r="D108" s="16" t="s">
        <v>430</v>
      </c>
    </row>
    <row r="109" spans="1:6">
      <c r="A109" s="106"/>
      <c r="B109" s="29" t="s">
        <v>138</v>
      </c>
      <c r="C109" s="15"/>
      <c r="D109" s="16" t="s">
        <v>431</v>
      </c>
    </row>
    <row r="110" spans="1:6">
      <c r="A110" s="106"/>
      <c r="B110" s="30" t="s">
        <v>145</v>
      </c>
      <c r="C110" s="16"/>
      <c r="D110" s="19" t="s">
        <v>432</v>
      </c>
    </row>
    <row r="111" spans="1:6">
      <c r="A111" s="106"/>
      <c r="B111" s="30" t="s">
        <v>137</v>
      </c>
      <c r="C111" s="31"/>
      <c r="D111" s="19" t="s">
        <v>433</v>
      </c>
    </row>
    <row r="112" spans="1:6">
      <c r="A112" s="106"/>
      <c r="B112" s="29" t="s">
        <v>134</v>
      </c>
      <c r="C112" s="32" t="s">
        <v>663</v>
      </c>
      <c r="D112" s="16" t="s">
        <v>434</v>
      </c>
      <c r="F112" s="8">
        <v>0.66279069767441856</v>
      </c>
    </row>
    <row r="113" spans="1:6">
      <c r="A113" s="106"/>
      <c r="B113" s="29" t="s">
        <v>151</v>
      </c>
      <c r="C113" s="15"/>
      <c r="D113" s="16" t="s">
        <v>435</v>
      </c>
    </row>
    <row r="114" spans="1:6">
      <c r="A114" s="106"/>
      <c r="B114" s="29" t="s">
        <v>133</v>
      </c>
      <c r="C114" s="15"/>
      <c r="D114" s="16" t="s">
        <v>436</v>
      </c>
    </row>
    <row r="115" spans="1:6">
      <c r="A115" s="106"/>
      <c r="B115" s="29" t="s">
        <v>148</v>
      </c>
      <c r="C115" s="15"/>
      <c r="D115" s="16" t="s">
        <v>437</v>
      </c>
    </row>
    <row r="116" spans="1:6">
      <c r="A116" s="106"/>
      <c r="B116" s="29" t="s">
        <v>135</v>
      </c>
      <c r="C116" s="15"/>
      <c r="D116" s="16" t="s">
        <v>438</v>
      </c>
    </row>
    <row r="117" spans="1:6">
      <c r="A117" s="106"/>
      <c r="B117" s="29" t="s">
        <v>136</v>
      </c>
      <c r="C117" s="15"/>
      <c r="D117" s="16" t="s">
        <v>439</v>
      </c>
    </row>
    <row r="118" spans="1:6">
      <c r="A118" s="106"/>
      <c r="B118" s="29" t="s">
        <v>140</v>
      </c>
      <c r="C118" s="15"/>
      <c r="D118" s="16" t="s">
        <v>440</v>
      </c>
    </row>
    <row r="119" spans="1:6">
      <c r="A119" s="106"/>
      <c r="B119" s="29" t="s">
        <v>139</v>
      </c>
      <c r="C119" s="15"/>
      <c r="D119" s="16" t="s">
        <v>441</v>
      </c>
    </row>
    <row r="120" spans="1:6">
      <c r="A120" s="106"/>
      <c r="B120" s="29" t="s">
        <v>142</v>
      </c>
      <c r="C120" s="15"/>
      <c r="D120" s="16" t="s">
        <v>442</v>
      </c>
    </row>
    <row r="121" spans="1:6">
      <c r="A121" s="106"/>
      <c r="B121" s="29" t="s">
        <v>144</v>
      </c>
      <c r="C121" s="15"/>
      <c r="D121" s="16" t="s">
        <v>443</v>
      </c>
    </row>
    <row r="122" spans="1:6">
      <c r="A122" s="106"/>
      <c r="B122" s="29" t="s">
        <v>146</v>
      </c>
      <c r="C122" s="15"/>
      <c r="D122" s="16" t="s">
        <v>444</v>
      </c>
    </row>
    <row r="123" spans="1:6">
      <c r="A123" s="106"/>
      <c r="B123" s="29" t="s">
        <v>147</v>
      </c>
      <c r="C123" s="15"/>
      <c r="D123" s="16" t="s">
        <v>445</v>
      </c>
    </row>
    <row r="124" spans="1:6">
      <c r="A124" s="106"/>
      <c r="B124" s="29" t="s">
        <v>150</v>
      </c>
      <c r="C124" s="15"/>
      <c r="D124" s="16" t="s">
        <v>446</v>
      </c>
    </row>
    <row r="125" spans="1:6" ht="29.25">
      <c r="A125" s="106"/>
      <c r="B125" s="29" t="s">
        <v>152</v>
      </c>
      <c r="C125" s="15" t="s">
        <v>733</v>
      </c>
      <c r="D125" s="16" t="s">
        <v>447</v>
      </c>
      <c r="F125" s="8">
        <v>0.33720930232558138</v>
      </c>
    </row>
    <row r="126" spans="1:6">
      <c r="A126" s="106"/>
      <c r="B126" s="29" t="s">
        <v>149</v>
      </c>
      <c r="C126" s="15"/>
      <c r="D126" s="16" t="s">
        <v>448</v>
      </c>
    </row>
    <row r="127" spans="1:6">
      <c r="A127" s="106"/>
      <c r="B127" s="29" t="s">
        <v>131</v>
      </c>
      <c r="C127" s="15"/>
      <c r="D127" s="16" t="s">
        <v>449</v>
      </c>
    </row>
    <row r="128" spans="1:6">
      <c r="A128" s="106"/>
      <c r="B128" s="29" t="s">
        <v>450</v>
      </c>
      <c r="C128" s="15"/>
      <c r="D128" s="16" t="s">
        <v>451</v>
      </c>
    </row>
    <row r="129" spans="1:7">
      <c r="A129" s="106"/>
      <c r="B129" s="29" t="s">
        <v>452</v>
      </c>
      <c r="C129" s="15"/>
      <c r="D129" s="16" t="s">
        <v>453</v>
      </c>
    </row>
    <row r="130" spans="1:7">
      <c r="A130" s="106"/>
      <c r="B130" s="29" t="s">
        <v>454</v>
      </c>
      <c r="C130" s="15"/>
      <c r="D130" s="16" t="s">
        <v>455</v>
      </c>
    </row>
    <row r="131" spans="1:7">
      <c r="A131" s="106"/>
      <c r="B131" s="29" t="s">
        <v>456</v>
      </c>
      <c r="C131" s="15"/>
      <c r="D131" s="16" t="s">
        <v>457</v>
      </c>
    </row>
    <row r="132" spans="1:7">
      <c r="A132" s="106"/>
      <c r="B132" s="29" t="s">
        <v>458</v>
      </c>
      <c r="C132" s="15"/>
      <c r="D132" s="16" t="s">
        <v>459</v>
      </c>
      <c r="G132" s="73"/>
    </row>
    <row r="133" spans="1:7">
      <c r="A133" s="106" t="s">
        <v>12</v>
      </c>
      <c r="B133" s="19" t="s">
        <v>460</v>
      </c>
      <c r="C133" s="16"/>
      <c r="D133" s="19" t="s">
        <v>461</v>
      </c>
      <c r="F133" s="8">
        <v>0.16666666666666666</v>
      </c>
      <c r="G133" s="73" t="s">
        <v>925</v>
      </c>
    </row>
    <row r="134" spans="1:7">
      <c r="A134" s="106"/>
      <c r="B134" s="29" t="s">
        <v>154</v>
      </c>
      <c r="C134" s="15"/>
      <c r="D134" s="16" t="s">
        <v>462</v>
      </c>
      <c r="F134" s="8">
        <v>0.5</v>
      </c>
      <c r="G134" s="73" t="s">
        <v>925</v>
      </c>
    </row>
    <row r="135" spans="1:7">
      <c r="A135" s="106"/>
      <c r="B135" s="29" t="s">
        <v>153</v>
      </c>
      <c r="C135" s="15"/>
      <c r="D135" s="16"/>
      <c r="E135" s="7"/>
      <c r="F135" s="7">
        <v>0.5</v>
      </c>
      <c r="G135" s="73" t="s">
        <v>925</v>
      </c>
    </row>
    <row r="136" spans="1:7">
      <c r="A136" s="106"/>
      <c r="B136" s="29" t="s">
        <v>463</v>
      </c>
      <c r="C136" s="15"/>
      <c r="D136" s="16" t="s">
        <v>464</v>
      </c>
      <c r="F136" s="8">
        <v>0.16666666666666666</v>
      </c>
      <c r="G136" s="73" t="s">
        <v>925</v>
      </c>
    </row>
    <row r="137" spans="1:7">
      <c r="A137" s="106"/>
      <c r="B137" s="29" t="s">
        <v>465</v>
      </c>
      <c r="C137" s="15"/>
      <c r="D137" s="16" t="s">
        <v>466</v>
      </c>
      <c r="F137" s="8">
        <v>0.16666666666666666</v>
      </c>
      <c r="G137" s="73" t="s">
        <v>925</v>
      </c>
    </row>
    <row r="138" spans="1:7">
      <c r="A138" s="106" t="s">
        <v>13</v>
      </c>
      <c r="B138" s="29" t="s">
        <v>163</v>
      </c>
      <c r="C138" s="15"/>
      <c r="D138" s="16" t="s">
        <v>467</v>
      </c>
      <c r="F138" s="8">
        <v>4.7619047619047616E-2</v>
      </c>
      <c r="G138" s="73" t="s">
        <v>925</v>
      </c>
    </row>
    <row r="139" spans="1:7">
      <c r="A139" s="106"/>
      <c r="B139" s="29" t="s">
        <v>156</v>
      </c>
      <c r="C139" s="15"/>
      <c r="D139" s="16" t="s">
        <v>468</v>
      </c>
      <c r="F139" s="8">
        <v>4.7619047619047616E-2</v>
      </c>
      <c r="G139" s="73" t="s">
        <v>925</v>
      </c>
    </row>
    <row r="140" spans="1:7">
      <c r="A140" s="106"/>
      <c r="B140" s="29" t="s">
        <v>167</v>
      </c>
      <c r="C140" s="15"/>
      <c r="D140" s="16" t="s">
        <v>469</v>
      </c>
      <c r="F140" s="8">
        <v>4.7619047619047616E-2</v>
      </c>
      <c r="G140" s="73" t="s">
        <v>925</v>
      </c>
    </row>
    <row r="141" spans="1:7">
      <c r="A141" s="106"/>
      <c r="B141" s="29" t="s">
        <v>166</v>
      </c>
      <c r="C141" s="15"/>
      <c r="D141" s="16" t="s">
        <v>470</v>
      </c>
      <c r="F141" s="8">
        <v>4.7619047619047616E-2</v>
      </c>
      <c r="G141" s="73" t="s">
        <v>925</v>
      </c>
    </row>
    <row r="142" spans="1:7">
      <c r="A142" s="106"/>
      <c r="B142" s="29" t="s">
        <v>175</v>
      </c>
      <c r="C142" s="15"/>
      <c r="D142" s="16" t="s">
        <v>471</v>
      </c>
      <c r="F142" s="8">
        <v>4.7619047619047616E-2</v>
      </c>
      <c r="G142" s="73" t="s">
        <v>925</v>
      </c>
    </row>
    <row r="143" spans="1:7">
      <c r="A143" s="106"/>
      <c r="B143" s="29" t="s">
        <v>164</v>
      </c>
      <c r="C143" s="15"/>
      <c r="D143" s="16" t="s">
        <v>472</v>
      </c>
      <c r="F143" s="8">
        <v>4.7619047619047616E-2</v>
      </c>
      <c r="G143" s="73" t="s">
        <v>925</v>
      </c>
    </row>
    <row r="144" spans="1:7">
      <c r="A144" s="106"/>
      <c r="B144" s="29" t="s">
        <v>171</v>
      </c>
      <c r="C144" s="15"/>
      <c r="D144" s="16" t="s">
        <v>473</v>
      </c>
      <c r="F144" s="8">
        <v>4.7619047619047616E-2</v>
      </c>
      <c r="G144" s="73" t="s">
        <v>925</v>
      </c>
    </row>
    <row r="145" spans="1:7">
      <c r="A145" s="106"/>
      <c r="B145" s="29" t="s">
        <v>174</v>
      </c>
      <c r="C145" s="32"/>
      <c r="D145" s="16" t="s">
        <v>474</v>
      </c>
      <c r="F145" s="8">
        <v>4.7619047619047616E-2</v>
      </c>
      <c r="G145" s="73" t="s">
        <v>925</v>
      </c>
    </row>
    <row r="146" spans="1:7">
      <c r="A146" s="106"/>
      <c r="B146" s="29" t="s">
        <v>173</v>
      </c>
      <c r="C146" s="15"/>
      <c r="D146" s="16" t="s">
        <v>475</v>
      </c>
      <c r="F146" s="8">
        <v>4.7619047619047616E-2</v>
      </c>
      <c r="G146" s="73" t="s">
        <v>925</v>
      </c>
    </row>
    <row r="147" spans="1:7">
      <c r="A147" s="106"/>
      <c r="B147" s="29" t="s">
        <v>172</v>
      </c>
      <c r="C147" s="15"/>
      <c r="D147" s="16" t="s">
        <v>476</v>
      </c>
      <c r="F147" s="8">
        <v>4.7619047619047616E-2</v>
      </c>
      <c r="G147" s="73" t="s">
        <v>925</v>
      </c>
    </row>
    <row r="148" spans="1:7">
      <c r="A148" s="106"/>
      <c r="B148" s="29" t="s">
        <v>161</v>
      </c>
      <c r="C148" s="32"/>
      <c r="D148" s="16" t="s">
        <v>477</v>
      </c>
      <c r="F148" s="8">
        <v>4.7619047619047616E-2</v>
      </c>
      <c r="G148" s="73" t="s">
        <v>925</v>
      </c>
    </row>
    <row r="149" spans="1:7">
      <c r="A149" s="106"/>
      <c r="B149" s="29" t="s">
        <v>162</v>
      </c>
      <c r="C149" s="15"/>
      <c r="D149" s="16" t="s">
        <v>478</v>
      </c>
      <c r="F149" s="8">
        <v>4.7619047619047616E-2</v>
      </c>
      <c r="G149" s="73" t="s">
        <v>925</v>
      </c>
    </row>
    <row r="150" spans="1:7" ht="29.25">
      <c r="A150" s="106"/>
      <c r="B150" s="29" t="s">
        <v>158</v>
      </c>
      <c r="C150" s="15"/>
      <c r="D150" s="16" t="s">
        <v>479</v>
      </c>
      <c r="F150" s="8">
        <v>4.7619047619047616E-2</v>
      </c>
      <c r="G150" s="73" t="s">
        <v>925</v>
      </c>
    </row>
    <row r="151" spans="1:7">
      <c r="A151" s="106"/>
      <c r="B151" s="29" t="s">
        <v>159</v>
      </c>
      <c r="C151" s="15"/>
      <c r="D151" s="16" t="s">
        <v>480</v>
      </c>
      <c r="F151" s="8">
        <v>4.7619047619047616E-2</v>
      </c>
      <c r="G151" s="73" t="s">
        <v>925</v>
      </c>
    </row>
    <row r="152" spans="1:7">
      <c r="A152" s="106"/>
      <c r="B152" s="29" t="s">
        <v>155</v>
      </c>
      <c r="C152" s="32"/>
      <c r="D152" s="16" t="s">
        <v>481</v>
      </c>
      <c r="F152" s="8">
        <v>4.7619047619047616E-2</v>
      </c>
      <c r="G152" s="73" t="s">
        <v>925</v>
      </c>
    </row>
    <row r="153" spans="1:7">
      <c r="A153" s="106"/>
      <c r="B153" s="29" t="s">
        <v>169</v>
      </c>
      <c r="C153" s="15"/>
      <c r="D153" s="16" t="s">
        <v>482</v>
      </c>
      <c r="F153" s="8">
        <v>4.7619047619047616E-2</v>
      </c>
      <c r="G153" s="73" t="s">
        <v>925</v>
      </c>
    </row>
    <row r="154" spans="1:7">
      <c r="A154" s="106"/>
      <c r="B154" s="29" t="s">
        <v>170</v>
      </c>
      <c r="C154" s="15"/>
      <c r="D154" s="16" t="s">
        <v>483</v>
      </c>
      <c r="F154" s="8">
        <v>4.7619047619047616E-2</v>
      </c>
      <c r="G154" s="73" t="s">
        <v>925</v>
      </c>
    </row>
    <row r="155" spans="1:7">
      <c r="A155" s="106"/>
      <c r="B155" s="29" t="s">
        <v>160</v>
      </c>
      <c r="C155" s="15"/>
      <c r="D155" s="16" t="s">
        <v>484</v>
      </c>
      <c r="F155" s="8">
        <v>4.7619047619047616E-2</v>
      </c>
      <c r="G155" s="73" t="s">
        <v>925</v>
      </c>
    </row>
    <row r="156" spans="1:7">
      <c r="A156" s="106"/>
      <c r="B156" s="29" t="s">
        <v>157</v>
      </c>
      <c r="C156" s="15"/>
      <c r="D156" s="16" t="s">
        <v>485</v>
      </c>
      <c r="F156" s="8">
        <v>4.7619047619047616E-2</v>
      </c>
      <c r="G156" s="73" t="s">
        <v>925</v>
      </c>
    </row>
    <row r="157" spans="1:7">
      <c r="A157" s="106"/>
      <c r="B157" s="29" t="s">
        <v>165</v>
      </c>
      <c r="C157" s="15"/>
      <c r="D157" s="16" t="s">
        <v>486</v>
      </c>
      <c r="F157" s="8">
        <v>4.7619047619047616E-2</v>
      </c>
      <c r="G157" s="73" t="s">
        <v>925</v>
      </c>
    </row>
    <row r="158" spans="1:7">
      <c r="A158" s="106"/>
      <c r="B158" s="29" t="s">
        <v>168</v>
      </c>
      <c r="C158" s="15"/>
      <c r="D158" s="16" t="s">
        <v>487</v>
      </c>
      <c r="F158" s="8">
        <v>4.7619047619047616E-2</v>
      </c>
      <c r="G158" s="73" t="s">
        <v>925</v>
      </c>
    </row>
    <row r="159" spans="1:7">
      <c r="A159" s="26" t="s">
        <v>623</v>
      </c>
      <c r="B159" s="29" t="s">
        <v>488</v>
      </c>
      <c r="C159" s="15"/>
      <c r="D159" s="16" t="s">
        <v>489</v>
      </c>
      <c r="F159" s="8">
        <v>1</v>
      </c>
      <c r="G159" s="73" t="s">
        <v>925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925</v>
      </c>
    </row>
    <row r="161" spans="1:7">
      <c r="A161" s="106" t="s">
        <v>1164</v>
      </c>
      <c r="B161" s="29" t="s">
        <v>491</v>
      </c>
      <c r="C161" s="15"/>
      <c r="D161" s="16" t="s">
        <v>492</v>
      </c>
      <c r="F161" s="8">
        <v>0.5</v>
      </c>
      <c r="G161" s="73" t="s">
        <v>925</v>
      </c>
    </row>
    <row r="162" spans="1:7">
      <c r="A162" s="106"/>
      <c r="B162" s="29" t="s">
        <v>493</v>
      </c>
      <c r="C162" s="15"/>
      <c r="D162" s="16" t="s">
        <v>494</v>
      </c>
      <c r="F162" s="8">
        <v>0.5</v>
      </c>
      <c r="G162" s="73" t="s">
        <v>925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925</v>
      </c>
    </row>
    <row r="164" spans="1:7">
      <c r="A164" s="106" t="s">
        <v>16</v>
      </c>
      <c r="B164" s="29" t="s">
        <v>182</v>
      </c>
      <c r="C164" s="15"/>
      <c r="D164" s="16" t="s">
        <v>495</v>
      </c>
      <c r="F164" s="8">
        <v>0.125</v>
      </c>
      <c r="G164" s="73" t="s">
        <v>925</v>
      </c>
    </row>
    <row r="165" spans="1:7">
      <c r="A165" s="106"/>
      <c r="B165" s="29" t="s">
        <v>181</v>
      </c>
      <c r="C165" s="15"/>
      <c r="D165" s="16" t="s">
        <v>496</v>
      </c>
      <c r="F165" s="8">
        <v>0.125</v>
      </c>
      <c r="G165" s="73" t="s">
        <v>925</v>
      </c>
    </row>
    <row r="166" spans="1:7">
      <c r="A166" s="106"/>
      <c r="B166" s="29" t="s">
        <v>180</v>
      </c>
      <c r="C166" s="15"/>
      <c r="D166" s="16" t="s">
        <v>497</v>
      </c>
      <c r="F166" s="8">
        <v>0.125</v>
      </c>
      <c r="G166" s="73" t="s">
        <v>925</v>
      </c>
    </row>
    <row r="167" spans="1:7">
      <c r="A167" s="106"/>
      <c r="B167" s="29" t="s">
        <v>179</v>
      </c>
      <c r="C167" s="15"/>
      <c r="D167" s="16" t="s">
        <v>498</v>
      </c>
      <c r="F167" s="8">
        <v>0.125</v>
      </c>
      <c r="G167" s="73" t="s">
        <v>925</v>
      </c>
    </row>
    <row r="168" spans="1:7">
      <c r="A168" s="106"/>
      <c r="B168" s="29" t="s">
        <v>184</v>
      </c>
      <c r="C168" s="15"/>
      <c r="D168" s="16" t="s">
        <v>499</v>
      </c>
      <c r="F168" s="8">
        <v>0.125</v>
      </c>
      <c r="G168" s="73" t="s">
        <v>925</v>
      </c>
    </row>
    <row r="169" spans="1:7">
      <c r="A169" s="106"/>
      <c r="B169" s="29" t="s">
        <v>183</v>
      </c>
      <c r="C169" s="32"/>
      <c r="D169" s="16" t="s">
        <v>500</v>
      </c>
      <c r="F169" s="8">
        <v>0.125</v>
      </c>
      <c r="G169" s="73" t="s">
        <v>925</v>
      </c>
    </row>
    <row r="170" spans="1:7">
      <c r="A170" s="106"/>
      <c r="B170" s="29" t="s">
        <v>178</v>
      </c>
      <c r="C170" s="15"/>
      <c r="D170" s="16" t="s">
        <v>501</v>
      </c>
      <c r="F170" s="8">
        <v>0.125</v>
      </c>
      <c r="G170" s="73" t="s">
        <v>925</v>
      </c>
    </row>
    <row r="171" spans="1:7">
      <c r="A171" s="106"/>
      <c r="B171" s="29" t="s">
        <v>185</v>
      </c>
      <c r="C171" s="15"/>
      <c r="D171" s="16" t="s">
        <v>502</v>
      </c>
      <c r="F171" s="8">
        <v>0.125</v>
      </c>
      <c r="G171" s="73" t="s">
        <v>925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82" t="s">
        <v>925</v>
      </c>
    </row>
    <row r="173" spans="1:7">
      <c r="A173" s="106" t="s">
        <v>17</v>
      </c>
      <c r="B173" s="29" t="s">
        <v>193</v>
      </c>
      <c r="C173" s="37" t="s">
        <v>722</v>
      </c>
      <c r="D173" s="16" t="s">
        <v>505</v>
      </c>
      <c r="F173" s="8">
        <v>1</v>
      </c>
    </row>
    <row r="174" spans="1:7">
      <c r="A174" s="106"/>
      <c r="B174" s="29" t="s">
        <v>195</v>
      </c>
      <c r="C174" s="15"/>
      <c r="D174" s="16" t="s">
        <v>506</v>
      </c>
    </row>
    <row r="175" spans="1:7">
      <c r="A175" s="106"/>
      <c r="B175" s="29" t="s">
        <v>197</v>
      </c>
      <c r="C175" s="15"/>
      <c r="D175" s="16" t="s">
        <v>507</v>
      </c>
    </row>
    <row r="176" spans="1:7">
      <c r="A176" s="106"/>
      <c r="B176" s="29" t="s">
        <v>188</v>
      </c>
      <c r="C176" s="15"/>
      <c r="D176" s="16" t="s">
        <v>508</v>
      </c>
    </row>
    <row r="177" spans="1:7">
      <c r="A177" s="106"/>
      <c r="B177" s="29" t="s">
        <v>194</v>
      </c>
      <c r="C177" s="15"/>
      <c r="D177" s="16" t="s">
        <v>509</v>
      </c>
    </row>
    <row r="178" spans="1:7">
      <c r="A178" s="106"/>
      <c r="B178" s="29" t="s">
        <v>196</v>
      </c>
      <c r="C178" s="15"/>
      <c r="D178" s="16" t="s">
        <v>510</v>
      </c>
    </row>
    <row r="179" spans="1:7">
      <c r="A179" s="106"/>
      <c r="B179" s="29" t="s">
        <v>190</v>
      </c>
      <c r="C179" s="15"/>
      <c r="D179" s="16" t="s">
        <v>511</v>
      </c>
    </row>
    <row r="180" spans="1:7">
      <c r="A180" s="106"/>
      <c r="B180" s="29" t="s">
        <v>189</v>
      </c>
      <c r="C180" s="15"/>
      <c r="D180" s="16" t="s">
        <v>512</v>
      </c>
    </row>
    <row r="181" spans="1:7">
      <c r="A181" s="106"/>
      <c r="B181" s="29" t="s">
        <v>186</v>
      </c>
      <c r="C181" s="15"/>
      <c r="D181" s="16" t="s">
        <v>513</v>
      </c>
    </row>
    <row r="182" spans="1:7">
      <c r="A182" s="106"/>
      <c r="B182" s="29" t="s">
        <v>187</v>
      </c>
      <c r="C182" s="32"/>
      <c r="D182" s="16" t="s">
        <v>514</v>
      </c>
    </row>
    <row r="183" spans="1:7">
      <c r="A183" s="106"/>
      <c r="B183" s="29" t="s">
        <v>191</v>
      </c>
      <c r="C183" s="32"/>
      <c r="D183" s="16" t="s">
        <v>515</v>
      </c>
    </row>
    <row r="184" spans="1:7">
      <c r="A184" s="106"/>
      <c r="B184" s="29" t="s">
        <v>192</v>
      </c>
      <c r="C184" s="32"/>
      <c r="D184" s="16" t="s">
        <v>516</v>
      </c>
    </row>
    <row r="185" spans="1:7">
      <c r="A185" s="106" t="s">
        <v>18</v>
      </c>
      <c r="B185" s="29" t="s">
        <v>206</v>
      </c>
      <c r="C185" s="15"/>
      <c r="D185" s="16" t="s">
        <v>517</v>
      </c>
      <c r="F185" s="8">
        <v>0.1111111111111111</v>
      </c>
      <c r="G185" s="73" t="s">
        <v>925</v>
      </c>
    </row>
    <row r="186" spans="1:7">
      <c r="A186" s="106"/>
      <c r="B186" s="29" t="s">
        <v>204</v>
      </c>
      <c r="C186" s="15"/>
      <c r="D186" s="16" t="s">
        <v>518</v>
      </c>
      <c r="F186" s="8">
        <v>0.1111111111111111</v>
      </c>
      <c r="G186" s="73" t="s">
        <v>925</v>
      </c>
    </row>
    <row r="187" spans="1:7">
      <c r="A187" s="106"/>
      <c r="B187" s="29" t="s">
        <v>203</v>
      </c>
      <c r="C187" s="15"/>
      <c r="D187" s="16" t="s">
        <v>519</v>
      </c>
      <c r="F187" s="8">
        <v>0.1111111111111111</v>
      </c>
      <c r="G187" s="73" t="s">
        <v>925</v>
      </c>
    </row>
    <row r="188" spans="1:7">
      <c r="A188" s="106"/>
      <c r="B188" s="29" t="s">
        <v>205</v>
      </c>
      <c r="C188" s="15"/>
      <c r="D188" s="16" t="s">
        <v>520</v>
      </c>
      <c r="F188" s="8">
        <v>0.1111111111111111</v>
      </c>
      <c r="G188" s="73" t="s">
        <v>925</v>
      </c>
    </row>
    <row r="189" spans="1:7">
      <c r="A189" s="106"/>
      <c r="B189" s="29" t="s">
        <v>200</v>
      </c>
      <c r="C189" s="15"/>
      <c r="D189" s="16" t="s">
        <v>521</v>
      </c>
      <c r="F189" s="8">
        <v>0.1111111111111111</v>
      </c>
      <c r="G189" s="73" t="s">
        <v>925</v>
      </c>
    </row>
    <row r="190" spans="1:7">
      <c r="A190" s="106"/>
      <c r="B190" s="29" t="s">
        <v>202</v>
      </c>
      <c r="C190" s="15"/>
      <c r="D190" s="16" t="s">
        <v>522</v>
      </c>
      <c r="F190" s="8">
        <v>0.1111111111111111</v>
      </c>
      <c r="G190" s="73" t="s">
        <v>925</v>
      </c>
    </row>
    <row r="191" spans="1:7">
      <c r="A191" s="106"/>
      <c r="B191" s="29" t="s">
        <v>201</v>
      </c>
      <c r="C191" s="15"/>
      <c r="D191" s="16" t="s">
        <v>523</v>
      </c>
      <c r="F191" s="8">
        <v>0.1111111111111111</v>
      </c>
      <c r="G191" s="73" t="s">
        <v>925</v>
      </c>
    </row>
    <row r="192" spans="1:7">
      <c r="A192" s="106"/>
      <c r="B192" s="29" t="s">
        <v>199</v>
      </c>
      <c r="C192" s="15"/>
      <c r="D192" s="16" t="s">
        <v>524</v>
      </c>
      <c r="F192" s="8">
        <v>0.1111111111111111</v>
      </c>
      <c r="G192" s="73" t="s">
        <v>925</v>
      </c>
    </row>
    <row r="193" spans="1:7">
      <c r="A193" s="106"/>
      <c r="B193" s="29" t="s">
        <v>198</v>
      </c>
      <c r="C193" s="15"/>
      <c r="D193" s="16" t="s">
        <v>525</v>
      </c>
      <c r="F193" s="8">
        <v>0.1111111111111111</v>
      </c>
      <c r="G193" s="73" t="s">
        <v>925</v>
      </c>
    </row>
    <row r="194" spans="1:7">
      <c r="A194" s="106" t="s">
        <v>19</v>
      </c>
      <c r="B194" s="29" t="s">
        <v>219</v>
      </c>
      <c r="C194" s="15"/>
      <c r="D194" s="16" t="s">
        <v>526</v>
      </c>
      <c r="F194" s="8">
        <v>5.8823529411764705E-2</v>
      </c>
      <c r="G194" s="73" t="s">
        <v>925</v>
      </c>
    </row>
    <row r="195" spans="1:7">
      <c r="A195" s="106"/>
      <c r="B195" s="29" t="s">
        <v>210</v>
      </c>
      <c r="C195" s="15"/>
      <c r="D195" s="16" t="s">
        <v>527</v>
      </c>
      <c r="F195" s="8">
        <v>5.8823529411764705E-2</v>
      </c>
      <c r="G195" s="73" t="s">
        <v>925</v>
      </c>
    </row>
    <row r="196" spans="1:7">
      <c r="A196" s="106"/>
      <c r="B196" s="29" t="s">
        <v>221</v>
      </c>
      <c r="C196" s="15"/>
      <c r="D196" s="16" t="s">
        <v>528</v>
      </c>
      <c r="F196" s="8">
        <v>5.8823529411764705E-2</v>
      </c>
      <c r="G196" s="73" t="s">
        <v>925</v>
      </c>
    </row>
    <row r="197" spans="1:7">
      <c r="A197" s="106"/>
      <c r="B197" s="29" t="s">
        <v>207</v>
      </c>
      <c r="C197" s="15"/>
      <c r="D197" s="16" t="s">
        <v>529</v>
      </c>
      <c r="F197" s="8">
        <v>5.8823529411764705E-2</v>
      </c>
      <c r="G197" s="73" t="s">
        <v>925</v>
      </c>
    </row>
    <row r="198" spans="1:7">
      <c r="A198" s="106"/>
      <c r="B198" s="29" t="s">
        <v>216</v>
      </c>
      <c r="C198" s="15"/>
      <c r="D198" s="16" t="s">
        <v>530</v>
      </c>
      <c r="F198" s="8">
        <v>5.8823529411764705E-2</v>
      </c>
      <c r="G198" s="73" t="s">
        <v>925</v>
      </c>
    </row>
    <row r="199" spans="1:7">
      <c r="A199" s="106"/>
      <c r="B199" s="29" t="s">
        <v>218</v>
      </c>
      <c r="C199" s="15"/>
      <c r="D199" s="16" t="s">
        <v>531</v>
      </c>
      <c r="F199" s="8">
        <v>5.8823529411764705E-2</v>
      </c>
      <c r="G199" s="73" t="s">
        <v>925</v>
      </c>
    </row>
    <row r="200" spans="1:7">
      <c r="A200" s="106"/>
      <c r="B200" s="29" t="s">
        <v>213</v>
      </c>
      <c r="C200" s="15"/>
      <c r="D200" s="16" t="s">
        <v>532</v>
      </c>
      <c r="F200" s="8">
        <v>5.8823529411764705E-2</v>
      </c>
      <c r="G200" s="73" t="s">
        <v>925</v>
      </c>
    </row>
    <row r="201" spans="1:7">
      <c r="A201" s="106"/>
      <c r="B201" s="29" t="s">
        <v>220</v>
      </c>
      <c r="C201" s="15"/>
      <c r="D201" s="16" t="s">
        <v>533</v>
      </c>
      <c r="F201" s="8">
        <v>5.8823529411764705E-2</v>
      </c>
      <c r="G201" s="73" t="s">
        <v>925</v>
      </c>
    </row>
    <row r="202" spans="1:7">
      <c r="A202" s="106"/>
      <c r="B202" s="29" t="s">
        <v>208</v>
      </c>
      <c r="C202" s="15"/>
      <c r="D202" s="16" t="s">
        <v>534</v>
      </c>
      <c r="F202" s="8">
        <v>5.8823529411764705E-2</v>
      </c>
      <c r="G202" s="73" t="s">
        <v>925</v>
      </c>
    </row>
    <row r="203" spans="1:7">
      <c r="A203" s="106"/>
      <c r="B203" s="29" t="s">
        <v>211</v>
      </c>
      <c r="C203" s="15"/>
      <c r="D203" s="16" t="s">
        <v>535</v>
      </c>
      <c r="F203" s="8">
        <v>5.8823529411764705E-2</v>
      </c>
      <c r="G203" s="73" t="s">
        <v>925</v>
      </c>
    </row>
    <row r="204" spans="1:7">
      <c r="A204" s="106"/>
      <c r="B204" s="29" t="s">
        <v>223</v>
      </c>
      <c r="C204" s="15"/>
      <c r="D204" s="16" t="s">
        <v>536</v>
      </c>
      <c r="F204" s="8">
        <v>5.8823529411764705E-2</v>
      </c>
      <c r="G204" s="73" t="s">
        <v>925</v>
      </c>
    </row>
    <row r="205" spans="1:7">
      <c r="A205" s="106"/>
      <c r="B205" s="29" t="s">
        <v>222</v>
      </c>
      <c r="C205" s="15"/>
      <c r="D205" s="16" t="s">
        <v>537</v>
      </c>
      <c r="F205" s="8">
        <v>5.8823529411764705E-2</v>
      </c>
      <c r="G205" s="73" t="s">
        <v>925</v>
      </c>
    </row>
    <row r="206" spans="1:7">
      <c r="A206" s="106"/>
      <c r="B206" s="29" t="s">
        <v>217</v>
      </c>
      <c r="C206" s="15"/>
      <c r="D206" s="16" t="s">
        <v>538</v>
      </c>
      <c r="F206" s="8">
        <v>5.8823529411764705E-2</v>
      </c>
      <c r="G206" s="73" t="s">
        <v>925</v>
      </c>
    </row>
    <row r="207" spans="1:7">
      <c r="A207" s="106"/>
      <c r="B207" s="29" t="s">
        <v>209</v>
      </c>
      <c r="C207" s="15"/>
      <c r="D207" s="16" t="s">
        <v>539</v>
      </c>
      <c r="F207" s="8">
        <v>5.8823529411764705E-2</v>
      </c>
      <c r="G207" s="73" t="s">
        <v>925</v>
      </c>
    </row>
    <row r="208" spans="1:7">
      <c r="A208" s="106"/>
      <c r="B208" s="29" t="s">
        <v>212</v>
      </c>
      <c r="C208" s="15"/>
      <c r="D208" s="16" t="s">
        <v>540</v>
      </c>
      <c r="F208" s="8">
        <v>5.8823529411764705E-2</v>
      </c>
      <c r="G208" s="73" t="s">
        <v>925</v>
      </c>
    </row>
    <row r="209" spans="1:7">
      <c r="A209" s="106"/>
      <c r="B209" s="29" t="s">
        <v>214</v>
      </c>
      <c r="C209" s="15"/>
      <c r="D209" s="16" t="s">
        <v>541</v>
      </c>
      <c r="F209" s="8">
        <v>5.8823529411764705E-2</v>
      </c>
      <c r="G209" s="73" t="s">
        <v>925</v>
      </c>
    </row>
    <row r="210" spans="1:7">
      <c r="A210" s="106"/>
      <c r="B210" s="29" t="s">
        <v>215</v>
      </c>
      <c r="C210" s="32"/>
      <c r="D210" s="16" t="s">
        <v>542</v>
      </c>
      <c r="F210" s="8">
        <v>5.8823529411764705E-2</v>
      </c>
      <c r="G210" s="73" t="s">
        <v>925</v>
      </c>
    </row>
    <row r="211" spans="1:7">
      <c r="A211" s="106" t="s">
        <v>20</v>
      </c>
      <c r="B211" s="29" t="s">
        <v>226</v>
      </c>
      <c r="C211" s="15"/>
      <c r="D211" s="16" t="s">
        <v>543</v>
      </c>
      <c r="F211" s="8">
        <v>0.14285714285714285</v>
      </c>
      <c r="G211" s="73" t="s">
        <v>925</v>
      </c>
    </row>
    <row r="212" spans="1:7">
      <c r="A212" s="106"/>
      <c r="B212" s="29" t="s">
        <v>225</v>
      </c>
      <c r="C212" s="15"/>
      <c r="D212" s="16" t="s">
        <v>544</v>
      </c>
      <c r="F212" s="8">
        <v>0.14285714285714285</v>
      </c>
      <c r="G212" s="73" t="s">
        <v>925</v>
      </c>
    </row>
    <row r="213" spans="1:7">
      <c r="A213" s="106"/>
      <c r="B213" s="29" t="s">
        <v>228</v>
      </c>
      <c r="C213" s="15"/>
      <c r="D213" s="16" t="s">
        <v>545</v>
      </c>
      <c r="F213" s="8">
        <v>0.14285714285714285</v>
      </c>
      <c r="G213" s="73" t="s">
        <v>925</v>
      </c>
    </row>
    <row r="214" spans="1:7">
      <c r="A214" s="106"/>
      <c r="B214" s="29" t="s">
        <v>224</v>
      </c>
      <c r="C214" s="15"/>
      <c r="D214" s="16" t="s">
        <v>546</v>
      </c>
      <c r="F214" s="8">
        <v>0.14285714285714285</v>
      </c>
      <c r="G214" s="73" t="s">
        <v>925</v>
      </c>
    </row>
    <row r="215" spans="1:7">
      <c r="A215" s="106"/>
      <c r="B215" s="29" t="s">
        <v>227</v>
      </c>
      <c r="C215" s="32"/>
      <c r="D215" s="16" t="s">
        <v>547</v>
      </c>
      <c r="F215" s="8">
        <v>0.14285714285714285</v>
      </c>
      <c r="G215" s="73" t="s">
        <v>925</v>
      </c>
    </row>
    <row r="216" spans="1:7">
      <c r="A216" s="106"/>
      <c r="B216" s="29" t="s">
        <v>548</v>
      </c>
      <c r="C216" s="15"/>
      <c r="D216" s="16" t="s">
        <v>549</v>
      </c>
      <c r="F216" s="8">
        <v>0.14285714285714285</v>
      </c>
      <c r="G216" s="73" t="s">
        <v>925</v>
      </c>
    </row>
    <row r="217" spans="1:7">
      <c r="A217" s="106"/>
      <c r="B217" s="29" t="s">
        <v>550</v>
      </c>
      <c r="C217" s="15"/>
      <c r="D217" s="16" t="s">
        <v>551</v>
      </c>
      <c r="F217" s="8">
        <v>0.14285714285714285</v>
      </c>
      <c r="G217" s="73" t="s">
        <v>925</v>
      </c>
    </row>
    <row r="218" spans="1:7">
      <c r="A218" s="106" t="s">
        <v>21</v>
      </c>
      <c r="B218" s="29" t="s">
        <v>231</v>
      </c>
      <c r="C218" s="15"/>
      <c r="D218" s="16" t="s">
        <v>552</v>
      </c>
    </row>
    <row r="219" spans="1:7">
      <c r="A219" s="106"/>
      <c r="B219" s="29" t="s">
        <v>236</v>
      </c>
      <c r="C219" s="15"/>
      <c r="D219" s="16" t="s">
        <v>553</v>
      </c>
    </row>
    <row r="220" spans="1:7">
      <c r="A220" s="106"/>
      <c r="B220" s="29" t="s">
        <v>232</v>
      </c>
      <c r="C220" s="15"/>
      <c r="D220" s="16" t="s">
        <v>554</v>
      </c>
    </row>
    <row r="221" spans="1:7">
      <c r="A221" s="106"/>
      <c r="B221" s="29" t="s">
        <v>230</v>
      </c>
      <c r="C221" s="15"/>
      <c r="D221" s="16" t="s">
        <v>555</v>
      </c>
    </row>
    <row r="222" spans="1:7">
      <c r="A222" s="106"/>
      <c r="B222" s="29" t="s">
        <v>234</v>
      </c>
      <c r="C222" s="15"/>
      <c r="D222" s="16" t="s">
        <v>556</v>
      </c>
    </row>
    <row r="223" spans="1:7">
      <c r="A223" s="106"/>
      <c r="B223" s="29" t="s">
        <v>233</v>
      </c>
      <c r="C223" s="15"/>
      <c r="D223" s="16" t="s">
        <v>557</v>
      </c>
    </row>
    <row r="224" spans="1:7">
      <c r="A224" s="106"/>
      <c r="B224" s="29" t="s">
        <v>229</v>
      </c>
      <c r="C224" s="15" t="s">
        <v>730</v>
      </c>
      <c r="D224" s="16" t="s">
        <v>558</v>
      </c>
      <c r="F224" s="8">
        <v>1</v>
      </c>
    </row>
    <row r="225" spans="1:7">
      <c r="A225" s="106"/>
      <c r="B225" s="29" t="s">
        <v>235</v>
      </c>
      <c r="C225" s="15"/>
      <c r="D225" s="16" t="s">
        <v>559</v>
      </c>
    </row>
    <row r="226" spans="1:7">
      <c r="A226" s="106" t="s">
        <v>22</v>
      </c>
      <c r="B226" s="29" t="s">
        <v>237</v>
      </c>
      <c r="C226" s="15" t="s">
        <v>738</v>
      </c>
      <c r="D226" s="16" t="s">
        <v>560</v>
      </c>
      <c r="F226" s="8">
        <v>1</v>
      </c>
    </row>
    <row r="227" spans="1:7">
      <c r="A227" s="106"/>
      <c r="B227" s="29" t="s">
        <v>238</v>
      </c>
      <c r="C227" s="15"/>
      <c r="D227" s="16" t="s">
        <v>561</v>
      </c>
    </row>
    <row r="228" spans="1:7">
      <c r="A228" s="106" t="s">
        <v>23</v>
      </c>
      <c r="B228" s="29" t="s">
        <v>241</v>
      </c>
      <c r="C228" s="15"/>
      <c r="D228" s="16" t="s">
        <v>562</v>
      </c>
    </row>
    <row r="229" spans="1:7">
      <c r="A229" s="106"/>
      <c r="B229" s="29" t="s">
        <v>239</v>
      </c>
      <c r="C229" s="15"/>
      <c r="D229" s="16" t="s">
        <v>563</v>
      </c>
    </row>
    <row r="230" spans="1:7">
      <c r="A230" s="106"/>
      <c r="B230" s="29" t="s">
        <v>242</v>
      </c>
      <c r="C230" s="15" t="s">
        <v>735</v>
      </c>
      <c r="D230" s="16" t="s">
        <v>564</v>
      </c>
      <c r="F230" s="8">
        <v>1</v>
      </c>
    </row>
    <row r="231" spans="1:7">
      <c r="A231" s="106"/>
      <c r="B231" s="29" t="s">
        <v>240</v>
      </c>
      <c r="C231" s="15"/>
      <c r="D231" s="16" t="s">
        <v>565</v>
      </c>
    </row>
    <row r="232" spans="1:7">
      <c r="A232" s="106" t="s">
        <v>24</v>
      </c>
      <c r="B232" s="29" t="s">
        <v>243</v>
      </c>
      <c r="C232" s="15"/>
      <c r="D232" s="16" t="s">
        <v>566</v>
      </c>
      <c r="F232" s="8">
        <v>0.2</v>
      </c>
      <c r="G232" s="73" t="s">
        <v>925</v>
      </c>
    </row>
    <row r="233" spans="1:7">
      <c r="A233" s="106"/>
      <c r="B233" s="29" t="s">
        <v>245</v>
      </c>
      <c r="C233" s="15"/>
      <c r="D233" s="16" t="s">
        <v>567</v>
      </c>
      <c r="F233" s="8">
        <v>0.2</v>
      </c>
      <c r="G233" s="73" t="s">
        <v>925</v>
      </c>
    </row>
    <row r="234" spans="1:7">
      <c r="A234" s="106"/>
      <c r="B234" s="29" t="s">
        <v>244</v>
      </c>
      <c r="C234" s="15"/>
      <c r="D234" s="16" t="s">
        <v>568</v>
      </c>
      <c r="F234" s="8">
        <v>0.2</v>
      </c>
      <c r="G234" s="73" t="s">
        <v>925</v>
      </c>
    </row>
    <row r="235" spans="1:7">
      <c r="A235" s="106"/>
      <c r="B235" s="29" t="s">
        <v>246</v>
      </c>
      <c r="C235" s="15"/>
      <c r="D235" s="16" t="s">
        <v>569</v>
      </c>
      <c r="F235" s="8">
        <v>0.2</v>
      </c>
      <c r="G235" s="73" t="s">
        <v>925</v>
      </c>
    </row>
    <row r="236" spans="1:7">
      <c r="A236" s="106"/>
      <c r="B236" s="29" t="s">
        <v>570</v>
      </c>
      <c r="C236" s="15"/>
      <c r="D236" s="16" t="s">
        <v>571</v>
      </c>
      <c r="F236" s="8">
        <v>0.2</v>
      </c>
      <c r="G236" s="73" t="s">
        <v>925</v>
      </c>
    </row>
    <row r="237" spans="1:7">
      <c r="A237" s="106" t="s">
        <v>25</v>
      </c>
      <c r="B237" s="29" t="s">
        <v>247</v>
      </c>
      <c r="C237" s="15"/>
      <c r="D237" s="16" t="s">
        <v>572</v>
      </c>
    </row>
    <row r="238" spans="1:7">
      <c r="A238" s="106"/>
      <c r="B238" s="29" t="s">
        <v>248</v>
      </c>
      <c r="C238" s="15"/>
      <c r="D238" s="16" t="s">
        <v>573</v>
      </c>
    </row>
    <row r="239" spans="1:7">
      <c r="A239" s="106"/>
      <c r="B239" s="29" t="s">
        <v>252</v>
      </c>
      <c r="C239" s="15"/>
      <c r="D239" s="16" t="s">
        <v>574</v>
      </c>
    </row>
    <row r="240" spans="1:7">
      <c r="A240" s="106"/>
      <c r="B240" s="29" t="s">
        <v>254</v>
      </c>
      <c r="C240" s="15"/>
      <c r="D240" s="16" t="s">
        <v>575</v>
      </c>
    </row>
    <row r="241" spans="1:6">
      <c r="A241" s="106"/>
      <c r="B241" s="29" t="s">
        <v>251</v>
      </c>
      <c r="C241" s="32"/>
      <c r="D241" s="16" t="s">
        <v>576</v>
      </c>
    </row>
    <row r="242" spans="1:6">
      <c r="A242" s="106"/>
      <c r="B242" s="29" t="s">
        <v>253</v>
      </c>
      <c r="C242" s="15"/>
      <c r="D242" s="16" t="s">
        <v>577</v>
      </c>
    </row>
    <row r="243" spans="1:6">
      <c r="A243" s="106"/>
      <c r="B243" s="29" t="s">
        <v>250</v>
      </c>
      <c r="C243" s="15" t="s">
        <v>737</v>
      </c>
      <c r="D243" s="16" t="s">
        <v>578</v>
      </c>
      <c r="F243" s="8">
        <v>1</v>
      </c>
    </row>
    <row r="244" spans="1:6">
      <c r="A244" s="106"/>
      <c r="B244" s="29" t="s">
        <v>249</v>
      </c>
      <c r="C244" s="15"/>
      <c r="D244" s="16" t="s">
        <v>579</v>
      </c>
    </row>
    <row r="245" spans="1:6">
      <c r="A245" s="106" t="s">
        <v>26</v>
      </c>
      <c r="B245" s="29" t="s">
        <v>294</v>
      </c>
      <c r="C245" s="32"/>
      <c r="D245" s="16" t="s">
        <v>580</v>
      </c>
    </row>
    <row r="246" spans="1:6" ht="29.25">
      <c r="A246" s="106"/>
      <c r="B246" s="29" t="s">
        <v>268</v>
      </c>
      <c r="C246" s="15"/>
      <c r="D246" s="16" t="s">
        <v>581</v>
      </c>
    </row>
    <row r="247" spans="1:6">
      <c r="A247" s="106"/>
      <c r="B247" s="29" t="s">
        <v>280</v>
      </c>
      <c r="C247" s="15"/>
      <c r="D247" s="16" t="s">
        <v>582</v>
      </c>
    </row>
    <row r="248" spans="1:6">
      <c r="A248" s="106"/>
      <c r="B248" s="29" t="s">
        <v>270</v>
      </c>
      <c r="C248" s="15"/>
      <c r="D248" s="16" t="s">
        <v>583</v>
      </c>
    </row>
    <row r="249" spans="1:6">
      <c r="A249" s="106"/>
      <c r="B249" s="29" t="s">
        <v>285</v>
      </c>
      <c r="C249" s="15"/>
      <c r="D249" s="16" t="s">
        <v>584</v>
      </c>
    </row>
    <row r="250" spans="1:6">
      <c r="A250" s="106"/>
      <c r="B250" s="29" t="s">
        <v>264</v>
      </c>
      <c r="C250" s="15"/>
      <c r="D250" s="16" t="s">
        <v>585</v>
      </c>
    </row>
    <row r="251" spans="1:6">
      <c r="A251" s="106"/>
      <c r="B251" s="29" t="s">
        <v>269</v>
      </c>
      <c r="C251" s="15"/>
      <c r="D251" s="16" t="s">
        <v>586</v>
      </c>
    </row>
    <row r="252" spans="1:6" ht="29.25">
      <c r="A252" s="106"/>
      <c r="B252" s="29" t="s">
        <v>277</v>
      </c>
      <c r="C252" s="15"/>
      <c r="D252" s="16" t="s">
        <v>587</v>
      </c>
    </row>
    <row r="253" spans="1:6">
      <c r="A253" s="106"/>
      <c r="B253" s="29" t="s">
        <v>295</v>
      </c>
      <c r="C253" s="15"/>
      <c r="D253" s="16" t="s">
        <v>588</v>
      </c>
    </row>
    <row r="254" spans="1:6">
      <c r="A254" s="106"/>
      <c r="B254" s="29" t="s">
        <v>266</v>
      </c>
      <c r="C254" s="15"/>
      <c r="D254" s="16" t="s">
        <v>589</v>
      </c>
    </row>
    <row r="255" spans="1:6">
      <c r="A255" s="106"/>
      <c r="B255" s="29" t="s">
        <v>263</v>
      </c>
      <c r="C255" s="15"/>
      <c r="D255" s="16" t="s">
        <v>590</v>
      </c>
    </row>
    <row r="256" spans="1:6">
      <c r="A256" s="106"/>
      <c r="B256" s="29" t="s">
        <v>279</v>
      </c>
      <c r="C256" s="15"/>
      <c r="D256" s="16" t="s">
        <v>591</v>
      </c>
    </row>
    <row r="257" spans="1:4" ht="29.25">
      <c r="A257" s="106"/>
      <c r="B257" s="29" t="s">
        <v>272</v>
      </c>
      <c r="C257" s="15"/>
      <c r="D257" s="16" t="s">
        <v>592</v>
      </c>
    </row>
    <row r="258" spans="1:4">
      <c r="A258" s="106"/>
      <c r="B258" s="29" t="s">
        <v>271</v>
      </c>
      <c r="C258" s="15"/>
      <c r="D258" s="16" t="s">
        <v>593</v>
      </c>
    </row>
    <row r="259" spans="1:4" ht="29.25">
      <c r="A259" s="106"/>
      <c r="B259" s="29" t="s">
        <v>275</v>
      </c>
      <c r="C259" s="15"/>
      <c r="D259" s="16" t="s">
        <v>594</v>
      </c>
    </row>
    <row r="260" spans="1:4">
      <c r="A260" s="106"/>
      <c r="B260" s="29" t="s">
        <v>267</v>
      </c>
      <c r="C260" s="15"/>
      <c r="D260" s="16" t="s">
        <v>595</v>
      </c>
    </row>
    <row r="261" spans="1:4">
      <c r="A261" s="106"/>
      <c r="B261" s="29" t="s">
        <v>274</v>
      </c>
      <c r="C261" s="15"/>
      <c r="D261" s="16" t="s">
        <v>596</v>
      </c>
    </row>
    <row r="262" spans="1:4">
      <c r="A262" s="106"/>
      <c r="B262" s="29" t="s">
        <v>282</v>
      </c>
      <c r="C262" s="15"/>
      <c r="D262" s="16" t="s">
        <v>597</v>
      </c>
    </row>
    <row r="263" spans="1:4">
      <c r="A263" s="106"/>
      <c r="B263" s="29" t="s">
        <v>287</v>
      </c>
      <c r="C263" s="15"/>
      <c r="D263" s="16" t="s">
        <v>598</v>
      </c>
    </row>
    <row r="264" spans="1:4">
      <c r="A264" s="106"/>
      <c r="B264" s="29" t="s">
        <v>265</v>
      </c>
      <c r="C264" s="15"/>
      <c r="D264" s="16" t="s">
        <v>599</v>
      </c>
    </row>
    <row r="265" spans="1:4">
      <c r="A265" s="106"/>
      <c r="B265" s="29" t="s">
        <v>293</v>
      </c>
      <c r="C265" s="15"/>
      <c r="D265" s="16" t="s">
        <v>600</v>
      </c>
    </row>
    <row r="266" spans="1:4">
      <c r="A266" s="106"/>
      <c r="B266" s="29" t="s">
        <v>292</v>
      </c>
      <c r="C266" s="15"/>
      <c r="D266" s="16" t="s">
        <v>601</v>
      </c>
    </row>
    <row r="267" spans="1:4" ht="29.25">
      <c r="A267" s="106"/>
      <c r="B267" s="29" t="s">
        <v>291</v>
      </c>
      <c r="C267" s="15"/>
      <c r="D267" s="16" t="s">
        <v>602</v>
      </c>
    </row>
    <row r="268" spans="1:4">
      <c r="A268" s="106"/>
      <c r="B268" s="29" t="s">
        <v>290</v>
      </c>
      <c r="C268" s="15"/>
      <c r="D268" s="16" t="s">
        <v>603</v>
      </c>
    </row>
    <row r="269" spans="1:4" ht="29.25">
      <c r="A269" s="106"/>
      <c r="B269" s="29" t="s">
        <v>289</v>
      </c>
      <c r="C269" s="15"/>
      <c r="D269" s="16" t="s">
        <v>604</v>
      </c>
    </row>
    <row r="270" spans="1:4" ht="29.25">
      <c r="A270" s="106"/>
      <c r="B270" s="29" t="s">
        <v>286</v>
      </c>
      <c r="C270" s="15"/>
      <c r="D270" s="16" t="s">
        <v>605</v>
      </c>
    </row>
    <row r="271" spans="1:4">
      <c r="A271" s="106"/>
      <c r="B271" s="29" t="s">
        <v>283</v>
      </c>
      <c r="C271" s="15"/>
      <c r="D271" s="16" t="s">
        <v>606</v>
      </c>
    </row>
    <row r="272" spans="1:4">
      <c r="A272" s="106"/>
      <c r="B272" s="29" t="s">
        <v>276</v>
      </c>
      <c r="C272" s="15"/>
      <c r="D272" s="16" t="s">
        <v>607</v>
      </c>
    </row>
    <row r="273" spans="1:6">
      <c r="A273" s="106"/>
      <c r="B273" s="29" t="s">
        <v>273</v>
      </c>
      <c r="C273" s="15"/>
      <c r="D273" s="16" t="s">
        <v>608</v>
      </c>
    </row>
    <row r="274" spans="1:6" ht="29.25">
      <c r="A274" s="106"/>
      <c r="B274" s="29" t="s">
        <v>288</v>
      </c>
      <c r="C274" s="15"/>
      <c r="D274" s="16" t="s">
        <v>609</v>
      </c>
    </row>
    <row r="275" spans="1:6">
      <c r="A275" s="106"/>
      <c r="B275" s="29" t="s">
        <v>284</v>
      </c>
      <c r="C275" s="15"/>
      <c r="D275" s="16" t="s">
        <v>610</v>
      </c>
    </row>
    <row r="276" spans="1:6">
      <c r="A276" s="106"/>
      <c r="B276" s="29" t="s">
        <v>281</v>
      </c>
      <c r="C276" s="15"/>
      <c r="D276" s="16" t="s">
        <v>611</v>
      </c>
    </row>
    <row r="277" spans="1:6">
      <c r="A277" s="106"/>
      <c r="B277" s="29" t="s">
        <v>278</v>
      </c>
      <c r="C277" s="15"/>
      <c r="D277" s="16" t="s">
        <v>612</v>
      </c>
    </row>
    <row r="278" spans="1:6">
      <c r="A278" s="106"/>
      <c r="B278" s="29" t="s">
        <v>255</v>
      </c>
      <c r="C278" s="15"/>
      <c r="D278" s="16" t="s">
        <v>613</v>
      </c>
    </row>
    <row r="279" spans="1:6">
      <c r="A279" s="106"/>
      <c r="B279" s="29" t="s">
        <v>256</v>
      </c>
      <c r="C279" s="15"/>
      <c r="D279" s="16" t="s">
        <v>614</v>
      </c>
    </row>
    <row r="280" spans="1:6">
      <c r="A280" s="106"/>
      <c r="B280" s="29" t="s">
        <v>261</v>
      </c>
      <c r="C280" s="15"/>
      <c r="D280" s="16" t="s">
        <v>615</v>
      </c>
    </row>
    <row r="281" spans="1:6">
      <c r="A281" s="106"/>
      <c r="B281" s="29" t="s">
        <v>259</v>
      </c>
      <c r="C281" s="15" t="s">
        <v>734</v>
      </c>
      <c r="D281" s="16" t="s">
        <v>616</v>
      </c>
      <c r="F281" s="8">
        <v>1</v>
      </c>
    </row>
    <row r="282" spans="1:6">
      <c r="A282" s="106"/>
      <c r="B282" s="29" t="s">
        <v>260</v>
      </c>
      <c r="C282" s="31"/>
      <c r="D282" s="16" t="s">
        <v>617</v>
      </c>
    </row>
    <row r="283" spans="1:6">
      <c r="A283" s="106"/>
      <c r="B283" s="29" t="s">
        <v>258</v>
      </c>
      <c r="C283" s="15"/>
      <c r="D283" s="16" t="s">
        <v>618</v>
      </c>
    </row>
    <row r="284" spans="1:6">
      <c r="A284" s="106"/>
      <c r="B284" s="29" t="s">
        <v>257</v>
      </c>
      <c r="C284" s="15"/>
      <c r="D284" s="16" t="s">
        <v>619</v>
      </c>
    </row>
    <row r="285" spans="1:6">
      <c r="A285" s="106"/>
      <c r="B285" s="29" t="s">
        <v>262</v>
      </c>
      <c r="C285" s="15"/>
      <c r="D285" s="16" t="s">
        <v>620</v>
      </c>
    </row>
    <row r="286" spans="1:6">
      <c r="A286" s="106" t="s">
        <v>27</v>
      </c>
      <c r="B286" s="21" t="s">
        <v>298</v>
      </c>
      <c r="D286" s="19" t="s">
        <v>628</v>
      </c>
    </row>
    <row r="287" spans="1:6">
      <c r="A287" s="106"/>
      <c r="B287" s="19" t="s">
        <v>297</v>
      </c>
      <c r="D287" s="19" t="s">
        <v>629</v>
      </c>
    </row>
    <row r="288" spans="1:6" ht="15.75">
      <c r="A288" s="106"/>
      <c r="B288" s="19" t="s">
        <v>299</v>
      </c>
      <c r="C288" t="s">
        <v>741</v>
      </c>
      <c r="D288" s="19" t="s">
        <v>630</v>
      </c>
      <c r="F288" s="8">
        <v>0.12881355932203389</v>
      </c>
    </row>
    <row r="289" spans="1:7">
      <c r="A289" s="106"/>
      <c r="B289" s="29" t="s">
        <v>624</v>
      </c>
      <c r="D289" s="19" t="s">
        <v>631</v>
      </c>
    </row>
    <row r="290" spans="1:7">
      <c r="A290" s="106"/>
      <c r="B290" s="21" t="s">
        <v>625</v>
      </c>
      <c r="C290" s="3" t="s">
        <v>742</v>
      </c>
      <c r="D290" s="19" t="s">
        <v>632</v>
      </c>
      <c r="F290" s="8">
        <v>6.4406779661016947E-2</v>
      </c>
    </row>
    <row r="291" spans="1:7" ht="75">
      <c r="A291" s="106"/>
      <c r="B291" s="21" t="s">
        <v>626</v>
      </c>
      <c r="C291" s="25" t="s">
        <v>743</v>
      </c>
      <c r="D291" s="19" t="s">
        <v>633</v>
      </c>
      <c r="F291" s="8">
        <v>0.8067796610169492</v>
      </c>
    </row>
    <row r="292" spans="1:7">
      <c r="A292" s="106"/>
      <c r="B292" s="21" t="s">
        <v>627</v>
      </c>
      <c r="D292" s="19" t="s">
        <v>634</v>
      </c>
    </row>
    <row r="293" spans="1:7">
      <c r="A293" s="106"/>
      <c r="B293" s="12" t="s">
        <v>302</v>
      </c>
      <c r="D293" s="19"/>
      <c r="F293" s="8">
        <v>0</v>
      </c>
    </row>
    <row r="294" spans="1:7">
      <c r="A294" s="106"/>
      <c r="B294" s="12" t="s">
        <v>301</v>
      </c>
      <c r="D294" s="19"/>
      <c r="F294" s="8">
        <v>0</v>
      </c>
    </row>
    <row r="295" spans="1:7">
      <c r="A295" s="106"/>
      <c r="B295" s="12" t="s">
        <v>300</v>
      </c>
      <c r="D295" s="19"/>
      <c r="F295" s="8">
        <v>6.4406779661016947E-2</v>
      </c>
    </row>
    <row r="296" spans="1:7">
      <c r="A296" s="106"/>
      <c r="B296" s="12" t="s">
        <v>296</v>
      </c>
      <c r="D296" s="19"/>
      <c r="F296" s="8">
        <v>0.8067796610169492</v>
      </c>
    </row>
    <row r="297" spans="1:7">
      <c r="A297" s="106" t="s">
        <v>635</v>
      </c>
      <c r="B297" s="21" t="s">
        <v>305</v>
      </c>
      <c r="C297" s="20"/>
      <c r="D297" s="21" t="s">
        <v>636</v>
      </c>
      <c r="F297" s="8">
        <v>0.14285714285714285</v>
      </c>
      <c r="G297" s="73" t="s">
        <v>925</v>
      </c>
    </row>
    <row r="298" spans="1:7">
      <c r="A298" s="106"/>
      <c r="B298" s="21" t="s">
        <v>307</v>
      </c>
      <c r="C298" s="20"/>
      <c r="D298" s="21" t="s">
        <v>637</v>
      </c>
      <c r="F298" s="8">
        <v>0.14285714285714285</v>
      </c>
      <c r="G298" s="73" t="s">
        <v>925</v>
      </c>
    </row>
    <row r="299" spans="1:7">
      <c r="A299" s="106"/>
      <c r="B299" s="21" t="s">
        <v>309</v>
      </c>
      <c r="C299" s="20"/>
      <c r="D299" s="21" t="s">
        <v>638</v>
      </c>
      <c r="F299" s="8">
        <v>0.14285714285714285</v>
      </c>
      <c r="G299" s="73" t="s">
        <v>925</v>
      </c>
    </row>
    <row r="300" spans="1:7">
      <c r="A300" s="106"/>
      <c r="B300" s="21" t="s">
        <v>303</v>
      </c>
      <c r="C300" s="20"/>
      <c r="D300" s="21" t="s">
        <v>639</v>
      </c>
      <c r="F300" s="8">
        <v>0.14285714285714285</v>
      </c>
      <c r="G300" s="73" t="s">
        <v>925</v>
      </c>
    </row>
    <row r="301" spans="1:7">
      <c r="A301" s="106"/>
      <c r="B301" s="21" t="s">
        <v>308</v>
      </c>
      <c r="C301" s="20"/>
      <c r="D301" s="21" t="s">
        <v>640</v>
      </c>
      <c r="F301" s="8">
        <v>0.14285714285714285</v>
      </c>
      <c r="G301" s="73" t="s">
        <v>925</v>
      </c>
    </row>
    <row r="302" spans="1:7">
      <c r="A302" s="106"/>
      <c r="B302" s="21" t="s">
        <v>304</v>
      </c>
      <c r="C302" s="20"/>
      <c r="D302" s="21" t="s">
        <v>641</v>
      </c>
      <c r="F302" s="8">
        <v>0.14285714285714285</v>
      </c>
      <c r="G302" s="73" t="s">
        <v>925</v>
      </c>
    </row>
    <row r="303" spans="1:7">
      <c r="A303" s="106"/>
      <c r="B303" s="21" t="s">
        <v>306</v>
      </c>
      <c r="C303" s="20"/>
      <c r="D303" s="21" t="s">
        <v>642</v>
      </c>
      <c r="F303" s="8">
        <v>0.14285714285714285</v>
      </c>
      <c r="G303" s="73" t="s">
        <v>925</v>
      </c>
    </row>
    <row r="304" spans="1:7">
      <c r="A304" s="26" t="s">
        <v>28</v>
      </c>
      <c r="B304" s="33" t="s">
        <v>310</v>
      </c>
      <c r="C304" s="34" t="s">
        <v>740</v>
      </c>
      <c r="D304" s="33" t="s">
        <v>643</v>
      </c>
      <c r="F304" s="8">
        <v>1</v>
      </c>
    </row>
    <row r="305" spans="1:7">
      <c r="A305" s="24" t="s">
        <v>29</v>
      </c>
      <c r="B305" s="19" t="s">
        <v>311</v>
      </c>
      <c r="C305" s="16"/>
      <c r="D305" s="16" t="s">
        <v>644</v>
      </c>
      <c r="F305" s="8">
        <v>1</v>
      </c>
      <c r="G305" s="73" t="s">
        <v>925</v>
      </c>
    </row>
    <row r="306" spans="1:7">
      <c r="A306" s="106" t="s">
        <v>30</v>
      </c>
      <c r="B306" s="19" t="s">
        <v>33</v>
      </c>
      <c r="C306" s="16"/>
      <c r="D306" s="19" t="s">
        <v>645</v>
      </c>
      <c r="F306" s="8">
        <v>0.33333333333333331</v>
      </c>
      <c r="G306" s="73" t="s">
        <v>925</v>
      </c>
    </row>
    <row r="307" spans="1:7">
      <c r="A307" s="106"/>
      <c r="B307" s="19" t="s">
        <v>34</v>
      </c>
      <c r="C307" s="16"/>
      <c r="D307" s="19" t="s">
        <v>646</v>
      </c>
      <c r="F307" s="8">
        <v>0.33333333333333331</v>
      </c>
      <c r="G307" s="73" t="s">
        <v>925</v>
      </c>
    </row>
    <row r="308" spans="1:7">
      <c r="A308" s="106"/>
      <c r="B308" s="19" t="s">
        <v>35</v>
      </c>
      <c r="C308" s="16"/>
      <c r="D308" s="19" t="s">
        <v>647</v>
      </c>
      <c r="F308" s="8">
        <v>0.33333333333333331</v>
      </c>
      <c r="G308" s="73" t="s">
        <v>925</v>
      </c>
    </row>
    <row r="309" spans="1:7">
      <c r="A309" s="106" t="s">
        <v>31</v>
      </c>
      <c r="B309" s="19" t="s">
        <v>315</v>
      </c>
      <c r="C309" s="16"/>
      <c r="D309" s="19" t="s">
        <v>648</v>
      </c>
      <c r="F309" s="8">
        <v>0.25</v>
      </c>
      <c r="G309" s="73" t="s">
        <v>925</v>
      </c>
    </row>
    <row r="310" spans="1:7">
      <c r="A310" s="106"/>
      <c r="B310" s="19" t="s">
        <v>314</v>
      </c>
      <c r="C310" s="16"/>
      <c r="D310" s="19" t="s">
        <v>649</v>
      </c>
      <c r="F310" s="8">
        <v>0.25</v>
      </c>
      <c r="G310" s="73" t="s">
        <v>925</v>
      </c>
    </row>
    <row r="311" spans="1:7" ht="29.25">
      <c r="A311" s="106"/>
      <c r="B311" s="19" t="s">
        <v>313</v>
      </c>
      <c r="C311" s="16"/>
      <c r="D311" s="16" t="s">
        <v>650</v>
      </c>
      <c r="F311" s="8">
        <v>0.25</v>
      </c>
      <c r="G311" s="73" t="s">
        <v>925</v>
      </c>
    </row>
    <row r="312" spans="1:7">
      <c r="A312" s="106"/>
      <c r="B312" s="19" t="s">
        <v>312</v>
      </c>
      <c r="C312" s="16"/>
      <c r="D312" s="16" t="s">
        <v>651</v>
      </c>
      <c r="F312" s="8">
        <v>0.25</v>
      </c>
      <c r="G312" s="73" t="s">
        <v>925</v>
      </c>
    </row>
    <row r="313" spans="1:7">
      <c r="A313" s="26" t="s">
        <v>32</v>
      </c>
      <c r="B313" s="19" t="s">
        <v>1015</v>
      </c>
      <c r="F313" s="8">
        <v>1</v>
      </c>
      <c r="G313" s="73" t="s">
        <v>925</v>
      </c>
    </row>
    <row r="314" spans="1:7">
      <c r="A314" s="26" t="s">
        <v>1026</v>
      </c>
      <c r="B314" s="19" t="s">
        <v>654</v>
      </c>
      <c r="D314" s="3" t="s">
        <v>1026</v>
      </c>
      <c r="F314" s="8">
        <v>1</v>
      </c>
      <c r="G314" s="73" t="s">
        <v>925</v>
      </c>
    </row>
    <row r="315" spans="1:7" ht="15.75">
      <c r="A315" s="26" t="s">
        <v>933</v>
      </c>
      <c r="B315" s="19" t="s">
        <v>653</v>
      </c>
      <c r="C315" t="s">
        <v>739</v>
      </c>
      <c r="D315" s="3" t="s">
        <v>652</v>
      </c>
      <c r="F315" s="8">
        <v>1</v>
      </c>
    </row>
    <row r="316" spans="1:7" ht="15.95" customHeight="1">
      <c r="C316" s="38"/>
    </row>
    <row r="317" spans="1:7" ht="15.95" customHeight="1">
      <c r="C317" s="39"/>
    </row>
    <row r="318" spans="1:7" ht="15.95" customHeight="1"/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8"/>
  <sheetViews>
    <sheetView workbookViewId="0"/>
    <sheetView topLeftCell="A176"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375" style="3" customWidth="1"/>
    <col min="4" max="4" width="29.875" style="3" bestFit="1" customWidth="1"/>
    <col min="5" max="5" width="23" style="3" bestFit="1" customWidth="1"/>
    <col min="6" max="6" width="16.875" style="78" bestFit="1" customWidth="1"/>
    <col min="7" max="7" width="20.625" style="3" bestFit="1" customWidth="1"/>
    <col min="8" max="16384" width="10.875" style="3"/>
  </cols>
  <sheetData>
    <row r="1" spans="1:8">
      <c r="A1" s="22" t="s">
        <v>0</v>
      </c>
      <c r="B1" s="22" t="s">
        <v>1</v>
      </c>
      <c r="C1" s="22" t="s">
        <v>2</v>
      </c>
      <c r="D1" s="22" t="s">
        <v>655</v>
      </c>
      <c r="E1" s="22" t="s">
        <v>930</v>
      </c>
      <c r="F1" s="75" t="s">
        <v>931</v>
      </c>
    </row>
    <row r="2" spans="1:8" ht="29.25">
      <c r="A2" s="106" t="s">
        <v>3</v>
      </c>
      <c r="B2" s="29" t="s">
        <v>36</v>
      </c>
      <c r="C2" s="15"/>
      <c r="D2" s="16" t="s">
        <v>621</v>
      </c>
      <c r="F2" s="76"/>
      <c r="G2" s="73"/>
      <c r="H2" s="14"/>
    </row>
    <row r="3" spans="1:8">
      <c r="A3" s="106"/>
      <c r="B3" s="29" t="s">
        <v>46</v>
      </c>
      <c r="C3" s="15"/>
      <c r="D3" s="16" t="s">
        <v>316</v>
      </c>
      <c r="F3" s="77"/>
      <c r="G3" s="73"/>
      <c r="H3" s="14"/>
    </row>
    <row r="4" spans="1:8">
      <c r="A4" s="106"/>
      <c r="B4" s="29" t="s">
        <v>40</v>
      </c>
      <c r="C4" s="15"/>
      <c r="D4" s="16" t="s">
        <v>317</v>
      </c>
      <c r="F4" s="76">
        <v>0.40944881889763779</v>
      </c>
      <c r="G4" s="73"/>
      <c r="H4" s="14"/>
    </row>
    <row r="5" spans="1:8">
      <c r="A5" s="106"/>
      <c r="B5" s="29" t="s">
        <v>44</v>
      </c>
      <c r="C5" s="15"/>
      <c r="D5" s="16" t="s">
        <v>318</v>
      </c>
      <c r="F5" s="76"/>
      <c r="G5" s="73"/>
      <c r="H5" s="14"/>
    </row>
    <row r="6" spans="1:8">
      <c r="A6" s="106"/>
      <c r="B6" s="29" t="s">
        <v>45</v>
      </c>
      <c r="C6" s="15"/>
      <c r="D6" s="16" t="s">
        <v>319</v>
      </c>
      <c r="F6" s="76"/>
      <c r="G6" s="73"/>
      <c r="H6" s="14"/>
    </row>
    <row r="7" spans="1:8">
      <c r="A7" s="106"/>
      <c r="B7" s="29" t="s">
        <v>37</v>
      </c>
      <c r="C7" s="15"/>
      <c r="D7" s="16" t="s">
        <v>320</v>
      </c>
      <c r="F7" s="76">
        <v>0.3543307086614173</v>
      </c>
      <c r="G7" s="73"/>
      <c r="H7" s="14"/>
    </row>
    <row r="8" spans="1:8">
      <c r="A8" s="106"/>
      <c r="B8" s="29" t="s">
        <v>43</v>
      </c>
      <c r="C8" s="15"/>
      <c r="D8" s="16" t="s">
        <v>321</v>
      </c>
      <c r="F8" s="76"/>
      <c r="G8" s="73"/>
      <c r="H8" s="14"/>
    </row>
    <row r="9" spans="1:8">
      <c r="A9" s="106"/>
      <c r="B9" s="29" t="s">
        <v>42</v>
      </c>
      <c r="C9" s="15"/>
      <c r="D9" s="16" t="s">
        <v>322</v>
      </c>
      <c r="F9" s="76">
        <v>0.23622047244094488</v>
      </c>
      <c r="G9" s="73"/>
      <c r="H9" s="14"/>
    </row>
    <row r="10" spans="1:8">
      <c r="A10" s="106"/>
      <c r="B10" s="29" t="s">
        <v>41</v>
      </c>
      <c r="C10" s="15"/>
      <c r="D10" s="16" t="s">
        <v>323</v>
      </c>
      <c r="F10" s="76"/>
      <c r="G10" s="73"/>
      <c r="H10" s="14"/>
    </row>
    <row r="11" spans="1:8">
      <c r="A11" s="106"/>
      <c r="B11" s="29" t="s">
        <v>39</v>
      </c>
      <c r="C11" s="15"/>
      <c r="D11" s="16" t="s">
        <v>324</v>
      </c>
      <c r="F11" s="76"/>
      <c r="G11" s="73"/>
      <c r="H11" s="14"/>
    </row>
    <row r="12" spans="1:8">
      <c r="A12" s="106"/>
      <c r="B12" s="29" t="s">
        <v>38</v>
      </c>
      <c r="C12" s="15"/>
      <c r="D12" s="16" t="s">
        <v>325</v>
      </c>
      <c r="F12" s="76"/>
      <c r="G12" s="73"/>
      <c r="H12" s="14"/>
    </row>
    <row r="13" spans="1:8">
      <c r="A13" s="106" t="s">
        <v>4</v>
      </c>
      <c r="B13" s="29" t="s">
        <v>47</v>
      </c>
      <c r="C13" s="15"/>
      <c r="D13" s="16" t="s">
        <v>326</v>
      </c>
      <c r="F13" s="76"/>
      <c r="G13" s="73"/>
      <c r="H13" s="14"/>
    </row>
    <row r="14" spans="1:8">
      <c r="A14" s="106"/>
      <c r="B14" s="29" t="s">
        <v>49</v>
      </c>
      <c r="C14" s="15"/>
      <c r="D14" s="16" t="s">
        <v>327</v>
      </c>
      <c r="F14" s="76">
        <v>2.0986358866736624E-2</v>
      </c>
      <c r="G14" s="73"/>
      <c r="H14" s="14"/>
    </row>
    <row r="15" spans="1:8">
      <c r="A15" s="106"/>
      <c r="B15" s="29" t="s">
        <v>50</v>
      </c>
      <c r="C15" s="15"/>
      <c r="D15" s="16" t="s">
        <v>328</v>
      </c>
      <c r="F15" s="76">
        <v>0.83945435466946483</v>
      </c>
      <c r="G15" s="73"/>
      <c r="H15" s="14"/>
    </row>
    <row r="16" spans="1:8">
      <c r="A16" s="106"/>
      <c r="B16" s="29" t="s">
        <v>51</v>
      </c>
      <c r="C16" s="15"/>
      <c r="D16" s="16" t="s">
        <v>329</v>
      </c>
      <c r="F16" s="76">
        <v>2.0986358866736624E-2</v>
      </c>
      <c r="G16" s="73"/>
      <c r="H16" s="14"/>
    </row>
    <row r="17" spans="1:8">
      <c r="A17" s="106"/>
      <c r="B17" s="29" t="s">
        <v>52</v>
      </c>
      <c r="C17" s="15"/>
      <c r="D17" s="16" t="s">
        <v>330</v>
      </c>
      <c r="F17" s="76">
        <v>0.11857292759706192</v>
      </c>
      <c r="G17" s="73"/>
      <c r="H17" s="14"/>
    </row>
    <row r="18" spans="1:8">
      <c r="A18" s="106"/>
      <c r="B18" s="29" t="s">
        <v>48</v>
      </c>
      <c r="C18" s="15"/>
      <c r="D18" s="16" t="s">
        <v>331</v>
      </c>
      <c r="F18" s="76"/>
      <c r="G18" s="73"/>
      <c r="H18" s="14"/>
    </row>
    <row r="19" spans="1:8">
      <c r="A19" s="106" t="s">
        <v>5</v>
      </c>
      <c r="B19" s="29" t="s">
        <v>54</v>
      </c>
      <c r="C19" s="15"/>
      <c r="D19" s="16" t="s">
        <v>332</v>
      </c>
      <c r="F19" s="76">
        <v>0.2723735408560311</v>
      </c>
      <c r="G19" s="73"/>
      <c r="H19" s="14"/>
    </row>
    <row r="20" spans="1:8">
      <c r="A20" s="106"/>
      <c r="B20" s="29" t="s">
        <v>53</v>
      </c>
      <c r="C20" s="15"/>
      <c r="D20" s="16" t="s">
        <v>333</v>
      </c>
      <c r="F20" s="76">
        <v>0.17509727626459143</v>
      </c>
      <c r="G20" s="73"/>
      <c r="H20" s="14"/>
    </row>
    <row r="21" spans="1:8">
      <c r="A21" s="106"/>
      <c r="B21" s="29" t="s">
        <v>60</v>
      </c>
      <c r="C21" s="15"/>
      <c r="D21" s="16" t="s">
        <v>334</v>
      </c>
      <c r="F21" s="76"/>
      <c r="G21" s="73"/>
      <c r="H21" s="14"/>
    </row>
    <row r="22" spans="1:8">
      <c r="A22" s="106"/>
      <c r="B22" s="29" t="s">
        <v>58</v>
      </c>
      <c r="C22" s="18"/>
      <c r="D22" s="16" t="s">
        <v>335</v>
      </c>
      <c r="F22" s="76">
        <v>0.35797665369649806</v>
      </c>
      <c r="G22" s="73"/>
      <c r="H22" s="14"/>
    </row>
    <row r="23" spans="1:8">
      <c r="A23" s="106"/>
      <c r="B23" s="29" t="s">
        <v>57</v>
      </c>
      <c r="C23" s="15"/>
      <c r="D23" s="16" t="s">
        <v>336</v>
      </c>
      <c r="F23" s="76">
        <v>0.19455252918287938</v>
      </c>
      <c r="G23" s="73"/>
      <c r="H23" s="14"/>
    </row>
    <row r="24" spans="1:8">
      <c r="A24" s="106"/>
      <c r="B24" s="29" t="s">
        <v>59</v>
      </c>
      <c r="C24" s="15"/>
      <c r="D24" s="16" t="s">
        <v>337</v>
      </c>
      <c r="F24" s="76"/>
      <c r="G24" s="73"/>
      <c r="H24" s="14"/>
    </row>
    <row r="25" spans="1:8">
      <c r="A25" s="106"/>
      <c r="B25" s="29" t="s">
        <v>55</v>
      </c>
      <c r="C25" s="15"/>
      <c r="D25" s="16" t="s">
        <v>338</v>
      </c>
      <c r="F25" s="76"/>
      <c r="G25" s="73"/>
      <c r="H25" s="14"/>
    </row>
    <row r="26" spans="1:8">
      <c r="A26" s="106"/>
      <c r="B26" s="29" t="s">
        <v>56</v>
      </c>
      <c r="C26" s="15"/>
      <c r="D26" s="16" t="s">
        <v>339</v>
      </c>
      <c r="F26" s="76"/>
      <c r="G26" s="73"/>
      <c r="H26" s="14"/>
    </row>
    <row r="27" spans="1:8">
      <c r="A27" s="106" t="s">
        <v>6</v>
      </c>
      <c r="B27" s="29" t="s">
        <v>64</v>
      </c>
      <c r="C27" s="15"/>
      <c r="D27" s="16" t="s">
        <v>340</v>
      </c>
      <c r="F27" s="76"/>
      <c r="G27" s="73"/>
      <c r="H27" s="14"/>
    </row>
    <row r="28" spans="1:8">
      <c r="A28" s="106"/>
      <c r="B28" s="29" t="s">
        <v>61</v>
      </c>
      <c r="C28" s="15"/>
      <c r="D28" s="16" t="s">
        <v>341</v>
      </c>
      <c r="F28" s="76"/>
      <c r="G28" s="73"/>
      <c r="H28" s="14"/>
    </row>
    <row r="29" spans="1:8">
      <c r="A29" s="106"/>
      <c r="B29" s="29" t="s">
        <v>63</v>
      </c>
      <c r="C29" s="15"/>
      <c r="D29" s="16" t="s">
        <v>342</v>
      </c>
      <c r="F29" s="76">
        <v>1</v>
      </c>
      <c r="G29" s="73"/>
      <c r="H29" s="14"/>
    </row>
    <row r="30" spans="1:8">
      <c r="A30" s="106"/>
      <c r="B30" s="29" t="s">
        <v>65</v>
      </c>
      <c r="C30" s="15"/>
      <c r="D30" s="16" t="s">
        <v>343</v>
      </c>
      <c r="F30" s="76"/>
      <c r="G30" s="73"/>
      <c r="H30" s="14"/>
    </row>
    <row r="31" spans="1:8">
      <c r="A31" s="106"/>
      <c r="B31" s="29" t="s">
        <v>62</v>
      </c>
      <c r="C31" s="15"/>
      <c r="D31" s="16" t="s">
        <v>344</v>
      </c>
      <c r="F31" s="76"/>
      <c r="G31" s="73"/>
      <c r="H31" s="14"/>
    </row>
    <row r="32" spans="1:8" ht="31.5">
      <c r="A32" s="106" t="s">
        <v>7</v>
      </c>
      <c r="B32" s="29" t="s">
        <v>101</v>
      </c>
      <c r="C32" s="72" t="s">
        <v>920</v>
      </c>
      <c r="D32" s="16" t="s">
        <v>345</v>
      </c>
      <c r="F32" s="76">
        <v>2.978850163836759E-2</v>
      </c>
      <c r="H32" s="14"/>
    </row>
    <row r="33" spans="1:8">
      <c r="A33" s="106"/>
      <c r="B33" s="29" t="s">
        <v>102</v>
      </c>
      <c r="C33" s="15"/>
      <c r="D33" s="16" t="s">
        <v>346</v>
      </c>
      <c r="F33" s="76"/>
      <c r="H33" s="14"/>
    </row>
    <row r="34" spans="1:8" ht="78.75">
      <c r="A34" s="106"/>
      <c r="B34" s="29" t="s">
        <v>103</v>
      </c>
      <c r="C34" s="72" t="s">
        <v>923</v>
      </c>
      <c r="D34" s="16" t="s">
        <v>347</v>
      </c>
      <c r="F34" s="76">
        <v>6.047065832588621E-2</v>
      </c>
      <c r="H34" s="14"/>
    </row>
    <row r="35" spans="1:8" ht="43.5">
      <c r="A35" s="106"/>
      <c r="B35" s="29" t="s">
        <v>100</v>
      </c>
      <c r="C35" s="15" t="s">
        <v>917</v>
      </c>
      <c r="D35" s="16" t="s">
        <v>348</v>
      </c>
      <c r="F35" s="76">
        <v>3.0980041703902294E-2</v>
      </c>
      <c r="H35" s="14"/>
    </row>
    <row r="36" spans="1:8" ht="43.5">
      <c r="A36" s="106"/>
      <c r="B36" s="29" t="s">
        <v>97</v>
      </c>
      <c r="C36" s="31" t="s">
        <v>921</v>
      </c>
      <c r="D36" s="16" t="s">
        <v>349</v>
      </c>
      <c r="F36" s="76">
        <v>4.2895442359249331E-2</v>
      </c>
      <c r="H36" s="14"/>
    </row>
    <row r="37" spans="1:8" ht="15.75">
      <c r="A37" s="106"/>
      <c r="B37" s="29" t="s">
        <v>98</v>
      </c>
      <c r="C37" t="s">
        <v>914</v>
      </c>
      <c r="D37" s="16" t="s">
        <v>350</v>
      </c>
      <c r="F37" s="76">
        <v>2.0554066130473638E-2</v>
      </c>
      <c r="H37" s="14"/>
    </row>
    <row r="38" spans="1:8">
      <c r="A38" s="106"/>
      <c r="B38" s="29" t="s">
        <v>95</v>
      </c>
      <c r="C38" s="15"/>
      <c r="D38" s="16" t="s">
        <v>351</v>
      </c>
      <c r="F38" s="76"/>
      <c r="H38" s="14"/>
    </row>
    <row r="39" spans="1:8">
      <c r="A39" s="106"/>
      <c r="B39" s="29" t="s">
        <v>96</v>
      </c>
      <c r="C39" s="15"/>
      <c r="D39" s="16" t="s">
        <v>352</v>
      </c>
      <c r="F39" s="76"/>
      <c r="H39" s="14"/>
    </row>
    <row r="40" spans="1:8">
      <c r="A40" s="106"/>
      <c r="B40" s="29" t="s">
        <v>99</v>
      </c>
      <c r="C40" s="15"/>
      <c r="D40" s="16" t="s">
        <v>353</v>
      </c>
      <c r="F40" s="76"/>
      <c r="H40" s="14"/>
    </row>
    <row r="41" spans="1:8">
      <c r="A41" s="106"/>
      <c r="B41" s="29" t="s">
        <v>93</v>
      </c>
      <c r="C41" s="15"/>
      <c r="D41" s="16" t="s">
        <v>354</v>
      </c>
      <c r="F41" s="76"/>
      <c r="H41" s="14"/>
    </row>
    <row r="42" spans="1:8" ht="47.25">
      <c r="A42" s="106"/>
      <c r="B42" s="29" t="s">
        <v>94</v>
      </c>
      <c r="C42" s="72" t="s">
        <v>922</v>
      </c>
      <c r="D42" s="16" t="s">
        <v>355</v>
      </c>
      <c r="F42" s="76">
        <v>7.2386058981233251E-2</v>
      </c>
      <c r="H42" s="14"/>
    </row>
    <row r="43" spans="1:8">
      <c r="A43" s="106"/>
      <c r="B43" s="29" t="s">
        <v>92</v>
      </c>
      <c r="C43" s="15" t="s">
        <v>356</v>
      </c>
      <c r="D43" s="16" t="s">
        <v>356</v>
      </c>
      <c r="F43" s="76">
        <v>2.6809651474530832E-2</v>
      </c>
      <c r="H43" s="14"/>
    </row>
    <row r="44" spans="1:8">
      <c r="A44" s="106"/>
      <c r="B44" s="29" t="s">
        <v>91</v>
      </c>
      <c r="C44" s="15"/>
      <c r="D44" s="16" t="s">
        <v>357</v>
      </c>
      <c r="F44" s="76"/>
      <c r="H44" s="14"/>
    </row>
    <row r="45" spans="1:8">
      <c r="A45" s="106"/>
      <c r="B45" s="29" t="s">
        <v>90</v>
      </c>
      <c r="C45" s="15"/>
      <c r="D45" s="16" t="s">
        <v>358</v>
      </c>
      <c r="H45" s="14"/>
    </row>
    <row r="46" spans="1:8" ht="30">
      <c r="A46" s="106"/>
      <c r="B46" s="29" t="s">
        <v>89</v>
      </c>
      <c r="C46" s="17" t="s">
        <v>913</v>
      </c>
      <c r="D46" s="16" t="s">
        <v>359</v>
      </c>
      <c r="F46" s="76">
        <v>5.6598153112898418E-2</v>
      </c>
      <c r="H46" s="14"/>
    </row>
    <row r="47" spans="1:8">
      <c r="A47" s="106"/>
      <c r="B47" s="29" t="s">
        <v>88</v>
      </c>
      <c r="C47" s="15"/>
      <c r="D47" s="16" t="s">
        <v>360</v>
      </c>
      <c r="H47" s="14"/>
    </row>
    <row r="48" spans="1:8">
      <c r="A48" s="106"/>
      <c r="B48" s="29" t="s">
        <v>87</v>
      </c>
      <c r="C48" s="15"/>
      <c r="D48" s="16" t="s">
        <v>361</v>
      </c>
      <c r="H48" s="14"/>
    </row>
    <row r="49" spans="1:8" ht="15.75">
      <c r="A49" s="106"/>
      <c r="B49" s="29" t="s">
        <v>86</v>
      </c>
      <c r="C49" t="s">
        <v>910</v>
      </c>
      <c r="D49" s="16" t="s">
        <v>362</v>
      </c>
      <c r="F49" s="76">
        <v>1.7873100983020553E-2</v>
      </c>
      <c r="H49" s="14"/>
    </row>
    <row r="50" spans="1:8">
      <c r="A50" s="106"/>
      <c r="B50" s="29" t="s">
        <v>85</v>
      </c>
      <c r="C50" s="15"/>
      <c r="D50" s="16" t="s">
        <v>363</v>
      </c>
      <c r="H50" s="14"/>
    </row>
    <row r="51" spans="1:8" ht="15.75">
      <c r="A51" s="106"/>
      <c r="B51" s="29" t="s">
        <v>84</v>
      </c>
      <c r="C51" s="72" t="s">
        <v>912</v>
      </c>
      <c r="D51" s="16" t="s">
        <v>364</v>
      </c>
      <c r="F51" s="76">
        <v>1.7873100983020553E-2</v>
      </c>
      <c r="H51" s="14"/>
    </row>
    <row r="52" spans="1:8" ht="15.75">
      <c r="A52" s="106"/>
      <c r="B52" s="29" t="s">
        <v>83</v>
      </c>
      <c r="C52" t="s">
        <v>365</v>
      </c>
      <c r="D52" s="16" t="s">
        <v>365</v>
      </c>
      <c r="F52" s="76">
        <v>3.1873696753053321E-2</v>
      </c>
      <c r="H52" s="14"/>
    </row>
    <row r="53" spans="1:8">
      <c r="A53" s="106"/>
      <c r="B53" s="29" t="s">
        <v>82</v>
      </c>
      <c r="C53" s="15"/>
      <c r="D53" s="16" t="s">
        <v>366</v>
      </c>
      <c r="H53" s="14"/>
    </row>
    <row r="54" spans="1:8">
      <c r="A54" s="106"/>
      <c r="B54" s="29" t="s">
        <v>81</v>
      </c>
      <c r="C54" s="15"/>
      <c r="D54" s="16" t="s">
        <v>367</v>
      </c>
      <c r="H54" s="14"/>
    </row>
    <row r="55" spans="1:8" ht="131.25">
      <c r="A55" s="106"/>
      <c r="B55" s="29" t="s">
        <v>78</v>
      </c>
      <c r="C55" s="71" t="s">
        <v>918</v>
      </c>
      <c r="D55" s="16" t="s">
        <v>368</v>
      </c>
      <c r="F55" s="76">
        <v>0.28150134048257375</v>
      </c>
      <c r="H55" s="14"/>
    </row>
    <row r="56" spans="1:8">
      <c r="A56" s="106"/>
      <c r="B56" s="29" t="s">
        <v>77</v>
      </c>
      <c r="C56" s="31"/>
      <c r="D56" s="16" t="s">
        <v>369</v>
      </c>
      <c r="H56" s="14"/>
    </row>
    <row r="57" spans="1:8" ht="15.75">
      <c r="A57" s="106"/>
      <c r="B57" s="29" t="s">
        <v>76</v>
      </c>
      <c r="C57" t="s">
        <v>683</v>
      </c>
      <c r="D57" s="16" t="s">
        <v>370</v>
      </c>
      <c r="F57" s="76">
        <v>3.2767351802204352E-2</v>
      </c>
      <c r="H57" s="14"/>
    </row>
    <row r="58" spans="1:8">
      <c r="A58" s="106"/>
      <c r="B58" s="29" t="s">
        <v>79</v>
      </c>
      <c r="C58" s="15"/>
      <c r="D58" s="16" t="s">
        <v>371</v>
      </c>
      <c r="H58" s="14"/>
    </row>
    <row r="59" spans="1:8" ht="63">
      <c r="A59" s="106"/>
      <c r="B59" s="29" t="s">
        <v>80</v>
      </c>
      <c r="C59" s="72" t="s">
        <v>915</v>
      </c>
      <c r="D59" s="16" t="s">
        <v>372</v>
      </c>
      <c r="F59" s="76">
        <v>5.9874888293118857E-2</v>
      </c>
      <c r="H59" s="14"/>
    </row>
    <row r="60" spans="1:8">
      <c r="A60" s="106"/>
      <c r="B60" s="29" t="s">
        <v>75</v>
      </c>
      <c r="C60" s="15"/>
      <c r="D60" s="16" t="s">
        <v>373</v>
      </c>
      <c r="H60" s="14"/>
    </row>
    <row r="61" spans="1:8">
      <c r="A61" s="106"/>
      <c r="B61" s="29" t="s">
        <v>73</v>
      </c>
      <c r="C61" s="15"/>
      <c r="D61" s="16" t="s">
        <v>374</v>
      </c>
      <c r="H61" s="14"/>
    </row>
    <row r="62" spans="1:8">
      <c r="A62" s="106"/>
      <c r="B62" s="29" t="s">
        <v>74</v>
      </c>
      <c r="C62" s="32"/>
      <c r="D62" s="16" t="s">
        <v>375</v>
      </c>
      <c r="H62" s="14"/>
    </row>
    <row r="63" spans="1:8">
      <c r="A63" s="106"/>
      <c r="B63" s="29" t="s">
        <v>72</v>
      </c>
      <c r="C63" s="15"/>
      <c r="D63" s="16" t="s">
        <v>376</v>
      </c>
      <c r="H63" s="14"/>
    </row>
    <row r="64" spans="1:8">
      <c r="A64" s="106"/>
      <c r="B64" s="29" t="s">
        <v>69</v>
      </c>
      <c r="C64" s="15"/>
      <c r="D64" s="16" t="s">
        <v>377</v>
      </c>
      <c r="H64" s="14"/>
    </row>
    <row r="65" spans="1:8">
      <c r="A65" s="106"/>
      <c r="B65" s="29" t="s">
        <v>70</v>
      </c>
      <c r="C65" s="15" t="s">
        <v>911</v>
      </c>
      <c r="D65" s="16" t="s">
        <v>378</v>
      </c>
      <c r="H65" s="14"/>
    </row>
    <row r="66" spans="1:8">
      <c r="A66" s="106"/>
      <c r="B66" s="29" t="s">
        <v>68</v>
      </c>
      <c r="C66" s="32" t="s">
        <v>919</v>
      </c>
      <c r="D66" s="16" t="s">
        <v>379</v>
      </c>
      <c r="F66" s="76">
        <v>2.978850163836759E-2</v>
      </c>
      <c r="H66" s="14"/>
    </row>
    <row r="67" spans="1:8" ht="57.75">
      <c r="A67" s="106"/>
      <c r="B67" s="29" t="s">
        <v>71</v>
      </c>
      <c r="C67" s="15" t="s">
        <v>916</v>
      </c>
      <c r="D67" s="16" t="s">
        <v>380</v>
      </c>
      <c r="F67" s="76">
        <v>0.1879654453380995</v>
      </c>
      <c r="H67" s="14"/>
    </row>
    <row r="68" spans="1:8">
      <c r="A68" s="106"/>
      <c r="B68" s="29" t="s">
        <v>67</v>
      </c>
      <c r="C68" s="32"/>
      <c r="D68" s="16" t="s">
        <v>381</v>
      </c>
      <c r="H68" s="14"/>
    </row>
    <row r="69" spans="1:8">
      <c r="A69" s="106"/>
      <c r="B69" s="29" t="s">
        <v>66</v>
      </c>
      <c r="C69" s="15"/>
      <c r="D69" s="16" t="s">
        <v>382</v>
      </c>
      <c r="H69" s="14"/>
    </row>
    <row r="70" spans="1:8">
      <c r="A70" s="24" t="s">
        <v>622</v>
      </c>
      <c r="B70" s="29" t="s">
        <v>383</v>
      </c>
      <c r="C70" s="15"/>
      <c r="D70" s="16" t="s">
        <v>384</v>
      </c>
      <c r="F70" s="78">
        <v>1</v>
      </c>
      <c r="H70" s="14"/>
    </row>
    <row r="71" spans="1:8">
      <c r="A71" s="106" t="s">
        <v>8</v>
      </c>
      <c r="B71" s="29" t="s">
        <v>106</v>
      </c>
      <c r="C71" s="15"/>
      <c r="D71" s="16" t="s">
        <v>385</v>
      </c>
      <c r="G71" s="73"/>
      <c r="H71" s="14"/>
    </row>
    <row r="72" spans="1:8">
      <c r="A72" s="106"/>
      <c r="B72" s="29" t="s">
        <v>105</v>
      </c>
      <c r="C72" s="15"/>
      <c r="D72" s="16" t="s">
        <v>386</v>
      </c>
      <c r="G72" s="73"/>
      <c r="H72" s="14"/>
    </row>
    <row r="73" spans="1:8">
      <c r="A73" s="106"/>
      <c r="B73" s="29" t="s">
        <v>104</v>
      </c>
      <c r="C73" s="15"/>
      <c r="D73" s="16" t="s">
        <v>387</v>
      </c>
      <c r="F73" s="78">
        <v>1</v>
      </c>
      <c r="G73" s="73"/>
      <c r="H73" s="14"/>
    </row>
    <row r="74" spans="1:8">
      <c r="A74" s="106" t="s">
        <v>9</v>
      </c>
      <c r="B74" s="29" t="s">
        <v>114</v>
      </c>
      <c r="C74" s="15"/>
      <c r="D74" s="16" t="s">
        <v>388</v>
      </c>
      <c r="F74" s="78">
        <v>0.10912343470483005</v>
      </c>
      <c r="H74" s="14"/>
    </row>
    <row r="75" spans="1:8">
      <c r="A75" s="106"/>
      <c r="B75" s="29" t="s">
        <v>389</v>
      </c>
      <c r="C75" s="15"/>
      <c r="D75" s="16" t="s">
        <v>390</v>
      </c>
      <c r="H75" s="14"/>
    </row>
    <row r="76" spans="1:8">
      <c r="A76" s="106"/>
      <c r="B76" s="29" t="s">
        <v>391</v>
      </c>
      <c r="C76" s="15"/>
      <c r="D76" s="16" t="s">
        <v>392</v>
      </c>
    </row>
    <row r="77" spans="1:8">
      <c r="A77" s="106"/>
      <c r="B77" s="29" t="s">
        <v>393</v>
      </c>
      <c r="C77" s="15"/>
      <c r="D77" s="16" t="s">
        <v>394</v>
      </c>
      <c r="F77" s="78">
        <v>0</v>
      </c>
    </row>
    <row r="78" spans="1:8">
      <c r="A78" s="106"/>
      <c r="B78" s="29" t="s">
        <v>115</v>
      </c>
      <c r="C78" s="15"/>
      <c r="D78" s="16" t="s">
        <v>395</v>
      </c>
      <c r="F78" s="78">
        <v>1.0733452593917709E-2</v>
      </c>
    </row>
    <row r="79" spans="1:8">
      <c r="A79" s="106"/>
      <c r="B79" s="29" t="s">
        <v>110</v>
      </c>
      <c r="C79" s="15"/>
      <c r="D79" s="16" t="s">
        <v>396</v>
      </c>
      <c r="F79" s="78">
        <v>3.9355992844364938E-2</v>
      </c>
    </row>
    <row r="80" spans="1:8">
      <c r="A80" s="106"/>
      <c r="B80" s="29" t="s">
        <v>112</v>
      </c>
      <c r="C80" s="15"/>
      <c r="D80" s="16" t="s">
        <v>397</v>
      </c>
    </row>
    <row r="81" spans="1:6">
      <c r="A81" s="106"/>
      <c r="B81" s="29" t="s">
        <v>111</v>
      </c>
      <c r="C81" s="15"/>
      <c r="D81" s="16" t="s">
        <v>398</v>
      </c>
    </row>
    <row r="82" spans="1:6">
      <c r="A82" s="106"/>
      <c r="B82" s="29" t="s">
        <v>107</v>
      </c>
      <c r="C82" s="15"/>
      <c r="D82" s="16" t="s">
        <v>399</v>
      </c>
    </row>
    <row r="83" spans="1:6">
      <c r="A83" s="106"/>
      <c r="B83" s="29" t="s">
        <v>400</v>
      </c>
      <c r="C83" s="15"/>
      <c r="D83" s="16" t="s">
        <v>401</v>
      </c>
    </row>
    <row r="84" spans="1:6">
      <c r="A84" s="106"/>
      <c r="B84" s="29" t="s">
        <v>113</v>
      </c>
      <c r="C84" s="15"/>
      <c r="D84" s="16" t="s">
        <v>402</v>
      </c>
    </row>
    <row r="85" spans="1:6">
      <c r="A85" s="106"/>
      <c r="B85" s="29" t="s">
        <v>108</v>
      </c>
      <c r="C85" s="15"/>
      <c r="D85" s="16" t="s">
        <v>403</v>
      </c>
      <c r="F85" s="78">
        <v>0.50089445438282643</v>
      </c>
    </row>
    <row r="86" spans="1:6">
      <c r="A86" s="106"/>
      <c r="B86" s="29" t="s">
        <v>109</v>
      </c>
      <c r="C86" s="15"/>
      <c r="D86" s="16" t="s">
        <v>404</v>
      </c>
    </row>
    <row r="87" spans="1:6">
      <c r="A87" s="106" t="s">
        <v>10</v>
      </c>
      <c r="B87" s="29" t="s">
        <v>120</v>
      </c>
      <c r="C87" s="15"/>
      <c r="D87" s="16" t="s">
        <v>405</v>
      </c>
      <c r="F87" s="78">
        <v>0.19326923076923078</v>
      </c>
    </row>
    <row r="88" spans="1:6">
      <c r="A88" s="106"/>
      <c r="B88" s="29" t="s">
        <v>117</v>
      </c>
      <c r="C88" s="15"/>
      <c r="D88" s="16" t="s">
        <v>406</v>
      </c>
      <c r="F88" s="78">
        <v>3.0769230769230771E-2</v>
      </c>
    </row>
    <row r="89" spans="1:6">
      <c r="A89" s="106"/>
      <c r="B89" s="29" t="s">
        <v>128</v>
      </c>
      <c r="C89" s="15"/>
      <c r="D89" s="16" t="s">
        <v>407</v>
      </c>
    </row>
    <row r="90" spans="1:6">
      <c r="A90" s="106"/>
      <c r="B90" s="29" t="s">
        <v>118</v>
      </c>
      <c r="C90" s="15"/>
      <c r="D90" s="16" t="s">
        <v>408</v>
      </c>
      <c r="F90" s="78">
        <v>0.15865384615384615</v>
      </c>
    </row>
    <row r="91" spans="1:6">
      <c r="A91" s="106"/>
      <c r="B91" s="29" t="s">
        <v>123</v>
      </c>
      <c r="C91" s="15"/>
      <c r="D91" s="16" t="s">
        <v>409</v>
      </c>
      <c r="F91" s="78">
        <v>2.8846153846153848E-2</v>
      </c>
    </row>
    <row r="92" spans="1:6">
      <c r="A92" s="106"/>
      <c r="B92" s="29" t="s">
        <v>119</v>
      </c>
      <c r="C92" s="15"/>
      <c r="D92" s="16" t="s">
        <v>410</v>
      </c>
    </row>
    <row r="93" spans="1:6">
      <c r="A93" s="106"/>
      <c r="B93" s="29" t="s">
        <v>129</v>
      </c>
      <c r="C93" s="15"/>
      <c r="D93" s="16" t="s">
        <v>411</v>
      </c>
      <c r="F93" s="78">
        <v>5.9615384615384619E-2</v>
      </c>
    </row>
    <row r="94" spans="1:6">
      <c r="A94" s="106"/>
      <c r="B94" s="29" t="s">
        <v>124</v>
      </c>
      <c r="C94" s="15"/>
      <c r="D94" s="16" t="s">
        <v>412</v>
      </c>
      <c r="F94" s="78">
        <v>1.4423076923076924E-2</v>
      </c>
    </row>
    <row r="95" spans="1:6">
      <c r="A95" s="106"/>
      <c r="B95" s="29" t="s">
        <v>126</v>
      </c>
      <c r="C95" s="15"/>
      <c r="D95" s="16" t="s">
        <v>413</v>
      </c>
      <c r="F95" s="78">
        <v>0.18461538461538463</v>
      </c>
    </row>
    <row r="96" spans="1:6">
      <c r="A96" s="106"/>
      <c r="B96" s="29" t="s">
        <v>127</v>
      </c>
      <c r="C96" s="15"/>
      <c r="D96" s="16" t="s">
        <v>414</v>
      </c>
      <c r="F96" s="78">
        <v>8.6538461538461536E-2</v>
      </c>
    </row>
    <row r="97" spans="1:6">
      <c r="A97" s="106"/>
      <c r="B97" s="29" t="s">
        <v>121</v>
      </c>
      <c r="C97" s="15"/>
      <c r="D97" s="16" t="s">
        <v>415</v>
      </c>
    </row>
    <row r="98" spans="1:6">
      <c r="A98" s="106"/>
      <c r="B98" s="29" t="s">
        <v>125</v>
      </c>
      <c r="C98" s="15"/>
      <c r="D98" s="16" t="s">
        <v>416</v>
      </c>
      <c r="F98" s="78">
        <v>9.1346153846153841E-2</v>
      </c>
    </row>
    <row r="99" spans="1:6">
      <c r="A99" s="106"/>
      <c r="B99" s="29" t="s">
        <v>122</v>
      </c>
      <c r="C99" s="15"/>
      <c r="D99" s="16" t="s">
        <v>417</v>
      </c>
      <c r="F99" s="78">
        <v>0.14423076923076922</v>
      </c>
    </row>
    <row r="100" spans="1:6">
      <c r="A100" s="106"/>
      <c r="B100" s="29" t="s">
        <v>418</v>
      </c>
      <c r="C100" s="15"/>
      <c r="D100" s="16" t="s">
        <v>419</v>
      </c>
    </row>
    <row r="101" spans="1:6">
      <c r="A101" s="106"/>
      <c r="B101" s="29" t="s">
        <v>130</v>
      </c>
      <c r="C101" s="15"/>
      <c r="D101" s="16" t="s">
        <v>420</v>
      </c>
      <c r="F101" s="78">
        <v>7.6923076923076927E-3</v>
      </c>
    </row>
    <row r="102" spans="1:6">
      <c r="A102" s="106"/>
      <c r="B102" s="29" t="s">
        <v>116</v>
      </c>
      <c r="C102" s="15"/>
      <c r="D102" s="16" t="s">
        <v>421</v>
      </c>
    </row>
    <row r="103" spans="1:6">
      <c r="A103" s="106"/>
      <c r="B103" s="29" t="s">
        <v>422</v>
      </c>
      <c r="C103" s="15"/>
      <c r="D103" s="16" t="s">
        <v>423</v>
      </c>
    </row>
    <row r="104" spans="1:6">
      <c r="A104" s="106"/>
      <c r="B104" s="29" t="s">
        <v>424</v>
      </c>
      <c r="C104" s="15"/>
      <c r="D104" s="16" t="s">
        <v>425</v>
      </c>
    </row>
    <row r="105" spans="1:6">
      <c r="A105" s="106"/>
      <c r="B105" s="29" t="s">
        <v>426</v>
      </c>
      <c r="C105" s="15"/>
      <c r="D105" s="16" t="s">
        <v>427</v>
      </c>
    </row>
    <row r="106" spans="1:6">
      <c r="A106" s="106" t="s">
        <v>11</v>
      </c>
      <c r="B106" s="29" t="s">
        <v>132</v>
      </c>
      <c r="C106" s="15"/>
      <c r="D106" s="16" t="s">
        <v>428</v>
      </c>
    </row>
    <row r="107" spans="1:6">
      <c r="A107" s="106"/>
      <c r="B107" s="29" t="s">
        <v>143</v>
      </c>
      <c r="C107" s="15"/>
      <c r="D107" s="16" t="s">
        <v>429</v>
      </c>
      <c r="F107" s="78">
        <v>7.8694817658349334E-2</v>
      </c>
    </row>
    <row r="108" spans="1:6">
      <c r="A108" s="106"/>
      <c r="B108" s="29" t="s">
        <v>141</v>
      </c>
      <c r="C108" s="15"/>
      <c r="D108" s="16" t="s">
        <v>430</v>
      </c>
      <c r="F108" s="78">
        <v>0.12476007677543186</v>
      </c>
    </row>
    <row r="109" spans="1:6">
      <c r="A109" s="106"/>
      <c r="B109" s="29" t="s">
        <v>138</v>
      </c>
      <c r="C109" s="15"/>
      <c r="D109" s="16" t="s">
        <v>431</v>
      </c>
    </row>
    <row r="110" spans="1:6">
      <c r="A110" s="106"/>
      <c r="B110" s="30" t="s">
        <v>145</v>
      </c>
      <c r="C110" s="16"/>
      <c r="D110" s="19" t="s">
        <v>432</v>
      </c>
    </row>
    <row r="111" spans="1:6">
      <c r="A111" s="106"/>
      <c r="B111" s="30" t="s">
        <v>137</v>
      </c>
      <c r="C111" s="31"/>
      <c r="D111" s="19" t="s">
        <v>433</v>
      </c>
      <c r="F111" s="78">
        <v>9.5969289827255277E-2</v>
      </c>
    </row>
    <row r="112" spans="1:6">
      <c r="A112" s="106"/>
      <c r="B112" s="29" t="s">
        <v>134</v>
      </c>
      <c r="C112" s="32"/>
      <c r="D112" s="16" t="s">
        <v>434</v>
      </c>
    </row>
    <row r="113" spans="1:6">
      <c r="A113" s="106"/>
      <c r="B113" s="29" t="s">
        <v>151</v>
      </c>
      <c r="C113" s="15"/>
      <c r="D113" s="16" t="s">
        <v>435</v>
      </c>
      <c r="F113" s="78">
        <v>0.24952015355086371</v>
      </c>
    </row>
    <row r="114" spans="1:6">
      <c r="A114" s="106"/>
      <c r="B114" s="29" t="s">
        <v>133</v>
      </c>
      <c r="C114" s="15"/>
      <c r="D114" s="16" t="s">
        <v>436</v>
      </c>
      <c r="F114" s="78">
        <v>0.28790786948176583</v>
      </c>
    </row>
    <row r="115" spans="1:6">
      <c r="A115" s="106"/>
      <c r="B115" s="29" t="s">
        <v>148</v>
      </c>
      <c r="C115" s="15"/>
      <c r="D115" s="16" t="s">
        <v>437</v>
      </c>
    </row>
    <row r="116" spans="1:6">
      <c r="A116" s="106"/>
      <c r="B116" s="29" t="s">
        <v>135</v>
      </c>
      <c r="C116" s="15"/>
      <c r="D116" s="16" t="s">
        <v>438</v>
      </c>
    </row>
    <row r="117" spans="1:6">
      <c r="A117" s="106"/>
      <c r="B117" s="29" t="s">
        <v>136</v>
      </c>
      <c r="C117" s="15"/>
      <c r="D117" s="16" t="s">
        <v>439</v>
      </c>
    </row>
    <row r="118" spans="1:6">
      <c r="A118" s="106"/>
      <c r="B118" s="29" t="s">
        <v>140</v>
      </c>
      <c r="C118" s="15"/>
      <c r="D118" s="16" t="s">
        <v>440</v>
      </c>
    </row>
    <row r="119" spans="1:6">
      <c r="A119" s="106"/>
      <c r="B119" s="29" t="s">
        <v>139</v>
      </c>
      <c r="C119" s="15"/>
      <c r="D119" s="16" t="s">
        <v>441</v>
      </c>
    </row>
    <row r="120" spans="1:6">
      <c r="A120" s="106"/>
      <c r="B120" s="29" t="s">
        <v>142</v>
      </c>
      <c r="C120" s="15"/>
      <c r="D120" s="16" t="s">
        <v>442</v>
      </c>
    </row>
    <row r="121" spans="1:6">
      <c r="A121" s="106"/>
      <c r="B121" s="29" t="s">
        <v>144</v>
      </c>
      <c r="C121" s="15"/>
      <c r="D121" s="16" t="s">
        <v>443</v>
      </c>
      <c r="F121" s="78">
        <v>3.8387715930902108E-2</v>
      </c>
    </row>
    <row r="122" spans="1:6">
      <c r="A122" s="106"/>
      <c r="B122" s="29" t="s">
        <v>146</v>
      </c>
      <c r="C122" s="15"/>
      <c r="D122" s="16" t="s">
        <v>444</v>
      </c>
    </row>
    <row r="123" spans="1:6">
      <c r="A123" s="106"/>
      <c r="B123" s="29" t="s">
        <v>147</v>
      </c>
      <c r="C123" s="15"/>
      <c r="D123" s="16" t="s">
        <v>445</v>
      </c>
    </row>
    <row r="124" spans="1:6">
      <c r="A124" s="106"/>
      <c r="B124" s="29" t="s">
        <v>150</v>
      </c>
      <c r="C124" s="15"/>
      <c r="D124" s="16" t="s">
        <v>446</v>
      </c>
      <c r="F124" s="78">
        <v>7.6775431861804216E-2</v>
      </c>
    </row>
    <row r="125" spans="1:6">
      <c r="A125" s="106"/>
      <c r="B125" s="29" t="s">
        <v>152</v>
      </c>
      <c r="C125" s="15"/>
      <c r="D125" s="16" t="s">
        <v>447</v>
      </c>
    </row>
    <row r="126" spans="1:6">
      <c r="A126" s="106"/>
      <c r="B126" s="29" t="s">
        <v>149</v>
      </c>
      <c r="C126" s="15"/>
      <c r="D126" s="16" t="s">
        <v>448</v>
      </c>
      <c r="F126" s="78">
        <v>4.7984644913627639E-2</v>
      </c>
    </row>
    <row r="127" spans="1:6">
      <c r="A127" s="106"/>
      <c r="B127" s="29" t="s">
        <v>131</v>
      </c>
      <c r="C127" s="15"/>
      <c r="D127" s="16" t="s">
        <v>449</v>
      </c>
    </row>
    <row r="128" spans="1:6">
      <c r="A128" s="106"/>
      <c r="B128" s="29" t="s">
        <v>450</v>
      </c>
      <c r="C128" s="15"/>
      <c r="D128" s="16" t="s">
        <v>451</v>
      </c>
    </row>
    <row r="129" spans="1:7">
      <c r="A129" s="106"/>
      <c r="B129" s="29" t="s">
        <v>452</v>
      </c>
      <c r="C129" s="15"/>
      <c r="D129" s="16" t="s">
        <v>453</v>
      </c>
    </row>
    <row r="130" spans="1:7">
      <c r="A130" s="106"/>
      <c r="B130" s="29" t="s">
        <v>454</v>
      </c>
      <c r="C130" s="15"/>
      <c r="D130" s="16" t="s">
        <v>455</v>
      </c>
    </row>
    <row r="131" spans="1:7">
      <c r="A131" s="106"/>
      <c r="B131" s="29" t="s">
        <v>456</v>
      </c>
      <c r="C131" s="15"/>
      <c r="D131" s="16" t="s">
        <v>457</v>
      </c>
    </row>
    <row r="132" spans="1:7">
      <c r="A132" s="106"/>
      <c r="B132" s="29" t="s">
        <v>458</v>
      </c>
      <c r="C132" s="15"/>
      <c r="D132" s="16" t="s">
        <v>459</v>
      </c>
      <c r="G132" s="73"/>
    </row>
    <row r="133" spans="1:7">
      <c r="A133" s="106" t="s">
        <v>12</v>
      </c>
      <c r="B133" s="19" t="s">
        <v>460</v>
      </c>
      <c r="C133" s="16"/>
      <c r="D133" s="19" t="s">
        <v>461</v>
      </c>
      <c r="G133" s="73"/>
    </row>
    <row r="134" spans="1:7">
      <c r="A134" s="106"/>
      <c r="B134" s="29" t="s">
        <v>154</v>
      </c>
      <c r="C134" s="15"/>
      <c r="D134" s="16" t="s">
        <v>462</v>
      </c>
      <c r="F134" s="78">
        <v>1</v>
      </c>
      <c r="G134" s="73"/>
    </row>
    <row r="135" spans="1:7">
      <c r="A135" s="106"/>
      <c r="B135" s="29" t="s">
        <v>153</v>
      </c>
      <c r="C135" s="15"/>
      <c r="D135" s="16"/>
      <c r="G135" s="73"/>
    </row>
    <row r="136" spans="1:7">
      <c r="A136" s="106"/>
      <c r="B136" s="29" t="s">
        <v>463</v>
      </c>
      <c r="C136" s="15"/>
      <c r="D136" s="16" t="s">
        <v>464</v>
      </c>
      <c r="G136" s="73"/>
    </row>
    <row r="137" spans="1:7">
      <c r="A137" s="106"/>
      <c r="B137" s="29" t="s">
        <v>465</v>
      </c>
      <c r="C137" s="15"/>
      <c r="D137" s="16" t="s">
        <v>466</v>
      </c>
      <c r="G137" s="73"/>
    </row>
    <row r="138" spans="1:7">
      <c r="A138" s="106" t="s">
        <v>13</v>
      </c>
      <c r="B138" s="29" t="s">
        <v>163</v>
      </c>
      <c r="C138" s="15"/>
      <c r="D138" s="16" t="s">
        <v>467</v>
      </c>
      <c r="F138" s="78">
        <v>4.4780296669465439E-2</v>
      </c>
      <c r="G138" s="73"/>
    </row>
    <row r="139" spans="1:7">
      <c r="A139" s="106"/>
      <c r="B139" s="29" t="s">
        <v>156</v>
      </c>
      <c r="C139" s="15"/>
      <c r="D139" s="16" t="s">
        <v>468</v>
      </c>
      <c r="G139" s="73"/>
    </row>
    <row r="140" spans="1:7">
      <c r="A140" s="106"/>
      <c r="B140" s="29" t="s">
        <v>167</v>
      </c>
      <c r="C140" s="15"/>
      <c r="D140" s="16" t="s">
        <v>469</v>
      </c>
      <c r="G140" s="73"/>
    </row>
    <row r="141" spans="1:7">
      <c r="A141" s="106"/>
      <c r="B141" s="29" t="s">
        <v>166</v>
      </c>
      <c r="C141" s="15"/>
      <c r="D141" s="16" t="s">
        <v>470</v>
      </c>
      <c r="F141" s="78">
        <v>0.6428771340610131</v>
      </c>
      <c r="G141" s="73"/>
    </row>
    <row r="142" spans="1:7">
      <c r="A142" s="106"/>
      <c r="B142" s="29" t="s">
        <v>175</v>
      </c>
      <c r="C142" s="15"/>
      <c r="D142" s="16" t="s">
        <v>471</v>
      </c>
      <c r="F142" s="78">
        <v>1.3993842709207949E-2</v>
      </c>
      <c r="G142" s="73"/>
    </row>
    <row r="143" spans="1:7">
      <c r="A143" s="106"/>
      <c r="B143" s="29" t="s">
        <v>164</v>
      </c>
      <c r="C143" s="15"/>
      <c r="D143" s="16" t="s">
        <v>472</v>
      </c>
      <c r="F143" s="78">
        <v>3.6383991043940668E-2</v>
      </c>
      <c r="G143" s="73"/>
    </row>
    <row r="144" spans="1:7">
      <c r="A144" s="106"/>
      <c r="B144" s="29" t="s">
        <v>171</v>
      </c>
      <c r="C144" s="15"/>
      <c r="D144" s="16" t="s">
        <v>473</v>
      </c>
      <c r="G144" s="73"/>
    </row>
    <row r="145" spans="1:7">
      <c r="A145" s="106"/>
      <c r="B145" s="29" t="s">
        <v>174</v>
      </c>
      <c r="C145" s="32"/>
      <c r="D145" s="16" t="s">
        <v>474</v>
      </c>
      <c r="F145" s="78">
        <v>1.343408900083963E-2</v>
      </c>
      <c r="G145" s="73"/>
    </row>
    <row r="146" spans="1:7">
      <c r="A146" s="106"/>
      <c r="B146" s="29" t="s">
        <v>173</v>
      </c>
      <c r="C146" s="15"/>
      <c r="D146" s="16" t="s">
        <v>475</v>
      </c>
      <c r="G146" s="73"/>
    </row>
    <row r="147" spans="1:7">
      <c r="A147" s="106"/>
      <c r="B147" s="29" t="s">
        <v>172</v>
      </c>
      <c r="C147" s="15"/>
      <c r="D147" s="16" t="s">
        <v>476</v>
      </c>
      <c r="G147" s="73"/>
    </row>
    <row r="148" spans="1:7">
      <c r="A148" s="106"/>
      <c r="B148" s="29" t="s">
        <v>161</v>
      </c>
      <c r="C148" s="32"/>
      <c r="D148" s="16" t="s">
        <v>477</v>
      </c>
      <c r="G148" s="73"/>
    </row>
    <row r="149" spans="1:7">
      <c r="A149" s="106"/>
      <c r="B149" s="29" t="s">
        <v>162</v>
      </c>
      <c r="C149" s="15"/>
      <c r="D149" s="16" t="s">
        <v>478</v>
      </c>
      <c r="G149" s="73"/>
    </row>
    <row r="150" spans="1:7" ht="29.25">
      <c r="A150" s="106"/>
      <c r="B150" s="29" t="s">
        <v>158</v>
      </c>
      <c r="C150" s="15"/>
      <c r="D150" s="16" t="s">
        <v>479</v>
      </c>
      <c r="G150" s="73"/>
    </row>
    <row r="151" spans="1:7">
      <c r="A151" s="106"/>
      <c r="B151" s="29" t="s">
        <v>159</v>
      </c>
      <c r="C151" s="15"/>
      <c r="D151" s="16" t="s">
        <v>480</v>
      </c>
      <c r="G151" s="73"/>
    </row>
    <row r="152" spans="1:7">
      <c r="A152" s="106"/>
      <c r="B152" s="29" t="s">
        <v>155</v>
      </c>
      <c r="C152" s="32"/>
      <c r="D152" s="16" t="s">
        <v>481</v>
      </c>
      <c r="F152" s="78">
        <v>3.7503498460677305E-2</v>
      </c>
      <c r="G152" s="73"/>
    </row>
    <row r="153" spans="1:7">
      <c r="A153" s="106"/>
      <c r="B153" s="29" t="s">
        <v>169</v>
      </c>
      <c r="C153" s="15"/>
      <c r="D153" s="16" t="s">
        <v>482</v>
      </c>
      <c r="F153" s="78">
        <v>3.3585222502099076E-2</v>
      </c>
      <c r="G153" s="73"/>
    </row>
    <row r="154" spans="1:7">
      <c r="A154" s="106"/>
      <c r="B154" s="29" t="s">
        <v>170</v>
      </c>
      <c r="C154" s="15"/>
      <c r="D154" s="16" t="s">
        <v>483</v>
      </c>
      <c r="G154" s="73"/>
    </row>
    <row r="155" spans="1:7">
      <c r="A155" s="106"/>
      <c r="B155" s="29" t="s">
        <v>160</v>
      </c>
      <c r="C155" s="15"/>
      <c r="D155" s="16" t="s">
        <v>484</v>
      </c>
      <c r="G155" s="73"/>
    </row>
    <row r="156" spans="1:7">
      <c r="A156" s="106"/>
      <c r="B156" s="29" t="s">
        <v>157</v>
      </c>
      <c r="C156" s="15"/>
      <c r="D156" s="16" t="s">
        <v>485</v>
      </c>
      <c r="G156" s="73"/>
    </row>
    <row r="157" spans="1:7">
      <c r="A157" s="106"/>
      <c r="B157" s="29" t="s">
        <v>165</v>
      </c>
      <c r="C157" s="15"/>
      <c r="D157" s="16" t="s">
        <v>486</v>
      </c>
      <c r="F157" s="78">
        <v>1.6792611251049538E-2</v>
      </c>
      <c r="G157" s="73"/>
    </row>
    <row r="158" spans="1:7">
      <c r="A158" s="106"/>
      <c r="B158" s="29" t="s">
        <v>168</v>
      </c>
      <c r="C158" s="15"/>
      <c r="D158" s="16" t="s">
        <v>487</v>
      </c>
      <c r="F158" s="78">
        <v>0.16064931430170726</v>
      </c>
      <c r="G158" s="73"/>
    </row>
    <row r="159" spans="1:7">
      <c r="A159" s="26" t="s">
        <v>623</v>
      </c>
      <c r="B159" s="29" t="s">
        <v>488</v>
      </c>
      <c r="C159" s="15"/>
      <c r="D159" s="16" t="s">
        <v>489</v>
      </c>
      <c r="F159" s="78">
        <v>1</v>
      </c>
      <c r="G159" s="82" t="s">
        <v>925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78">
        <v>1</v>
      </c>
      <c r="G160" s="73"/>
    </row>
    <row r="161" spans="1:7">
      <c r="A161" s="106" t="s">
        <v>1164</v>
      </c>
      <c r="B161" s="29" t="s">
        <v>491</v>
      </c>
      <c r="C161" s="15"/>
      <c r="D161" s="16" t="s">
        <v>492</v>
      </c>
      <c r="G161" s="73"/>
    </row>
    <row r="162" spans="1:7">
      <c r="A162" s="106"/>
      <c r="B162" s="29" t="s">
        <v>493</v>
      </c>
      <c r="C162" s="15"/>
      <c r="D162" s="16" t="s">
        <v>494</v>
      </c>
      <c r="F162" s="78">
        <v>1</v>
      </c>
      <c r="G162" s="73"/>
    </row>
    <row r="163" spans="1:7">
      <c r="A163" s="26" t="s">
        <v>15</v>
      </c>
      <c r="B163" s="29" t="s">
        <v>177</v>
      </c>
      <c r="C163" s="15"/>
      <c r="D163" s="16" t="s">
        <v>15</v>
      </c>
      <c r="F163" s="78">
        <v>1</v>
      </c>
      <c r="G163" s="82" t="s">
        <v>925</v>
      </c>
    </row>
    <row r="164" spans="1:7">
      <c r="A164" s="106" t="s">
        <v>16</v>
      </c>
      <c r="B164" s="29" t="s">
        <v>182</v>
      </c>
      <c r="C164" s="15"/>
      <c r="D164" s="16" t="s">
        <v>495</v>
      </c>
      <c r="G164" s="73"/>
    </row>
    <row r="165" spans="1:7">
      <c r="A165" s="106"/>
      <c r="B165" s="29" t="s">
        <v>181</v>
      </c>
      <c r="C165" s="15"/>
      <c r="D165" s="16" t="s">
        <v>496</v>
      </c>
      <c r="G165" s="73"/>
    </row>
    <row r="166" spans="1:7">
      <c r="A166" s="106"/>
      <c r="B166" s="29" t="s">
        <v>180</v>
      </c>
      <c r="C166" s="15"/>
      <c r="D166" s="16" t="s">
        <v>497</v>
      </c>
      <c r="F166" s="78">
        <v>0.95771670190274838</v>
      </c>
      <c r="G166" s="73"/>
    </row>
    <row r="167" spans="1:7">
      <c r="A167" s="106"/>
      <c r="B167" s="29" t="s">
        <v>179</v>
      </c>
      <c r="C167" s="15"/>
      <c r="D167" s="16" t="s">
        <v>498</v>
      </c>
      <c r="F167" s="78">
        <v>4.2283298097251586E-2</v>
      </c>
      <c r="G167" s="73"/>
    </row>
    <row r="168" spans="1:7">
      <c r="A168" s="106"/>
      <c r="B168" s="29" t="s">
        <v>184</v>
      </c>
      <c r="C168" s="15"/>
      <c r="D168" s="16" t="s">
        <v>499</v>
      </c>
      <c r="G168" s="73"/>
    </row>
    <row r="169" spans="1:7">
      <c r="A169" s="106"/>
      <c r="B169" s="29" t="s">
        <v>183</v>
      </c>
      <c r="C169" s="32"/>
      <c r="D169" s="16" t="s">
        <v>500</v>
      </c>
      <c r="G169" s="73"/>
    </row>
    <row r="170" spans="1:7">
      <c r="A170" s="106"/>
      <c r="B170" s="29" t="s">
        <v>178</v>
      </c>
      <c r="C170" s="15"/>
      <c r="D170" s="16" t="s">
        <v>501</v>
      </c>
      <c r="G170" s="73"/>
    </row>
    <row r="171" spans="1:7">
      <c r="A171" s="106"/>
      <c r="B171" s="29" t="s">
        <v>185</v>
      </c>
      <c r="C171" s="15"/>
      <c r="D171" s="16" t="s">
        <v>502</v>
      </c>
      <c r="G171" s="73"/>
    </row>
    <row r="172" spans="1:7">
      <c r="A172" s="26" t="s">
        <v>504</v>
      </c>
      <c r="B172" s="29" t="s">
        <v>503</v>
      </c>
      <c r="C172" s="15"/>
      <c r="D172" s="16" t="s">
        <v>504</v>
      </c>
      <c r="F172" s="78">
        <v>1</v>
      </c>
      <c r="G172" s="82" t="s">
        <v>925</v>
      </c>
    </row>
    <row r="173" spans="1:7">
      <c r="A173" s="106" t="s">
        <v>17</v>
      </c>
      <c r="B173" s="29" t="s">
        <v>193</v>
      </c>
      <c r="C173" s="37"/>
      <c r="D173" s="16" t="s">
        <v>505</v>
      </c>
      <c r="F173" s="78">
        <v>0.24436090225563908</v>
      </c>
    </row>
    <row r="174" spans="1:7">
      <c r="A174" s="106"/>
      <c r="B174" s="29" t="s">
        <v>195</v>
      </c>
      <c r="C174" s="15"/>
      <c r="D174" s="16" t="s">
        <v>506</v>
      </c>
    </row>
    <row r="175" spans="1:7">
      <c r="A175" s="106"/>
      <c r="B175" s="29" t="s">
        <v>197</v>
      </c>
      <c r="C175" s="15"/>
      <c r="D175" s="16" t="s">
        <v>507</v>
      </c>
    </row>
    <row r="176" spans="1:7">
      <c r="A176" s="106"/>
      <c r="B176" s="29" t="s">
        <v>188</v>
      </c>
      <c r="C176" s="15"/>
      <c r="D176" s="16" t="s">
        <v>508</v>
      </c>
      <c r="F176" s="78">
        <v>0.17293233082706766</v>
      </c>
    </row>
    <row r="177" spans="1:7">
      <c r="A177" s="106"/>
      <c r="B177" s="29" t="s">
        <v>194</v>
      </c>
      <c r="C177" s="15"/>
      <c r="D177" s="16" t="s">
        <v>509</v>
      </c>
    </row>
    <row r="178" spans="1:7">
      <c r="A178" s="106"/>
      <c r="B178" s="29" t="s">
        <v>196</v>
      </c>
      <c r="C178" s="15"/>
      <c r="D178" s="16" t="s">
        <v>510</v>
      </c>
    </row>
    <row r="179" spans="1:7">
      <c r="A179" s="106"/>
      <c r="B179" s="29" t="s">
        <v>190</v>
      </c>
      <c r="C179" s="15"/>
      <c r="D179" s="16" t="s">
        <v>511</v>
      </c>
      <c r="F179" s="78">
        <v>0.11278195488721804</v>
      </c>
    </row>
    <row r="180" spans="1:7">
      <c r="A180" s="106"/>
      <c r="B180" s="29" t="s">
        <v>189</v>
      </c>
      <c r="C180" s="15"/>
      <c r="D180" s="16" t="s">
        <v>512</v>
      </c>
    </row>
    <row r="181" spans="1:7">
      <c r="A181" s="106"/>
      <c r="B181" s="29" t="s">
        <v>186</v>
      </c>
      <c r="C181" s="15"/>
      <c r="D181" s="16" t="s">
        <v>513</v>
      </c>
    </row>
    <row r="182" spans="1:7">
      <c r="A182" s="106"/>
      <c r="B182" s="29" t="s">
        <v>187</v>
      </c>
      <c r="C182" s="32"/>
      <c r="D182" s="16" t="s">
        <v>514</v>
      </c>
      <c r="F182" s="78">
        <v>0.18796992481203006</v>
      </c>
    </row>
    <row r="183" spans="1:7">
      <c r="A183" s="106"/>
      <c r="B183" s="29" t="s">
        <v>191</v>
      </c>
      <c r="C183" s="32"/>
      <c r="D183" s="16" t="s">
        <v>515</v>
      </c>
    </row>
    <row r="184" spans="1:7">
      <c r="A184" s="106"/>
      <c r="B184" s="29" t="s">
        <v>192</v>
      </c>
      <c r="C184" s="32"/>
      <c r="D184" s="16" t="s">
        <v>516</v>
      </c>
      <c r="F184" s="78">
        <v>0.28195488721804512</v>
      </c>
    </row>
    <row r="185" spans="1:7">
      <c r="A185" s="106" t="s">
        <v>18</v>
      </c>
      <c r="B185" s="29" t="s">
        <v>206</v>
      </c>
      <c r="C185" s="15"/>
      <c r="D185" s="16" t="s">
        <v>517</v>
      </c>
      <c r="G185" s="73"/>
    </row>
    <row r="186" spans="1:7">
      <c r="A186" s="106"/>
      <c r="B186" s="29" t="s">
        <v>204</v>
      </c>
      <c r="C186" s="15"/>
      <c r="D186" s="16" t="s">
        <v>518</v>
      </c>
      <c r="F186" s="78">
        <v>7.2072072072072071E-2</v>
      </c>
      <c r="G186" s="73"/>
    </row>
    <row r="187" spans="1:7">
      <c r="A187" s="106"/>
      <c r="B187" s="29" t="s">
        <v>203</v>
      </c>
      <c r="C187" s="15"/>
      <c r="D187" s="16" t="s">
        <v>519</v>
      </c>
      <c r="G187" s="73"/>
    </row>
    <row r="188" spans="1:7">
      <c r="A188" s="106"/>
      <c r="B188" s="29" t="s">
        <v>205</v>
      </c>
      <c r="C188" s="15"/>
      <c r="D188" s="16" t="s">
        <v>520</v>
      </c>
      <c r="G188" s="73"/>
    </row>
    <row r="189" spans="1:7">
      <c r="A189" s="106"/>
      <c r="B189" s="29" t="s">
        <v>200</v>
      </c>
      <c r="C189" s="15"/>
      <c r="D189" s="16" t="s">
        <v>521</v>
      </c>
      <c r="G189" s="73"/>
    </row>
    <row r="190" spans="1:7">
      <c r="A190" s="106"/>
      <c r="B190" s="29" t="s">
        <v>202</v>
      </c>
      <c r="C190" s="15"/>
      <c r="D190" s="16" t="s">
        <v>522</v>
      </c>
      <c r="F190" s="78">
        <v>0.68468468468468469</v>
      </c>
      <c r="G190" s="73"/>
    </row>
    <row r="191" spans="1:7">
      <c r="A191" s="106"/>
      <c r="B191" s="29" t="s">
        <v>201</v>
      </c>
      <c r="C191" s="15"/>
      <c r="D191" s="16" t="s">
        <v>523</v>
      </c>
      <c r="F191" s="78">
        <v>9.90990990990991E-2</v>
      </c>
      <c r="G191" s="73"/>
    </row>
    <row r="192" spans="1:7">
      <c r="A192" s="106"/>
      <c r="B192" s="29" t="s">
        <v>199</v>
      </c>
      <c r="C192" s="15"/>
      <c r="D192" s="16" t="s">
        <v>524</v>
      </c>
      <c r="G192" s="73"/>
    </row>
    <row r="193" spans="1:7">
      <c r="A193" s="106"/>
      <c r="B193" s="29" t="s">
        <v>198</v>
      </c>
      <c r="C193" s="15"/>
      <c r="D193" s="16" t="s">
        <v>525</v>
      </c>
      <c r="F193" s="78">
        <v>0.14414414414414414</v>
      </c>
      <c r="G193" s="73"/>
    </row>
    <row r="194" spans="1:7">
      <c r="A194" s="106" t="s">
        <v>19</v>
      </c>
      <c r="B194" s="29" t="s">
        <v>219</v>
      </c>
      <c r="C194" s="15"/>
      <c r="D194" s="16" t="s">
        <v>526</v>
      </c>
      <c r="F194" s="78">
        <v>0.55171255876427139</v>
      </c>
      <c r="G194" s="73"/>
    </row>
    <row r="195" spans="1:7">
      <c r="A195" s="106"/>
      <c r="B195" s="29" t="s">
        <v>210</v>
      </c>
      <c r="C195" s="15"/>
      <c r="D195" s="16" t="s">
        <v>527</v>
      </c>
      <c r="F195" s="78">
        <v>0.21490933512424445</v>
      </c>
      <c r="G195" s="73"/>
    </row>
    <row r="196" spans="1:7">
      <c r="A196" s="106"/>
      <c r="B196" s="29" t="s">
        <v>221</v>
      </c>
      <c r="C196" s="15"/>
      <c r="D196" s="16" t="s">
        <v>528</v>
      </c>
      <c r="F196" s="78">
        <v>3.3579583613163197E-2</v>
      </c>
      <c r="G196" s="73"/>
    </row>
    <row r="197" spans="1:7">
      <c r="A197" s="106"/>
      <c r="B197" s="29" t="s">
        <v>207</v>
      </c>
      <c r="C197" s="15"/>
      <c r="D197" s="16" t="s">
        <v>529</v>
      </c>
      <c r="G197" s="73"/>
    </row>
    <row r="198" spans="1:7">
      <c r="A198" s="106"/>
      <c r="B198" s="29" t="s">
        <v>216</v>
      </c>
      <c r="C198" s="15"/>
      <c r="D198" s="16" t="s">
        <v>530</v>
      </c>
      <c r="F198" s="78">
        <v>0.11081262592343855</v>
      </c>
      <c r="G198" s="73"/>
    </row>
    <row r="199" spans="1:7">
      <c r="A199" s="106"/>
      <c r="B199" s="29" t="s">
        <v>218</v>
      </c>
      <c r="C199" s="15"/>
      <c r="D199" s="16" t="s">
        <v>531</v>
      </c>
      <c r="F199" s="78">
        <v>3.6937541974479515E-2</v>
      </c>
      <c r="G199" s="73"/>
    </row>
    <row r="200" spans="1:7">
      <c r="A200" s="106"/>
      <c r="B200" s="29" t="s">
        <v>213</v>
      </c>
      <c r="C200" s="15"/>
      <c r="D200" s="16" t="s">
        <v>532</v>
      </c>
      <c r="G200" s="73"/>
    </row>
    <row r="201" spans="1:7">
      <c r="A201" s="106"/>
      <c r="B201" s="29" t="s">
        <v>220</v>
      </c>
      <c r="C201" s="15"/>
      <c r="D201" s="16" t="s">
        <v>533</v>
      </c>
      <c r="G201" s="73"/>
    </row>
    <row r="202" spans="1:7">
      <c r="A202" s="106"/>
      <c r="B202" s="29" t="s">
        <v>208</v>
      </c>
      <c r="C202" s="15"/>
      <c r="D202" s="16" t="s">
        <v>534</v>
      </c>
      <c r="G202" s="73"/>
    </row>
    <row r="203" spans="1:7">
      <c r="A203" s="106"/>
      <c r="B203" s="29" t="s">
        <v>211</v>
      </c>
      <c r="C203" s="15"/>
      <c r="D203" s="16" t="s">
        <v>535</v>
      </c>
      <c r="G203" s="73"/>
    </row>
    <row r="204" spans="1:7">
      <c r="A204" s="106"/>
      <c r="B204" s="29" t="s">
        <v>223</v>
      </c>
      <c r="C204" s="15"/>
      <c r="D204" s="16" t="s">
        <v>536</v>
      </c>
      <c r="G204" s="73"/>
    </row>
    <row r="205" spans="1:7">
      <c r="A205" s="106"/>
      <c r="B205" s="29" t="s">
        <v>222</v>
      </c>
      <c r="C205" s="15"/>
      <c r="D205" s="16" t="s">
        <v>537</v>
      </c>
      <c r="G205" s="73"/>
    </row>
    <row r="206" spans="1:7">
      <c r="A206" s="106"/>
      <c r="B206" s="29" t="s">
        <v>217</v>
      </c>
      <c r="C206" s="15"/>
      <c r="D206" s="16" t="s">
        <v>538</v>
      </c>
      <c r="G206" s="73"/>
    </row>
    <row r="207" spans="1:7">
      <c r="A207" s="106"/>
      <c r="B207" s="29" t="s">
        <v>209</v>
      </c>
      <c r="C207" s="15"/>
      <c r="D207" s="16" t="s">
        <v>539</v>
      </c>
      <c r="F207" s="78">
        <v>5.2048354600402955E-2</v>
      </c>
      <c r="G207" s="73"/>
    </row>
    <row r="208" spans="1:7">
      <c r="A208" s="106"/>
      <c r="B208" s="29" t="s">
        <v>212</v>
      </c>
      <c r="C208" s="15"/>
      <c r="D208" s="16" t="s">
        <v>540</v>
      </c>
      <c r="G208" s="73"/>
    </row>
    <row r="209" spans="1:7">
      <c r="A209" s="106"/>
      <c r="B209" s="29" t="s">
        <v>214</v>
      </c>
      <c r="C209" s="15"/>
      <c r="D209" s="16" t="s">
        <v>541</v>
      </c>
      <c r="G209" s="73"/>
    </row>
    <row r="210" spans="1:7">
      <c r="A210" s="106"/>
      <c r="B210" s="29" t="s">
        <v>215</v>
      </c>
      <c r="C210" s="32"/>
      <c r="D210" s="16" t="s">
        <v>542</v>
      </c>
      <c r="G210" s="73"/>
    </row>
    <row r="211" spans="1:7">
      <c r="A211" s="106" t="s">
        <v>20</v>
      </c>
      <c r="B211" s="29" t="s">
        <v>226</v>
      </c>
      <c r="C211" s="15"/>
      <c r="D211" s="16" t="s">
        <v>543</v>
      </c>
      <c r="F211" s="78">
        <v>7.1207430340557279E-2</v>
      </c>
      <c r="G211" s="73"/>
    </row>
    <row r="212" spans="1:7">
      <c r="A212" s="106"/>
      <c r="B212" s="29" t="s">
        <v>225</v>
      </c>
      <c r="C212" s="15"/>
      <c r="D212" s="16" t="s">
        <v>544</v>
      </c>
      <c r="G212" s="73"/>
    </row>
    <row r="213" spans="1:7">
      <c r="A213" s="106"/>
      <c r="B213" s="29" t="s">
        <v>228</v>
      </c>
      <c r="C213" s="15"/>
      <c r="D213" s="16" t="s">
        <v>545</v>
      </c>
      <c r="G213" s="73"/>
    </row>
    <row r="214" spans="1:7">
      <c r="A214" s="106"/>
      <c r="B214" s="29" t="s">
        <v>224</v>
      </c>
      <c r="C214" s="15"/>
      <c r="D214" s="16" t="s">
        <v>546</v>
      </c>
      <c r="F214" s="78">
        <v>0.92879256965944279</v>
      </c>
      <c r="G214" s="73"/>
    </row>
    <row r="215" spans="1:7">
      <c r="A215" s="106"/>
      <c r="B215" s="29" t="s">
        <v>227</v>
      </c>
      <c r="C215" s="32"/>
      <c r="D215" s="16" t="s">
        <v>547</v>
      </c>
      <c r="G215" s="73"/>
    </row>
    <row r="216" spans="1:7">
      <c r="A216" s="106"/>
      <c r="B216" s="29" t="s">
        <v>548</v>
      </c>
      <c r="C216" s="15"/>
      <c r="D216" s="16" t="s">
        <v>549</v>
      </c>
      <c r="G216" s="73"/>
    </row>
    <row r="217" spans="1:7">
      <c r="A217" s="106"/>
      <c r="B217" s="29" t="s">
        <v>550</v>
      </c>
      <c r="C217" s="15"/>
      <c r="D217" s="16" t="s">
        <v>551</v>
      </c>
      <c r="G217" s="73"/>
    </row>
    <row r="218" spans="1:7">
      <c r="A218" s="106" t="s">
        <v>21</v>
      </c>
      <c r="B218" s="29" t="s">
        <v>231</v>
      </c>
      <c r="C218" s="15"/>
      <c r="D218" s="16" t="s">
        <v>552</v>
      </c>
      <c r="F218" s="78">
        <v>8.771929824561403E-3</v>
      </c>
    </row>
    <row r="219" spans="1:7">
      <c r="A219" s="106"/>
      <c r="B219" s="29" t="s">
        <v>236</v>
      </c>
      <c r="C219" s="15"/>
      <c r="D219" s="16" t="s">
        <v>553</v>
      </c>
    </row>
    <row r="220" spans="1:7">
      <c r="A220" s="106"/>
      <c r="B220" s="29" t="s">
        <v>232</v>
      </c>
      <c r="C220" s="15"/>
      <c r="D220" s="16" t="s">
        <v>554</v>
      </c>
    </row>
    <row r="221" spans="1:7">
      <c r="A221" s="106"/>
      <c r="B221" s="29" t="s">
        <v>230</v>
      </c>
      <c r="C221" s="15"/>
      <c r="D221" s="16" t="s">
        <v>555</v>
      </c>
    </row>
    <row r="222" spans="1:7">
      <c r="A222" s="106"/>
      <c r="B222" s="29" t="s">
        <v>234</v>
      </c>
      <c r="C222" s="15"/>
      <c r="D222" s="16" t="s">
        <v>556</v>
      </c>
    </row>
    <row r="223" spans="1:7">
      <c r="A223" s="106"/>
      <c r="B223" s="29" t="s">
        <v>233</v>
      </c>
      <c r="C223" s="15"/>
      <c r="D223" s="16" t="s">
        <v>557</v>
      </c>
      <c r="F223" s="78">
        <v>3.9473684210526314E-2</v>
      </c>
    </row>
    <row r="224" spans="1:7">
      <c r="A224" s="106"/>
      <c r="B224" s="29" t="s">
        <v>229</v>
      </c>
      <c r="C224" s="15"/>
      <c r="D224" s="16" t="s">
        <v>558</v>
      </c>
      <c r="F224" s="78">
        <v>0.32894736842105265</v>
      </c>
    </row>
    <row r="225" spans="1:7">
      <c r="A225" s="106"/>
      <c r="B225" s="29" t="s">
        <v>235</v>
      </c>
      <c r="C225" s="15"/>
      <c r="D225" s="16" t="s">
        <v>559</v>
      </c>
      <c r="F225" s="78">
        <v>0.6228070175438597</v>
      </c>
    </row>
    <row r="226" spans="1:7">
      <c r="A226" s="106" t="s">
        <v>22</v>
      </c>
      <c r="B226" s="29" t="s">
        <v>237</v>
      </c>
      <c r="C226" s="15"/>
      <c r="D226" s="16" t="s">
        <v>560</v>
      </c>
      <c r="F226" s="78">
        <v>1</v>
      </c>
    </row>
    <row r="227" spans="1:7">
      <c r="A227" s="106"/>
      <c r="B227" s="29" t="s">
        <v>238</v>
      </c>
      <c r="C227" s="15"/>
      <c r="D227" s="16" t="s">
        <v>561</v>
      </c>
    </row>
    <row r="228" spans="1:7">
      <c r="A228" s="106" t="s">
        <v>23</v>
      </c>
      <c r="B228" s="29" t="s">
        <v>241</v>
      </c>
      <c r="C228" s="15"/>
      <c r="D228" s="16" t="s">
        <v>562</v>
      </c>
    </row>
    <row r="229" spans="1:7">
      <c r="A229" s="106"/>
      <c r="B229" s="29" t="s">
        <v>239</v>
      </c>
      <c r="C229" s="15"/>
      <c r="D229" s="16" t="s">
        <v>563</v>
      </c>
    </row>
    <row r="230" spans="1:7">
      <c r="A230" s="106"/>
      <c r="B230" s="29" t="s">
        <v>242</v>
      </c>
      <c r="C230" s="15"/>
      <c r="D230" s="16" t="s">
        <v>564</v>
      </c>
      <c r="F230" s="78">
        <v>0.24590163934426229</v>
      </c>
    </row>
    <row r="231" spans="1:7">
      <c r="A231" s="106"/>
      <c r="B231" s="29" t="s">
        <v>240</v>
      </c>
      <c r="C231" s="15"/>
      <c r="D231" s="16" t="s">
        <v>565</v>
      </c>
      <c r="F231" s="78">
        <v>0.75409836065573765</v>
      </c>
    </row>
    <row r="232" spans="1:7">
      <c r="A232" s="106" t="s">
        <v>24</v>
      </c>
      <c r="B232" s="29" t="s">
        <v>243</v>
      </c>
      <c r="C232" s="15"/>
      <c r="D232" s="16" t="s">
        <v>566</v>
      </c>
      <c r="F232" s="79"/>
      <c r="G232" s="73"/>
    </row>
    <row r="233" spans="1:7">
      <c r="A233" s="106"/>
      <c r="B233" s="29" t="s">
        <v>245</v>
      </c>
      <c r="C233" s="15"/>
      <c r="D233" s="16" t="s">
        <v>567</v>
      </c>
      <c r="F233" s="79"/>
      <c r="G233" s="73"/>
    </row>
    <row r="234" spans="1:7">
      <c r="A234" s="106"/>
      <c r="B234" s="29" t="s">
        <v>244</v>
      </c>
      <c r="C234" s="15"/>
      <c r="D234" s="16" t="s">
        <v>568</v>
      </c>
      <c r="F234" s="79"/>
      <c r="G234" s="73"/>
    </row>
    <row r="235" spans="1:7">
      <c r="A235" s="106"/>
      <c r="B235" s="29" t="s">
        <v>246</v>
      </c>
      <c r="C235" s="15"/>
      <c r="D235" s="16" t="s">
        <v>569</v>
      </c>
      <c r="F235" s="79">
        <v>1</v>
      </c>
      <c r="G235" s="73"/>
    </row>
    <row r="236" spans="1:7">
      <c r="A236" s="106"/>
      <c r="B236" s="29" t="s">
        <v>570</v>
      </c>
      <c r="C236" s="15"/>
      <c r="D236" s="16" t="s">
        <v>571</v>
      </c>
      <c r="F236" s="79"/>
      <c r="G236" s="73"/>
    </row>
    <row r="237" spans="1:7">
      <c r="A237" s="106" t="s">
        <v>25</v>
      </c>
      <c r="B237" s="29" t="s">
        <v>247</v>
      </c>
      <c r="C237" s="15"/>
      <c r="D237" s="16" t="s">
        <v>572</v>
      </c>
    </row>
    <row r="238" spans="1:7">
      <c r="A238" s="106"/>
      <c r="B238" s="29" t="s">
        <v>248</v>
      </c>
      <c r="C238" s="15"/>
      <c r="D238" s="16" t="s">
        <v>573</v>
      </c>
      <c r="F238" s="78">
        <v>0.38590604026845637</v>
      </c>
    </row>
    <row r="239" spans="1:7">
      <c r="A239" s="106"/>
      <c r="B239" s="29" t="s">
        <v>252</v>
      </c>
      <c r="C239" s="15"/>
      <c r="D239" s="16" t="s">
        <v>574</v>
      </c>
      <c r="F239" s="78">
        <v>0.41946308724832215</v>
      </c>
    </row>
    <row r="240" spans="1:7">
      <c r="A240" s="106"/>
      <c r="B240" s="29" t="s">
        <v>254</v>
      </c>
      <c r="C240" s="15"/>
      <c r="D240" s="16" t="s">
        <v>575</v>
      </c>
      <c r="F240" s="78">
        <v>0.19463087248322147</v>
      </c>
    </row>
    <row r="241" spans="1:6">
      <c r="A241" s="106"/>
      <c r="B241" s="29" t="s">
        <v>251</v>
      </c>
      <c r="C241" s="32"/>
      <c r="D241" s="16" t="s">
        <v>576</v>
      </c>
    </row>
    <row r="242" spans="1:6">
      <c r="A242" s="106"/>
      <c r="B242" s="29" t="s">
        <v>253</v>
      </c>
      <c r="C242" s="15"/>
      <c r="D242" s="16" t="s">
        <v>577</v>
      </c>
    </row>
    <row r="243" spans="1:6">
      <c r="A243" s="106"/>
      <c r="B243" s="29" t="s">
        <v>250</v>
      </c>
      <c r="C243" s="15"/>
      <c r="D243" s="16" t="s">
        <v>578</v>
      </c>
    </row>
    <row r="244" spans="1:6">
      <c r="A244" s="106"/>
      <c r="B244" s="29" t="s">
        <v>249</v>
      </c>
      <c r="C244" s="15"/>
      <c r="D244" s="16" t="s">
        <v>579</v>
      </c>
    </row>
    <row r="245" spans="1:6">
      <c r="A245" s="106" t="s">
        <v>26</v>
      </c>
      <c r="B245" s="29" t="s">
        <v>294</v>
      </c>
      <c r="C245" s="32"/>
      <c r="D245" s="16" t="s">
        <v>580</v>
      </c>
    </row>
    <row r="246" spans="1:6" ht="29.25">
      <c r="A246" s="106"/>
      <c r="B246" s="29" t="s">
        <v>268</v>
      </c>
      <c r="C246" s="15"/>
      <c r="D246" s="16" t="s">
        <v>581</v>
      </c>
    </row>
    <row r="247" spans="1:6">
      <c r="A247" s="106"/>
      <c r="B247" s="29" t="s">
        <v>280</v>
      </c>
      <c r="C247" s="15"/>
      <c r="D247" s="16" t="s">
        <v>582</v>
      </c>
    </row>
    <row r="248" spans="1:6">
      <c r="A248" s="106"/>
      <c r="B248" s="29" t="s">
        <v>270</v>
      </c>
      <c r="C248" s="15"/>
      <c r="D248" s="16" t="s">
        <v>583</v>
      </c>
    </row>
    <row r="249" spans="1:6">
      <c r="A249" s="106"/>
      <c r="B249" s="29" t="s">
        <v>285</v>
      </c>
      <c r="C249" s="15"/>
      <c r="D249" s="16" t="s">
        <v>584</v>
      </c>
      <c r="F249" s="78">
        <v>0.30555555555555558</v>
      </c>
    </row>
    <row r="250" spans="1:6">
      <c r="A250" s="106"/>
      <c r="B250" s="29" t="s">
        <v>264</v>
      </c>
      <c r="C250" s="15"/>
      <c r="D250" s="16" t="s">
        <v>585</v>
      </c>
      <c r="F250" s="78">
        <v>3.4722222222222224E-2</v>
      </c>
    </row>
    <row r="251" spans="1:6">
      <c r="A251" s="106"/>
      <c r="B251" s="29" t="s">
        <v>269</v>
      </c>
      <c r="C251" s="15"/>
      <c r="D251" s="16" t="s">
        <v>586</v>
      </c>
    </row>
    <row r="252" spans="1:6" ht="29.25">
      <c r="A252" s="106"/>
      <c r="B252" s="29" t="s">
        <v>277</v>
      </c>
      <c r="C252" s="15"/>
      <c r="D252" s="16" t="s">
        <v>587</v>
      </c>
    </row>
    <row r="253" spans="1:6">
      <c r="A253" s="106"/>
      <c r="B253" s="29" t="s">
        <v>295</v>
      </c>
      <c r="C253" s="15"/>
      <c r="D253" s="16" t="s">
        <v>588</v>
      </c>
    </row>
    <row r="254" spans="1:6">
      <c r="A254" s="106"/>
      <c r="B254" s="29" t="s">
        <v>266</v>
      </c>
      <c r="C254" s="15"/>
      <c r="D254" s="16" t="s">
        <v>589</v>
      </c>
    </row>
    <row r="255" spans="1:6">
      <c r="A255" s="106"/>
      <c r="B255" s="29" t="s">
        <v>263</v>
      </c>
      <c r="C255" s="15"/>
      <c r="D255" s="16" t="s">
        <v>590</v>
      </c>
    </row>
    <row r="256" spans="1:6">
      <c r="A256" s="106"/>
      <c r="B256" s="29" t="s">
        <v>279</v>
      </c>
      <c r="C256" s="15"/>
      <c r="D256" s="16" t="s">
        <v>591</v>
      </c>
      <c r="F256" s="78">
        <v>3.4722222222222224E-2</v>
      </c>
    </row>
    <row r="257" spans="1:6" ht="29.25">
      <c r="A257" s="106"/>
      <c r="B257" s="29" t="s">
        <v>272</v>
      </c>
      <c r="C257" s="15"/>
      <c r="D257" s="16" t="s">
        <v>592</v>
      </c>
    </row>
    <row r="258" spans="1:6">
      <c r="A258" s="106"/>
      <c r="B258" s="29" t="s">
        <v>271</v>
      </c>
      <c r="C258" s="15"/>
      <c r="D258" s="16" t="s">
        <v>593</v>
      </c>
    </row>
    <row r="259" spans="1:6" ht="29.25">
      <c r="A259" s="106"/>
      <c r="B259" s="29" t="s">
        <v>275</v>
      </c>
      <c r="C259" s="15"/>
      <c r="D259" s="16" t="s">
        <v>594</v>
      </c>
    </row>
    <row r="260" spans="1:6">
      <c r="A260" s="106"/>
      <c r="B260" s="29" t="s">
        <v>267</v>
      </c>
      <c r="C260" s="15"/>
      <c r="D260" s="16" t="s">
        <v>595</v>
      </c>
      <c r="F260" s="78">
        <v>0.28055555555555556</v>
      </c>
    </row>
    <row r="261" spans="1:6">
      <c r="A261" s="106"/>
      <c r="B261" s="29" t="s">
        <v>274</v>
      </c>
      <c r="C261" s="15"/>
      <c r="D261" s="16" t="s">
        <v>596</v>
      </c>
      <c r="F261" s="78">
        <v>0.15972222222222221</v>
      </c>
    </row>
    <row r="262" spans="1:6">
      <c r="A262" s="106"/>
      <c r="B262" s="29" t="s">
        <v>282</v>
      </c>
      <c r="C262" s="15"/>
      <c r="D262" s="16" t="s">
        <v>597</v>
      </c>
    </row>
    <row r="263" spans="1:6">
      <c r="A263" s="106"/>
      <c r="B263" s="29" t="s">
        <v>287</v>
      </c>
      <c r="C263" s="15"/>
      <c r="D263" s="16" t="s">
        <v>598</v>
      </c>
    </row>
    <row r="264" spans="1:6">
      <c r="A264" s="106"/>
      <c r="B264" s="29" t="s">
        <v>265</v>
      </c>
      <c r="C264" s="15"/>
      <c r="D264" s="16" t="s">
        <v>599</v>
      </c>
    </row>
    <row r="265" spans="1:6">
      <c r="A265" s="106"/>
      <c r="B265" s="29" t="s">
        <v>293</v>
      </c>
      <c r="C265" s="15"/>
      <c r="D265" s="16" t="s">
        <v>600</v>
      </c>
    </row>
    <row r="266" spans="1:6">
      <c r="A266" s="106"/>
      <c r="B266" s="29" t="s">
        <v>292</v>
      </c>
      <c r="C266" s="15"/>
      <c r="D266" s="16" t="s">
        <v>601</v>
      </c>
    </row>
    <row r="267" spans="1:6" ht="29.25">
      <c r="A267" s="106"/>
      <c r="B267" s="29" t="s">
        <v>291</v>
      </c>
      <c r="C267" s="15"/>
      <c r="D267" s="16" t="s">
        <v>602</v>
      </c>
    </row>
    <row r="268" spans="1:6">
      <c r="A268" s="106"/>
      <c r="B268" s="29" t="s">
        <v>290</v>
      </c>
      <c r="C268" s="15"/>
      <c r="D268" s="16" t="s">
        <v>603</v>
      </c>
    </row>
    <row r="269" spans="1:6" ht="29.25">
      <c r="A269" s="106"/>
      <c r="B269" s="29" t="s">
        <v>289</v>
      </c>
      <c r="C269" s="15"/>
      <c r="D269" s="16" t="s">
        <v>604</v>
      </c>
    </row>
    <row r="270" spans="1:6" ht="29.25">
      <c r="A270" s="106"/>
      <c r="B270" s="29" t="s">
        <v>286</v>
      </c>
      <c r="C270" s="15"/>
      <c r="D270" s="16" t="s">
        <v>605</v>
      </c>
    </row>
    <row r="271" spans="1:6">
      <c r="A271" s="106"/>
      <c r="B271" s="29" t="s">
        <v>283</v>
      </c>
      <c r="C271" s="15"/>
      <c r="D271" s="16" t="s">
        <v>606</v>
      </c>
    </row>
    <row r="272" spans="1:6">
      <c r="A272" s="106"/>
      <c r="B272" s="29" t="s">
        <v>276</v>
      </c>
      <c r="C272" s="15"/>
      <c r="D272" s="16" t="s">
        <v>607</v>
      </c>
    </row>
    <row r="273" spans="1:6">
      <c r="A273" s="106"/>
      <c r="B273" s="29" t="s">
        <v>273</v>
      </c>
      <c r="C273" s="15"/>
      <c r="D273" s="16" t="s">
        <v>608</v>
      </c>
    </row>
    <row r="274" spans="1:6" ht="29.25">
      <c r="A274" s="106"/>
      <c r="B274" s="29" t="s">
        <v>288</v>
      </c>
      <c r="C274" s="15"/>
      <c r="D274" s="16" t="s">
        <v>609</v>
      </c>
    </row>
    <row r="275" spans="1:6">
      <c r="A275" s="106"/>
      <c r="B275" s="29" t="s">
        <v>284</v>
      </c>
      <c r="C275" s="15"/>
      <c r="D275" s="16" t="s">
        <v>610</v>
      </c>
    </row>
    <row r="276" spans="1:6">
      <c r="A276" s="106"/>
      <c r="B276" s="29" t="s">
        <v>281</v>
      </c>
      <c r="C276" s="15"/>
      <c r="D276" s="16" t="s">
        <v>611</v>
      </c>
    </row>
    <row r="277" spans="1:6">
      <c r="A277" s="106"/>
      <c r="B277" s="29" t="s">
        <v>278</v>
      </c>
      <c r="C277" s="15"/>
      <c r="D277" s="16" t="s">
        <v>612</v>
      </c>
    </row>
    <row r="278" spans="1:6">
      <c r="A278" s="106"/>
      <c r="B278" s="29" t="s">
        <v>255</v>
      </c>
      <c r="C278" s="15"/>
      <c r="D278" s="16" t="s">
        <v>613</v>
      </c>
      <c r="F278" s="78">
        <v>6.9444444444444448E-2</v>
      </c>
    </row>
    <row r="279" spans="1:6">
      <c r="A279" s="106"/>
      <c r="B279" s="29" t="s">
        <v>256</v>
      </c>
      <c r="C279" s="15"/>
      <c r="D279" s="16" t="s">
        <v>614</v>
      </c>
      <c r="F279" s="78">
        <v>8.7499999999999994E-2</v>
      </c>
    </row>
    <row r="280" spans="1:6">
      <c r="A280" s="106"/>
      <c r="B280" s="29" t="s">
        <v>261</v>
      </c>
      <c r="C280" s="15"/>
      <c r="D280" s="16" t="s">
        <v>615</v>
      </c>
    </row>
    <row r="281" spans="1:6">
      <c r="A281" s="106"/>
      <c r="B281" s="29" t="s">
        <v>259</v>
      </c>
      <c r="C281" s="15"/>
      <c r="D281" s="16" t="s">
        <v>616</v>
      </c>
      <c r="F281" s="78">
        <v>2.7777777777777776E-2</v>
      </c>
    </row>
    <row r="282" spans="1:6">
      <c r="A282" s="106"/>
      <c r="B282" s="29" t="s">
        <v>260</v>
      </c>
      <c r="C282" s="31"/>
      <c r="D282" s="16" t="s">
        <v>617</v>
      </c>
    </row>
    <row r="283" spans="1:6">
      <c r="A283" s="106"/>
      <c r="B283" s="29" t="s">
        <v>258</v>
      </c>
      <c r="C283" s="15"/>
      <c r="D283" s="16" t="s">
        <v>618</v>
      </c>
    </row>
    <row r="284" spans="1:6">
      <c r="A284" s="106"/>
      <c r="B284" s="29" t="s">
        <v>257</v>
      </c>
      <c r="C284" s="15"/>
      <c r="D284" s="16" t="s">
        <v>619</v>
      </c>
    </row>
    <row r="285" spans="1:6">
      <c r="A285" s="106"/>
      <c r="B285" s="29" t="s">
        <v>262</v>
      </c>
      <c r="C285" s="15"/>
      <c r="D285" s="16" t="s">
        <v>620</v>
      </c>
    </row>
    <row r="286" spans="1:6">
      <c r="A286" s="106" t="s">
        <v>27</v>
      </c>
      <c r="B286" s="21" t="s">
        <v>298</v>
      </c>
      <c r="D286" s="19" t="s">
        <v>628</v>
      </c>
      <c r="F286" s="78">
        <v>4.9261083743842367E-2</v>
      </c>
    </row>
    <row r="287" spans="1:6">
      <c r="A287" s="106"/>
      <c r="B287" s="19" t="s">
        <v>297</v>
      </c>
      <c r="D287" s="19" t="s">
        <v>629</v>
      </c>
    </row>
    <row r="288" spans="1:6" ht="15.75">
      <c r="A288" s="106"/>
      <c r="B288" s="19" t="s">
        <v>299</v>
      </c>
      <c r="C288"/>
      <c r="D288" s="19" t="s">
        <v>630</v>
      </c>
      <c r="F288" s="78">
        <v>0.12315270935960591</v>
      </c>
    </row>
    <row r="289" spans="1:7">
      <c r="A289" s="106"/>
      <c r="B289" s="29" t="s">
        <v>624</v>
      </c>
      <c r="D289" s="19" t="s">
        <v>631</v>
      </c>
    </row>
    <row r="290" spans="1:7">
      <c r="A290" s="106"/>
      <c r="B290" s="21" t="s">
        <v>625</v>
      </c>
      <c r="D290" s="19" t="s">
        <v>632</v>
      </c>
      <c r="F290" s="78">
        <v>0.32019704433497537</v>
      </c>
    </row>
    <row r="291" spans="1:7">
      <c r="A291" s="106"/>
      <c r="B291" s="21" t="s">
        <v>626</v>
      </c>
      <c r="C291" s="25"/>
      <c r="D291" s="19" t="s">
        <v>633</v>
      </c>
      <c r="F291" s="78">
        <v>0.5073891625615764</v>
      </c>
    </row>
    <row r="292" spans="1:7">
      <c r="A292" s="106"/>
      <c r="B292" s="21" t="s">
        <v>627</v>
      </c>
      <c r="D292" s="19" t="s">
        <v>634</v>
      </c>
      <c r="F292" s="3"/>
    </row>
    <row r="293" spans="1:7">
      <c r="A293" s="106"/>
      <c r="B293" s="12" t="s">
        <v>302</v>
      </c>
      <c r="D293" s="19"/>
      <c r="F293" s="8">
        <v>0</v>
      </c>
    </row>
    <row r="294" spans="1:7">
      <c r="A294" s="106"/>
      <c r="B294" s="12" t="s">
        <v>301</v>
      </c>
      <c r="D294" s="19"/>
      <c r="F294" s="8">
        <v>0</v>
      </c>
    </row>
    <row r="295" spans="1:7">
      <c r="A295" s="106"/>
      <c r="B295" s="12" t="s">
        <v>300</v>
      </c>
      <c r="D295" s="19"/>
      <c r="F295" s="8">
        <v>0.32019704433497537</v>
      </c>
    </row>
    <row r="296" spans="1:7">
      <c r="A296" s="106"/>
      <c r="B296" s="12" t="s">
        <v>296</v>
      </c>
      <c r="D296" s="19"/>
      <c r="F296" s="78">
        <v>0.5073891625615764</v>
      </c>
    </row>
    <row r="297" spans="1:7">
      <c r="A297" s="106" t="s">
        <v>635</v>
      </c>
      <c r="B297" s="21" t="s">
        <v>305</v>
      </c>
      <c r="C297" s="20"/>
      <c r="D297" s="21" t="s">
        <v>636</v>
      </c>
      <c r="F297" s="78">
        <v>0.89595375722543358</v>
      </c>
      <c r="G297" s="73"/>
    </row>
    <row r="298" spans="1:7">
      <c r="A298" s="106"/>
      <c r="B298" s="21" t="s">
        <v>307</v>
      </c>
      <c r="C298" s="20"/>
      <c r="D298" s="21" t="s">
        <v>637</v>
      </c>
      <c r="G298" s="73"/>
    </row>
    <row r="299" spans="1:7">
      <c r="A299" s="106"/>
      <c r="B299" s="21" t="s">
        <v>309</v>
      </c>
      <c r="C299" s="20"/>
      <c r="D299" s="21" t="s">
        <v>638</v>
      </c>
      <c r="F299" s="78">
        <v>0.10404624277456648</v>
      </c>
      <c r="G299" s="73"/>
    </row>
    <row r="300" spans="1:7">
      <c r="A300" s="106"/>
      <c r="B300" s="21" t="s">
        <v>303</v>
      </c>
      <c r="C300" s="20"/>
      <c r="D300" s="21" t="s">
        <v>639</v>
      </c>
      <c r="G300" s="73"/>
    </row>
    <row r="301" spans="1:7">
      <c r="A301" s="106"/>
      <c r="B301" s="21" t="s">
        <v>308</v>
      </c>
      <c r="C301" s="20"/>
      <c r="D301" s="21" t="s">
        <v>640</v>
      </c>
      <c r="G301" s="73"/>
    </row>
    <row r="302" spans="1:7">
      <c r="A302" s="106"/>
      <c r="B302" s="21" t="s">
        <v>304</v>
      </c>
      <c r="C302" s="20"/>
      <c r="D302" s="21" t="s">
        <v>641</v>
      </c>
      <c r="G302" s="73"/>
    </row>
    <row r="303" spans="1:7">
      <c r="A303" s="106"/>
      <c r="B303" s="21" t="s">
        <v>306</v>
      </c>
      <c r="C303" s="20"/>
      <c r="D303" s="21" t="s">
        <v>642</v>
      </c>
      <c r="G303" s="73"/>
    </row>
    <row r="304" spans="1:7">
      <c r="A304" s="26" t="s">
        <v>28</v>
      </c>
      <c r="B304" s="33" t="s">
        <v>310</v>
      </c>
      <c r="C304" s="34"/>
      <c r="D304" s="33" t="s">
        <v>643</v>
      </c>
      <c r="F304" s="78">
        <v>1</v>
      </c>
    </row>
    <row r="305" spans="1:7">
      <c r="A305" s="24" t="s">
        <v>29</v>
      </c>
      <c r="B305" s="19" t="s">
        <v>311</v>
      </c>
      <c r="C305" s="16"/>
      <c r="D305" s="16" t="s">
        <v>644</v>
      </c>
      <c r="E305" s="73"/>
      <c r="F305" s="78">
        <v>1</v>
      </c>
      <c r="G305" s="82" t="s">
        <v>925</v>
      </c>
    </row>
    <row r="306" spans="1:7">
      <c r="A306" s="106" t="s">
        <v>30</v>
      </c>
      <c r="B306" s="19" t="s">
        <v>33</v>
      </c>
      <c r="C306" s="16"/>
      <c r="D306" s="19" t="s">
        <v>645</v>
      </c>
      <c r="F306" s="78">
        <v>0.33333333333333331</v>
      </c>
      <c r="G306" s="82" t="s">
        <v>925</v>
      </c>
    </row>
    <row r="307" spans="1:7">
      <c r="A307" s="106"/>
      <c r="B307" s="19" t="s">
        <v>34</v>
      </c>
      <c r="C307" s="16"/>
      <c r="D307" s="19" t="s">
        <v>646</v>
      </c>
      <c r="F307" s="78">
        <v>0.33333333333333331</v>
      </c>
      <c r="G307" s="82" t="s">
        <v>925</v>
      </c>
    </row>
    <row r="308" spans="1:7">
      <c r="A308" s="106"/>
      <c r="B308" s="19" t="s">
        <v>35</v>
      </c>
      <c r="C308" s="16"/>
      <c r="D308" s="19" t="s">
        <v>647</v>
      </c>
      <c r="F308" s="78">
        <v>0.33333333333333331</v>
      </c>
      <c r="G308" s="82" t="s">
        <v>925</v>
      </c>
    </row>
    <row r="309" spans="1:7">
      <c r="A309" s="106" t="s">
        <v>31</v>
      </c>
      <c r="B309" s="19" t="s">
        <v>315</v>
      </c>
      <c r="C309" s="16"/>
      <c r="D309" s="19" t="s">
        <v>648</v>
      </c>
      <c r="G309" s="73"/>
    </row>
    <row r="310" spans="1:7">
      <c r="A310" s="106"/>
      <c r="B310" s="19" t="s">
        <v>314</v>
      </c>
      <c r="C310" s="16"/>
      <c r="D310" s="19" t="s">
        <v>649</v>
      </c>
      <c r="F310" s="78">
        <v>0.60192616372391661</v>
      </c>
      <c r="G310" s="73"/>
    </row>
    <row r="311" spans="1:7" ht="29.25">
      <c r="A311" s="106"/>
      <c r="B311" s="19" t="s">
        <v>313</v>
      </c>
      <c r="C311" s="16"/>
      <c r="D311" s="16" t="s">
        <v>650</v>
      </c>
      <c r="F311" s="78">
        <v>0.3820224719101124</v>
      </c>
      <c r="G311" s="73"/>
    </row>
    <row r="312" spans="1:7">
      <c r="A312" s="106"/>
      <c r="B312" s="19" t="s">
        <v>312</v>
      </c>
      <c r="C312" s="16"/>
      <c r="D312" s="16" t="s">
        <v>651</v>
      </c>
      <c r="F312" s="78">
        <v>1.605136436597111E-2</v>
      </c>
      <c r="G312" s="73"/>
    </row>
    <row r="313" spans="1:7">
      <c r="A313" s="26" t="s">
        <v>32</v>
      </c>
      <c r="B313" s="19" t="s">
        <v>1015</v>
      </c>
      <c r="F313" s="78">
        <v>1</v>
      </c>
      <c r="G313" s="73"/>
    </row>
    <row r="314" spans="1:7">
      <c r="A314" s="26" t="s">
        <v>1026</v>
      </c>
      <c r="B314" s="19" t="s">
        <v>654</v>
      </c>
      <c r="D314" s="3" t="s">
        <v>1026</v>
      </c>
      <c r="F314" s="78">
        <v>1</v>
      </c>
      <c r="G314" s="82" t="s">
        <v>925</v>
      </c>
    </row>
    <row r="315" spans="1:7" ht="15.75">
      <c r="A315" s="26" t="s">
        <v>933</v>
      </c>
      <c r="B315" s="19" t="s">
        <v>653</v>
      </c>
      <c r="C315"/>
      <c r="D315" s="3" t="s">
        <v>652</v>
      </c>
      <c r="F315" s="78">
        <v>1</v>
      </c>
      <c r="G315" s="82" t="s">
        <v>925</v>
      </c>
    </row>
    <row r="316" spans="1:7" ht="15.95" customHeight="1">
      <c r="C316" s="38"/>
    </row>
    <row r="317" spans="1:7" ht="15.95" customHeight="1">
      <c r="C317" s="39"/>
    </row>
    <row r="318" spans="1:7" ht="15.95" customHeight="1"/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006-C13E-4A43-9607-FB41CC100280}">
  <dimension ref="A1:J315"/>
  <sheetViews>
    <sheetView topLeftCell="A185" workbookViewId="0"/>
    <sheetView topLeftCell="A27"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9.125" style="3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655</v>
      </c>
      <c r="E1" s="22" t="s">
        <v>1017</v>
      </c>
      <c r="F1" s="23" t="s">
        <v>1018</v>
      </c>
      <c r="G1" s="1" t="s">
        <v>927</v>
      </c>
      <c r="H1" s="1"/>
      <c r="I1" s="1"/>
    </row>
    <row r="2" spans="1:10" ht="29.25">
      <c r="A2" s="106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925</v>
      </c>
      <c r="J2" s="14"/>
    </row>
    <row r="3" spans="1:10">
      <c r="A3" s="106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925</v>
      </c>
      <c r="H3" s="17"/>
      <c r="J3" s="14"/>
    </row>
    <row r="4" spans="1:10">
      <c r="A4" s="106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925</v>
      </c>
      <c r="J4" s="14"/>
    </row>
    <row r="5" spans="1:10">
      <c r="A5" s="106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925</v>
      </c>
      <c r="J5" s="14"/>
    </row>
    <row r="6" spans="1:10">
      <c r="A6" s="106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925</v>
      </c>
      <c r="J6" s="14"/>
    </row>
    <row r="7" spans="1:10">
      <c r="A7" s="106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925</v>
      </c>
      <c r="J7" s="14"/>
    </row>
    <row r="8" spans="1:10">
      <c r="A8" s="106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925</v>
      </c>
      <c r="J8" s="14"/>
    </row>
    <row r="9" spans="1:10">
      <c r="A9" s="106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925</v>
      </c>
      <c r="J9" s="14"/>
    </row>
    <row r="10" spans="1:10">
      <c r="A10" s="106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925</v>
      </c>
      <c r="J10" s="14"/>
    </row>
    <row r="11" spans="1:10">
      <c r="A11" s="106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925</v>
      </c>
      <c r="J11" s="14"/>
    </row>
    <row r="12" spans="1:10">
      <c r="A12" s="106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925</v>
      </c>
      <c r="J12" s="14"/>
    </row>
    <row r="13" spans="1:10">
      <c r="A13" s="106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925</v>
      </c>
      <c r="J13" s="14"/>
    </row>
    <row r="14" spans="1:10">
      <c r="A14" s="106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925</v>
      </c>
      <c r="J14" s="14"/>
    </row>
    <row r="15" spans="1:10">
      <c r="A15" s="106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925</v>
      </c>
      <c r="J15" s="14"/>
    </row>
    <row r="16" spans="1:10">
      <c r="A16" s="106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925</v>
      </c>
      <c r="J16" s="14"/>
    </row>
    <row r="17" spans="1:10">
      <c r="A17" s="106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925</v>
      </c>
      <c r="J17" s="14"/>
    </row>
    <row r="18" spans="1:10">
      <c r="A18" s="106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925</v>
      </c>
      <c r="J18" s="14"/>
    </row>
    <row r="19" spans="1:10">
      <c r="A19" s="106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925</v>
      </c>
      <c r="J19" s="14"/>
    </row>
    <row r="20" spans="1:10">
      <c r="A20" s="106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925</v>
      </c>
      <c r="J20" s="14"/>
    </row>
    <row r="21" spans="1:10">
      <c r="A21" s="106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925</v>
      </c>
      <c r="J21" s="14"/>
    </row>
    <row r="22" spans="1:10">
      <c r="A22" s="106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925</v>
      </c>
      <c r="J22" s="14"/>
    </row>
    <row r="23" spans="1:10">
      <c r="A23" s="106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925</v>
      </c>
      <c r="J23" s="14"/>
    </row>
    <row r="24" spans="1:10">
      <c r="A24" s="106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925</v>
      </c>
      <c r="J24" s="14"/>
    </row>
    <row r="25" spans="1:10">
      <c r="A25" s="106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925</v>
      </c>
      <c r="J25" s="14"/>
    </row>
    <row r="26" spans="1:10">
      <c r="A26" s="106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925</v>
      </c>
      <c r="J26" s="14"/>
    </row>
    <row r="27" spans="1:10">
      <c r="A27" s="106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925</v>
      </c>
      <c r="J27" s="14"/>
    </row>
    <row r="28" spans="1:10">
      <c r="A28" s="106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925</v>
      </c>
      <c r="J28" s="14"/>
    </row>
    <row r="29" spans="1:10">
      <c r="A29" s="106"/>
      <c r="B29" s="29" t="s">
        <v>63</v>
      </c>
      <c r="C29" s="15"/>
      <c r="D29" s="16" t="s">
        <v>342</v>
      </c>
      <c r="F29" s="8">
        <f t="shared" si="3"/>
        <v>0.2</v>
      </c>
      <c r="G29" s="73" t="s">
        <v>925</v>
      </c>
      <c r="J29" s="14"/>
    </row>
    <row r="30" spans="1:10">
      <c r="A30" s="106"/>
      <c r="B30" s="29" t="s">
        <v>65</v>
      </c>
      <c r="C30" s="15"/>
      <c r="D30" s="16" t="s">
        <v>343</v>
      </c>
      <c r="F30" s="8">
        <f t="shared" si="3"/>
        <v>0.2</v>
      </c>
      <c r="G30" s="73" t="s">
        <v>925</v>
      </c>
      <c r="J30" s="14"/>
    </row>
    <row r="31" spans="1:10">
      <c r="A31" s="106"/>
      <c r="B31" s="29" t="s">
        <v>62</v>
      </c>
      <c r="C31" s="15"/>
      <c r="D31" s="16" t="s">
        <v>344</v>
      </c>
      <c r="F31" s="8">
        <f t="shared" si="3"/>
        <v>0.2</v>
      </c>
      <c r="G31" s="73" t="s">
        <v>925</v>
      </c>
      <c r="J31" s="14"/>
    </row>
    <row r="32" spans="1:10">
      <c r="A32" s="106" t="s">
        <v>7</v>
      </c>
      <c r="B32" s="29" t="s">
        <v>101</v>
      </c>
      <c r="C32" s="15"/>
      <c r="D32" s="16" t="s">
        <v>345</v>
      </c>
      <c r="F32" s="8">
        <f>E32/SUM($E$32:$E$69)</f>
        <v>0</v>
      </c>
      <c r="G32" s="73"/>
      <c r="J32" s="14"/>
    </row>
    <row r="33" spans="1:10">
      <c r="A33" s="106"/>
      <c r="B33" s="29" t="s">
        <v>102</v>
      </c>
      <c r="C33" s="15"/>
      <c r="D33" s="16" t="s">
        <v>346</v>
      </c>
      <c r="F33" s="8">
        <f t="shared" ref="F33:F69" si="4">E33/SUM($E$32:$E$69)</f>
        <v>0</v>
      </c>
      <c r="G33" s="73"/>
      <c r="J33" s="14"/>
    </row>
    <row r="34" spans="1:10">
      <c r="A34" s="106"/>
      <c r="B34" s="29" t="s">
        <v>103</v>
      </c>
      <c r="C34" s="15"/>
      <c r="D34" s="16" t="s">
        <v>347</v>
      </c>
      <c r="F34" s="8">
        <f t="shared" si="4"/>
        <v>0</v>
      </c>
      <c r="G34" s="73"/>
      <c r="J34" s="14"/>
    </row>
    <row r="35" spans="1:10">
      <c r="A35" s="106"/>
      <c r="B35" s="29" t="s">
        <v>100</v>
      </c>
      <c r="C35" s="15"/>
      <c r="D35" s="16" t="s">
        <v>348</v>
      </c>
      <c r="F35" s="8">
        <f t="shared" si="4"/>
        <v>0</v>
      </c>
      <c r="G35" s="73"/>
      <c r="J35" s="14"/>
    </row>
    <row r="36" spans="1:10">
      <c r="A36" s="106"/>
      <c r="B36" s="29" t="s">
        <v>97</v>
      </c>
      <c r="C36" s="31"/>
      <c r="D36" s="16" t="s">
        <v>349</v>
      </c>
      <c r="F36" s="8">
        <f t="shared" si="4"/>
        <v>0</v>
      </c>
      <c r="G36" s="73"/>
      <c r="J36" s="14"/>
    </row>
    <row r="37" spans="1:10">
      <c r="A37" s="106"/>
      <c r="B37" s="29" t="s">
        <v>98</v>
      </c>
      <c r="C37" s="15"/>
      <c r="D37" s="16" t="s">
        <v>350</v>
      </c>
      <c r="F37" s="8">
        <f t="shared" si="4"/>
        <v>0</v>
      </c>
      <c r="G37" s="73"/>
      <c r="J37" s="14"/>
    </row>
    <row r="38" spans="1:10">
      <c r="A38" s="106"/>
      <c r="B38" s="29" t="s">
        <v>95</v>
      </c>
      <c r="C38" s="15"/>
      <c r="D38" s="16" t="s">
        <v>351</v>
      </c>
      <c r="F38" s="8">
        <f t="shared" si="4"/>
        <v>0</v>
      </c>
      <c r="G38" s="73"/>
      <c r="J38" s="14"/>
    </row>
    <row r="39" spans="1:10">
      <c r="A39" s="106"/>
      <c r="B39" s="29" t="s">
        <v>96</v>
      </c>
      <c r="C39" s="15"/>
      <c r="D39" s="16" t="s">
        <v>352</v>
      </c>
      <c r="F39" s="8">
        <f t="shared" si="4"/>
        <v>0</v>
      </c>
      <c r="G39" s="73"/>
      <c r="J39" s="14"/>
    </row>
    <row r="40" spans="1:10">
      <c r="A40" s="106"/>
      <c r="B40" s="29" t="s">
        <v>99</v>
      </c>
      <c r="C40" s="15"/>
      <c r="D40" s="16" t="s">
        <v>353</v>
      </c>
      <c r="F40" s="8">
        <f t="shared" si="4"/>
        <v>0</v>
      </c>
      <c r="G40" s="73"/>
      <c r="J40" s="14"/>
    </row>
    <row r="41" spans="1:10">
      <c r="A41" s="106"/>
      <c r="B41" s="29" t="s">
        <v>93</v>
      </c>
      <c r="C41" s="15"/>
      <c r="D41" s="16" t="s">
        <v>354</v>
      </c>
      <c r="F41" s="8">
        <f t="shared" si="4"/>
        <v>0</v>
      </c>
      <c r="G41" s="73"/>
      <c r="J41" s="14"/>
    </row>
    <row r="42" spans="1:10">
      <c r="A42" s="106"/>
      <c r="B42" s="29" t="s">
        <v>94</v>
      </c>
      <c r="C42" s="15"/>
      <c r="D42" s="16" t="s">
        <v>355</v>
      </c>
      <c r="F42" s="8">
        <f t="shared" si="4"/>
        <v>0</v>
      </c>
      <c r="G42" s="73"/>
      <c r="J42" s="14"/>
    </row>
    <row r="43" spans="1:10">
      <c r="A43" s="106"/>
      <c r="B43" s="29" t="s">
        <v>92</v>
      </c>
      <c r="C43" s="15"/>
      <c r="D43" s="16" t="s">
        <v>356</v>
      </c>
      <c r="F43" s="8">
        <f t="shared" si="4"/>
        <v>0</v>
      </c>
      <c r="G43" s="73"/>
      <c r="J43" s="14"/>
    </row>
    <row r="44" spans="1:10">
      <c r="A44" s="106"/>
      <c r="B44" s="29" t="s">
        <v>91</v>
      </c>
      <c r="C44" s="15"/>
      <c r="D44" s="16" t="s">
        <v>357</v>
      </c>
      <c r="F44" s="8">
        <f t="shared" si="4"/>
        <v>0</v>
      </c>
      <c r="G44" s="73"/>
      <c r="J44" s="14"/>
    </row>
    <row r="45" spans="1:10">
      <c r="A45" s="106"/>
      <c r="B45" s="29" t="s">
        <v>90</v>
      </c>
      <c r="C45" s="15"/>
      <c r="D45" s="16" t="s">
        <v>358</v>
      </c>
      <c r="F45" s="8">
        <f t="shared" si="4"/>
        <v>0</v>
      </c>
      <c r="G45" s="73"/>
      <c r="J45" s="14"/>
    </row>
    <row r="46" spans="1:10" ht="43.5">
      <c r="A46" s="106"/>
      <c r="B46" s="29" t="s">
        <v>89</v>
      </c>
      <c r="C46" s="15" t="s">
        <v>1024</v>
      </c>
      <c r="D46" s="16" t="s">
        <v>359</v>
      </c>
      <c r="E46" s="3">
        <v>420</v>
      </c>
      <c r="F46" s="8">
        <f t="shared" si="4"/>
        <v>0.61224489795918369</v>
      </c>
      <c r="G46" s="73"/>
      <c r="J46" s="14"/>
    </row>
    <row r="47" spans="1:10">
      <c r="A47" s="106"/>
      <c r="B47" s="29" t="s">
        <v>88</v>
      </c>
      <c r="C47" s="15"/>
      <c r="D47" s="16" t="s">
        <v>360</v>
      </c>
      <c r="F47" s="8">
        <f t="shared" si="4"/>
        <v>0</v>
      </c>
      <c r="G47" s="73"/>
      <c r="J47" s="14"/>
    </row>
    <row r="48" spans="1:10">
      <c r="A48" s="106"/>
      <c r="B48" s="29" t="s">
        <v>87</v>
      </c>
      <c r="C48" s="15"/>
      <c r="D48" s="16" t="s">
        <v>361</v>
      </c>
      <c r="F48" s="8">
        <f t="shared" si="4"/>
        <v>0</v>
      </c>
      <c r="G48" s="73"/>
      <c r="J48" s="14"/>
    </row>
    <row r="49" spans="1:10">
      <c r="A49" s="106"/>
      <c r="B49" s="29" t="s">
        <v>86</v>
      </c>
      <c r="C49" s="15"/>
      <c r="D49" s="16" t="s">
        <v>362</v>
      </c>
      <c r="F49" s="8">
        <f t="shared" si="4"/>
        <v>0</v>
      </c>
      <c r="G49" s="73"/>
      <c r="J49" s="14"/>
    </row>
    <row r="50" spans="1:10">
      <c r="A50" s="106"/>
      <c r="B50" s="29" t="s">
        <v>85</v>
      </c>
      <c r="C50" s="15"/>
      <c r="D50" s="16" t="s">
        <v>363</v>
      </c>
      <c r="F50" s="8">
        <f t="shared" si="4"/>
        <v>0</v>
      </c>
      <c r="G50" s="73"/>
      <c r="J50" s="14"/>
    </row>
    <row r="51" spans="1:10">
      <c r="A51" s="106"/>
      <c r="B51" s="29" t="s">
        <v>84</v>
      </c>
      <c r="C51" s="15"/>
      <c r="D51" s="16" t="s">
        <v>364</v>
      </c>
      <c r="F51" s="8">
        <f t="shared" si="4"/>
        <v>0</v>
      </c>
      <c r="G51" s="73"/>
      <c r="J51" s="14"/>
    </row>
    <row r="52" spans="1:10">
      <c r="A52" s="106"/>
      <c r="B52" s="29" t="s">
        <v>83</v>
      </c>
      <c r="C52" s="15"/>
      <c r="D52" s="16" t="s">
        <v>365</v>
      </c>
      <c r="F52" s="8">
        <f t="shared" si="4"/>
        <v>0</v>
      </c>
      <c r="G52" s="73"/>
      <c r="J52" s="14"/>
    </row>
    <row r="53" spans="1:10">
      <c r="A53" s="106"/>
      <c r="B53" s="29" t="s">
        <v>82</v>
      </c>
      <c r="C53" s="15"/>
      <c r="D53" s="16" t="s">
        <v>366</v>
      </c>
      <c r="F53" s="8">
        <f t="shared" si="4"/>
        <v>0</v>
      </c>
      <c r="G53" s="73"/>
      <c r="J53" s="14"/>
    </row>
    <row r="54" spans="1:10">
      <c r="A54" s="106"/>
      <c r="B54" s="29" t="s">
        <v>81</v>
      </c>
      <c r="C54" s="15"/>
      <c r="D54" s="16" t="s">
        <v>367</v>
      </c>
      <c r="F54" s="8">
        <f t="shared" si="4"/>
        <v>0</v>
      </c>
      <c r="G54" s="73"/>
      <c r="J54" s="14"/>
    </row>
    <row r="55" spans="1:10">
      <c r="A55" s="106"/>
      <c r="B55" s="29" t="s">
        <v>78</v>
      </c>
      <c r="C55" s="32"/>
      <c r="D55" s="16" t="s">
        <v>368</v>
      </c>
      <c r="F55" s="8">
        <f t="shared" si="4"/>
        <v>0</v>
      </c>
      <c r="G55" s="73"/>
      <c r="J55" s="14"/>
    </row>
    <row r="56" spans="1:10">
      <c r="A56" s="106"/>
      <c r="B56" s="29" t="s">
        <v>77</v>
      </c>
      <c r="C56" s="31"/>
      <c r="D56" s="16" t="s">
        <v>369</v>
      </c>
      <c r="F56" s="8">
        <f t="shared" si="4"/>
        <v>0</v>
      </c>
      <c r="G56" s="73"/>
      <c r="J56" s="14"/>
    </row>
    <row r="57" spans="1:10">
      <c r="A57" s="106"/>
      <c r="B57" s="29" t="s">
        <v>76</v>
      </c>
      <c r="C57" s="15"/>
      <c r="D57" s="16" t="s">
        <v>370</v>
      </c>
      <c r="F57" s="8">
        <f t="shared" si="4"/>
        <v>0</v>
      </c>
      <c r="G57" s="73"/>
      <c r="J57" s="14"/>
    </row>
    <row r="58" spans="1:10">
      <c r="A58" s="106"/>
      <c r="B58" s="29" t="s">
        <v>79</v>
      </c>
      <c r="C58" s="15"/>
      <c r="D58" s="16" t="s">
        <v>371</v>
      </c>
      <c r="F58" s="8">
        <f t="shared" si="4"/>
        <v>0</v>
      </c>
      <c r="G58" s="73"/>
      <c r="J58" s="14"/>
    </row>
    <row r="59" spans="1:10" ht="29.25">
      <c r="A59" s="106"/>
      <c r="B59" s="29" t="s">
        <v>80</v>
      </c>
      <c r="C59" s="15" t="s">
        <v>1025</v>
      </c>
      <c r="D59" s="16" t="s">
        <v>372</v>
      </c>
      <c r="E59" s="3">
        <v>170</v>
      </c>
      <c r="F59" s="8">
        <f t="shared" si="4"/>
        <v>0.24781341107871721</v>
      </c>
      <c r="G59" s="73"/>
      <c r="J59" s="14"/>
    </row>
    <row r="60" spans="1:10">
      <c r="A60" s="106"/>
      <c r="B60" s="29" t="s">
        <v>75</v>
      </c>
      <c r="C60" s="15"/>
      <c r="D60" s="16" t="s">
        <v>373</v>
      </c>
      <c r="F60" s="8">
        <f t="shared" si="4"/>
        <v>0</v>
      </c>
      <c r="G60" s="73"/>
      <c r="J60" s="14"/>
    </row>
    <row r="61" spans="1:10">
      <c r="A61" s="106"/>
      <c r="B61" s="29" t="s">
        <v>73</v>
      </c>
      <c r="C61" s="15"/>
      <c r="D61" s="16" t="s">
        <v>374</v>
      </c>
      <c r="F61" s="8">
        <f t="shared" si="4"/>
        <v>0</v>
      </c>
      <c r="G61" s="73"/>
      <c r="J61" s="14"/>
    </row>
    <row r="62" spans="1:10">
      <c r="A62" s="106"/>
      <c r="B62" s="29" t="s">
        <v>74</v>
      </c>
      <c r="C62" s="32"/>
      <c r="D62" s="16" t="s">
        <v>375</v>
      </c>
      <c r="F62" s="8">
        <f t="shared" si="4"/>
        <v>0</v>
      </c>
      <c r="G62" s="73"/>
      <c r="J62" s="14"/>
    </row>
    <row r="63" spans="1:10">
      <c r="A63" s="106"/>
      <c r="B63" s="29" t="s">
        <v>72</v>
      </c>
      <c r="C63" s="15"/>
      <c r="D63" s="16" t="s">
        <v>376</v>
      </c>
      <c r="F63" s="8">
        <f t="shared" si="4"/>
        <v>0</v>
      </c>
      <c r="G63" s="73"/>
      <c r="J63" s="14"/>
    </row>
    <row r="64" spans="1:10">
      <c r="A64" s="106"/>
      <c r="B64" s="29" t="s">
        <v>69</v>
      </c>
      <c r="C64" s="15"/>
      <c r="D64" s="16" t="s">
        <v>377</v>
      </c>
      <c r="F64" s="8">
        <f t="shared" si="4"/>
        <v>0</v>
      </c>
      <c r="G64" s="73"/>
      <c r="J64" s="14"/>
    </row>
    <row r="65" spans="1:10">
      <c r="A65" s="106"/>
      <c r="B65" s="29" t="s">
        <v>70</v>
      </c>
      <c r="C65" s="15"/>
      <c r="D65" s="16" t="s">
        <v>378</v>
      </c>
      <c r="F65" s="8">
        <f t="shared" si="4"/>
        <v>0</v>
      </c>
      <c r="G65" s="73"/>
      <c r="J65" s="14"/>
    </row>
    <row r="66" spans="1:10">
      <c r="A66" s="106"/>
      <c r="B66" s="29" t="s">
        <v>68</v>
      </c>
      <c r="C66" s="32"/>
      <c r="D66" s="16" t="s">
        <v>379</v>
      </c>
      <c r="F66" s="8">
        <f t="shared" si="4"/>
        <v>0</v>
      </c>
      <c r="G66" s="73"/>
      <c r="J66" s="14"/>
    </row>
    <row r="67" spans="1:10">
      <c r="A67" s="106"/>
      <c r="B67" s="29" t="s">
        <v>71</v>
      </c>
      <c r="C67" s="15" t="s">
        <v>932</v>
      </c>
      <c r="D67" s="16" t="s">
        <v>380</v>
      </c>
      <c r="E67" s="3">
        <v>96</v>
      </c>
      <c r="F67" s="8">
        <f t="shared" si="4"/>
        <v>0.13994169096209913</v>
      </c>
      <c r="G67" s="73"/>
      <c r="J67" s="14"/>
    </row>
    <row r="68" spans="1:10">
      <c r="A68" s="106"/>
      <c r="B68" s="29" t="s">
        <v>67</v>
      </c>
      <c r="C68" s="32"/>
      <c r="D68" s="16" t="s">
        <v>381</v>
      </c>
      <c r="F68" s="8">
        <f t="shared" si="4"/>
        <v>0</v>
      </c>
      <c r="G68" s="73"/>
      <c r="J68" s="14"/>
    </row>
    <row r="69" spans="1:10">
      <c r="A69" s="106"/>
      <c r="B69" s="29" t="s">
        <v>66</v>
      </c>
      <c r="C69" s="15"/>
      <c r="D69" s="16" t="s">
        <v>382</v>
      </c>
      <c r="F69" s="8">
        <f t="shared" si="4"/>
        <v>0</v>
      </c>
      <c r="G69" s="73"/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925</v>
      </c>
      <c r="J70" s="14"/>
    </row>
    <row r="71" spans="1:10">
      <c r="A71" s="106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925</v>
      </c>
      <c r="J71" s="14"/>
    </row>
    <row r="72" spans="1:10">
      <c r="A72" s="106"/>
      <c r="B72" s="29" t="s">
        <v>105</v>
      </c>
      <c r="C72" s="15"/>
      <c r="D72" s="16" t="s">
        <v>386</v>
      </c>
      <c r="F72" s="8">
        <v>0.33329999999999999</v>
      </c>
      <c r="G72" s="73" t="s">
        <v>925</v>
      </c>
      <c r="J72" s="14"/>
    </row>
    <row r="73" spans="1:10">
      <c r="A73" s="106"/>
      <c r="B73" s="29" t="s">
        <v>104</v>
      </c>
      <c r="C73" s="15"/>
      <c r="D73" s="16" t="s">
        <v>387</v>
      </c>
      <c r="F73" s="8">
        <v>0.33329999999999999</v>
      </c>
      <c r="G73" s="73" t="s">
        <v>925</v>
      </c>
      <c r="J73" s="14"/>
    </row>
    <row r="74" spans="1:10">
      <c r="A74" s="106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925</v>
      </c>
      <c r="J74" s="14"/>
    </row>
    <row r="75" spans="1:10">
      <c r="A75" s="106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925</v>
      </c>
      <c r="J75" s="14"/>
    </row>
    <row r="76" spans="1:10">
      <c r="A76" s="106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925</v>
      </c>
    </row>
    <row r="77" spans="1:10">
      <c r="A77" s="106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925</v>
      </c>
    </row>
    <row r="78" spans="1:10">
      <c r="A78" s="106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925</v>
      </c>
    </row>
    <row r="79" spans="1:10">
      <c r="A79" s="106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925</v>
      </c>
    </row>
    <row r="80" spans="1:10">
      <c r="A80" s="106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925</v>
      </c>
    </row>
    <row r="81" spans="1:7">
      <c r="A81" s="106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925</v>
      </c>
    </row>
    <row r="82" spans="1:7">
      <c r="A82" s="106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925</v>
      </c>
    </row>
    <row r="83" spans="1:7">
      <c r="A83" s="106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925</v>
      </c>
    </row>
    <row r="84" spans="1:7">
      <c r="A84" s="106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925</v>
      </c>
    </row>
    <row r="85" spans="1:7">
      <c r="A85" s="106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925</v>
      </c>
    </row>
    <row r="86" spans="1:7">
      <c r="A86" s="106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925</v>
      </c>
    </row>
    <row r="87" spans="1:7">
      <c r="A87" s="106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925</v>
      </c>
    </row>
    <row r="88" spans="1:7">
      <c r="A88" s="106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925</v>
      </c>
    </row>
    <row r="89" spans="1:7">
      <c r="A89" s="106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925</v>
      </c>
    </row>
    <row r="90" spans="1:7">
      <c r="A90" s="106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925</v>
      </c>
    </row>
    <row r="91" spans="1:7">
      <c r="A91" s="106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925</v>
      </c>
    </row>
    <row r="92" spans="1:7">
      <c r="A92" s="106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925</v>
      </c>
    </row>
    <row r="93" spans="1:7">
      <c r="A93" s="106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925</v>
      </c>
    </row>
    <row r="94" spans="1:7">
      <c r="A94" s="106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925</v>
      </c>
    </row>
    <row r="95" spans="1:7">
      <c r="A95" s="106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925</v>
      </c>
    </row>
    <row r="96" spans="1:7">
      <c r="A96" s="106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925</v>
      </c>
    </row>
    <row r="97" spans="1:7">
      <c r="A97" s="106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925</v>
      </c>
    </row>
    <row r="98" spans="1:7">
      <c r="A98" s="106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925</v>
      </c>
    </row>
    <row r="99" spans="1:7">
      <c r="A99" s="106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925</v>
      </c>
    </row>
    <row r="100" spans="1:7">
      <c r="A100" s="106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925</v>
      </c>
    </row>
    <row r="101" spans="1:7">
      <c r="A101" s="106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925</v>
      </c>
    </row>
    <row r="102" spans="1:7">
      <c r="A102" s="106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925</v>
      </c>
    </row>
    <row r="103" spans="1:7">
      <c r="A103" s="106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925</v>
      </c>
    </row>
    <row r="104" spans="1:7">
      <c r="A104" s="106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925</v>
      </c>
    </row>
    <row r="105" spans="1:7">
      <c r="A105" s="106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925</v>
      </c>
    </row>
    <row r="106" spans="1:7">
      <c r="A106" s="106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925</v>
      </c>
    </row>
    <row r="107" spans="1:7">
      <c r="A107" s="106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925</v>
      </c>
    </row>
    <row r="108" spans="1:7">
      <c r="A108" s="106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925</v>
      </c>
    </row>
    <row r="109" spans="1:7">
      <c r="A109" s="106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925</v>
      </c>
    </row>
    <row r="110" spans="1:7">
      <c r="A110" s="106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925</v>
      </c>
    </row>
    <row r="111" spans="1:7">
      <c r="A111" s="106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925</v>
      </c>
    </row>
    <row r="112" spans="1:7">
      <c r="A112" s="106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925</v>
      </c>
    </row>
    <row r="113" spans="1:7">
      <c r="A113" s="106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925</v>
      </c>
    </row>
    <row r="114" spans="1:7">
      <c r="A114" s="106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925</v>
      </c>
    </row>
    <row r="115" spans="1:7">
      <c r="A115" s="106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925</v>
      </c>
    </row>
    <row r="116" spans="1:7">
      <c r="A116" s="106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925</v>
      </c>
    </row>
    <row r="117" spans="1:7">
      <c r="A117" s="106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925</v>
      </c>
    </row>
    <row r="118" spans="1:7">
      <c r="A118" s="106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925</v>
      </c>
    </row>
    <row r="119" spans="1:7">
      <c r="A119" s="106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925</v>
      </c>
    </row>
    <row r="120" spans="1:7">
      <c r="A120" s="106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925</v>
      </c>
    </row>
    <row r="121" spans="1:7">
      <c r="A121" s="106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925</v>
      </c>
    </row>
    <row r="122" spans="1:7">
      <c r="A122" s="106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925</v>
      </c>
    </row>
    <row r="123" spans="1:7">
      <c r="A123" s="106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925</v>
      </c>
    </row>
    <row r="124" spans="1:7">
      <c r="A124" s="106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925</v>
      </c>
    </row>
    <row r="125" spans="1:7">
      <c r="A125" s="106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925</v>
      </c>
    </row>
    <row r="126" spans="1:7">
      <c r="A126" s="106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925</v>
      </c>
    </row>
    <row r="127" spans="1:7">
      <c r="A127" s="106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925</v>
      </c>
    </row>
    <row r="128" spans="1:7">
      <c r="A128" s="106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925</v>
      </c>
    </row>
    <row r="129" spans="1:7">
      <c r="A129" s="106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925</v>
      </c>
    </row>
    <row r="130" spans="1:7">
      <c r="A130" s="106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925</v>
      </c>
    </row>
    <row r="131" spans="1:7">
      <c r="A131" s="106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925</v>
      </c>
    </row>
    <row r="132" spans="1:7">
      <c r="A132" s="106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925</v>
      </c>
    </row>
    <row r="133" spans="1:7">
      <c r="A133" s="106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925</v>
      </c>
    </row>
    <row r="134" spans="1:7">
      <c r="A134" s="106"/>
      <c r="B134" s="29" t="s">
        <v>154</v>
      </c>
      <c r="C134" s="15"/>
      <c r="D134" s="16" t="s">
        <v>462</v>
      </c>
      <c r="F134" s="8">
        <f t="shared" ref="F134:F137" si="9" xml:space="preserve"> 1/ROWS(B134:B138)</f>
        <v>0.2</v>
      </c>
      <c r="G134" s="73" t="s">
        <v>925</v>
      </c>
    </row>
    <row r="135" spans="1:7">
      <c r="A135" s="106"/>
      <c r="B135" s="29" t="s">
        <v>153</v>
      </c>
      <c r="C135" s="15"/>
      <c r="D135" s="16"/>
      <c r="F135" s="8">
        <f t="shared" si="9"/>
        <v>0.2</v>
      </c>
      <c r="G135" s="73" t="s">
        <v>925</v>
      </c>
    </row>
    <row r="136" spans="1:7">
      <c r="A136" s="106"/>
      <c r="B136" s="29" t="s">
        <v>463</v>
      </c>
      <c r="C136" s="15"/>
      <c r="D136" s="16" t="s">
        <v>464</v>
      </c>
      <c r="F136" s="8">
        <f t="shared" si="9"/>
        <v>0.2</v>
      </c>
      <c r="G136" s="73" t="s">
        <v>925</v>
      </c>
    </row>
    <row r="137" spans="1:7">
      <c r="A137" s="106"/>
      <c r="B137" s="29" t="s">
        <v>465</v>
      </c>
      <c r="C137" s="15"/>
      <c r="D137" s="16" t="s">
        <v>466</v>
      </c>
      <c r="F137" s="8">
        <f t="shared" si="9"/>
        <v>0.2</v>
      </c>
      <c r="G137" s="73" t="s">
        <v>925</v>
      </c>
    </row>
    <row r="138" spans="1:7">
      <c r="A138" s="106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925</v>
      </c>
    </row>
    <row r="139" spans="1:7">
      <c r="A139" s="106"/>
      <c r="B139" s="29" t="s">
        <v>156</v>
      </c>
      <c r="C139" s="15"/>
      <c r="D139" s="16" t="s">
        <v>468</v>
      </c>
      <c r="F139" s="8">
        <f t="shared" ref="F139:F158" si="10" xml:space="preserve"> 1/ROWS(B139:B159)</f>
        <v>4.7619047619047616E-2</v>
      </c>
      <c r="G139" s="73" t="s">
        <v>925</v>
      </c>
    </row>
    <row r="140" spans="1:7">
      <c r="A140" s="106"/>
      <c r="B140" s="29" t="s">
        <v>167</v>
      </c>
      <c r="C140" s="15"/>
      <c r="D140" s="16" t="s">
        <v>469</v>
      </c>
      <c r="F140" s="8">
        <f t="shared" si="10"/>
        <v>4.7619047619047616E-2</v>
      </c>
      <c r="G140" s="73" t="s">
        <v>925</v>
      </c>
    </row>
    <row r="141" spans="1:7">
      <c r="A141" s="106"/>
      <c r="B141" s="29" t="s">
        <v>166</v>
      </c>
      <c r="C141" s="15"/>
      <c r="D141" s="16" t="s">
        <v>470</v>
      </c>
      <c r="F141" s="8">
        <f t="shared" si="10"/>
        <v>4.7619047619047616E-2</v>
      </c>
      <c r="G141" s="73" t="s">
        <v>925</v>
      </c>
    </row>
    <row r="142" spans="1:7">
      <c r="A142" s="106"/>
      <c r="B142" s="29" t="s">
        <v>175</v>
      </c>
      <c r="C142" s="15"/>
      <c r="D142" s="16" t="s">
        <v>471</v>
      </c>
      <c r="F142" s="8">
        <f t="shared" si="10"/>
        <v>4.7619047619047616E-2</v>
      </c>
      <c r="G142" s="73" t="s">
        <v>925</v>
      </c>
    </row>
    <row r="143" spans="1:7">
      <c r="A143" s="106"/>
      <c r="B143" s="29" t="s">
        <v>164</v>
      </c>
      <c r="C143" s="15"/>
      <c r="D143" s="16" t="s">
        <v>472</v>
      </c>
      <c r="F143" s="8">
        <f t="shared" si="10"/>
        <v>4.7619047619047616E-2</v>
      </c>
      <c r="G143" s="73" t="s">
        <v>925</v>
      </c>
    </row>
    <row r="144" spans="1:7">
      <c r="A144" s="106"/>
      <c r="B144" s="29" t="s">
        <v>171</v>
      </c>
      <c r="C144" s="15"/>
      <c r="D144" s="16" t="s">
        <v>473</v>
      </c>
      <c r="F144" s="8">
        <f t="shared" si="10"/>
        <v>4.7619047619047616E-2</v>
      </c>
      <c r="G144" s="73" t="s">
        <v>925</v>
      </c>
    </row>
    <row r="145" spans="1:7">
      <c r="A145" s="106"/>
      <c r="B145" s="29" t="s">
        <v>174</v>
      </c>
      <c r="C145" s="32"/>
      <c r="D145" s="16" t="s">
        <v>474</v>
      </c>
      <c r="F145" s="8">
        <f t="shared" si="10"/>
        <v>4.7619047619047616E-2</v>
      </c>
      <c r="G145" s="73" t="s">
        <v>925</v>
      </c>
    </row>
    <row r="146" spans="1:7">
      <c r="A146" s="106"/>
      <c r="B146" s="29" t="s">
        <v>173</v>
      </c>
      <c r="C146" s="15"/>
      <c r="D146" s="16" t="s">
        <v>475</v>
      </c>
      <c r="F146" s="8">
        <f t="shared" si="10"/>
        <v>4.7619047619047616E-2</v>
      </c>
      <c r="G146" s="73" t="s">
        <v>925</v>
      </c>
    </row>
    <row r="147" spans="1:7">
      <c r="A147" s="106"/>
      <c r="B147" s="29" t="s">
        <v>172</v>
      </c>
      <c r="C147" s="15"/>
      <c r="D147" s="16" t="s">
        <v>476</v>
      </c>
      <c r="F147" s="8">
        <f t="shared" si="10"/>
        <v>4.7619047619047616E-2</v>
      </c>
      <c r="G147" s="73" t="s">
        <v>925</v>
      </c>
    </row>
    <row r="148" spans="1:7">
      <c r="A148" s="106"/>
      <c r="B148" s="29" t="s">
        <v>161</v>
      </c>
      <c r="C148" s="32"/>
      <c r="D148" s="16" t="s">
        <v>477</v>
      </c>
      <c r="F148" s="8">
        <f t="shared" si="10"/>
        <v>4.7619047619047616E-2</v>
      </c>
      <c r="G148" s="73" t="s">
        <v>925</v>
      </c>
    </row>
    <row r="149" spans="1:7">
      <c r="A149" s="106"/>
      <c r="B149" s="29" t="s">
        <v>162</v>
      </c>
      <c r="C149" s="15"/>
      <c r="D149" s="16" t="s">
        <v>478</v>
      </c>
      <c r="F149" s="8">
        <f t="shared" si="10"/>
        <v>4.7619047619047616E-2</v>
      </c>
      <c r="G149" s="73" t="s">
        <v>925</v>
      </c>
    </row>
    <row r="150" spans="1:7" ht="29.25">
      <c r="A150" s="106"/>
      <c r="B150" s="29" t="s">
        <v>158</v>
      </c>
      <c r="C150" s="15"/>
      <c r="D150" s="16" t="s">
        <v>479</v>
      </c>
      <c r="F150" s="8">
        <f t="shared" si="10"/>
        <v>4.7619047619047616E-2</v>
      </c>
      <c r="G150" s="73" t="s">
        <v>925</v>
      </c>
    </row>
    <row r="151" spans="1:7">
      <c r="A151" s="106"/>
      <c r="B151" s="29" t="s">
        <v>159</v>
      </c>
      <c r="C151" s="15"/>
      <c r="D151" s="16" t="s">
        <v>480</v>
      </c>
      <c r="F151" s="8">
        <f t="shared" si="10"/>
        <v>4.7619047619047616E-2</v>
      </c>
      <c r="G151" s="73" t="s">
        <v>925</v>
      </c>
    </row>
    <row r="152" spans="1:7">
      <c r="A152" s="106"/>
      <c r="B152" s="29" t="s">
        <v>155</v>
      </c>
      <c r="C152" s="32"/>
      <c r="D152" s="16" t="s">
        <v>481</v>
      </c>
      <c r="F152" s="8">
        <f t="shared" si="10"/>
        <v>4.7619047619047616E-2</v>
      </c>
      <c r="G152" s="73" t="s">
        <v>925</v>
      </c>
    </row>
    <row r="153" spans="1:7">
      <c r="A153" s="106"/>
      <c r="B153" s="29" t="s">
        <v>169</v>
      </c>
      <c r="C153" s="15"/>
      <c r="D153" s="16" t="s">
        <v>482</v>
      </c>
      <c r="F153" s="8">
        <f t="shared" si="10"/>
        <v>4.7619047619047616E-2</v>
      </c>
      <c r="G153" s="73" t="s">
        <v>925</v>
      </c>
    </row>
    <row r="154" spans="1:7">
      <c r="A154" s="106"/>
      <c r="B154" s="29" t="s">
        <v>170</v>
      </c>
      <c r="C154" s="15"/>
      <c r="D154" s="16" t="s">
        <v>483</v>
      </c>
      <c r="F154" s="8">
        <f t="shared" si="10"/>
        <v>4.7619047619047616E-2</v>
      </c>
      <c r="G154" s="73" t="s">
        <v>925</v>
      </c>
    </row>
    <row r="155" spans="1:7">
      <c r="A155" s="106"/>
      <c r="B155" s="29" t="s">
        <v>160</v>
      </c>
      <c r="C155" s="15"/>
      <c r="D155" s="16" t="s">
        <v>484</v>
      </c>
      <c r="F155" s="8">
        <f t="shared" si="10"/>
        <v>4.7619047619047616E-2</v>
      </c>
      <c r="G155" s="73" t="s">
        <v>925</v>
      </c>
    </row>
    <row r="156" spans="1:7">
      <c r="A156" s="106"/>
      <c r="B156" s="29" t="s">
        <v>157</v>
      </c>
      <c r="C156" s="15"/>
      <c r="D156" s="16" t="s">
        <v>485</v>
      </c>
      <c r="F156" s="8">
        <f t="shared" si="10"/>
        <v>4.7619047619047616E-2</v>
      </c>
      <c r="G156" s="73" t="s">
        <v>925</v>
      </c>
    </row>
    <row r="157" spans="1:7">
      <c r="A157" s="106"/>
      <c r="B157" s="29" t="s">
        <v>165</v>
      </c>
      <c r="C157" s="15"/>
      <c r="D157" s="16" t="s">
        <v>486</v>
      </c>
      <c r="F157" s="8">
        <f t="shared" si="10"/>
        <v>4.7619047619047616E-2</v>
      </c>
      <c r="G157" s="73" t="s">
        <v>925</v>
      </c>
    </row>
    <row r="158" spans="1:7">
      <c r="A158" s="106"/>
      <c r="B158" s="29" t="s">
        <v>168</v>
      </c>
      <c r="C158" s="15"/>
      <c r="D158" s="16" t="s">
        <v>487</v>
      </c>
      <c r="F158" s="8">
        <f t="shared" si="10"/>
        <v>4.7619047619047616E-2</v>
      </c>
      <c r="G158" s="73" t="s">
        <v>925</v>
      </c>
    </row>
    <row r="159" spans="1:7">
      <c r="A159" s="26" t="s">
        <v>623</v>
      </c>
      <c r="B159" s="29" t="s">
        <v>488</v>
      </c>
      <c r="C159" s="15"/>
      <c r="D159" s="16" t="s">
        <v>489</v>
      </c>
      <c r="F159" s="8">
        <v>1</v>
      </c>
      <c r="G159" s="73" t="s">
        <v>925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925</v>
      </c>
    </row>
    <row r="161" spans="1:7">
      <c r="A161" s="106" t="s">
        <v>1164</v>
      </c>
      <c r="B161" s="29" t="s">
        <v>491</v>
      </c>
      <c r="C161" s="15"/>
      <c r="D161" s="16" t="s">
        <v>492</v>
      </c>
      <c r="F161" s="8">
        <v>0.5</v>
      </c>
      <c r="G161" s="73" t="s">
        <v>925</v>
      </c>
    </row>
    <row r="162" spans="1:7">
      <c r="A162" s="106"/>
      <c r="B162" s="29" t="s">
        <v>493</v>
      </c>
      <c r="C162" s="15"/>
      <c r="D162" s="16" t="s">
        <v>494</v>
      </c>
      <c r="F162" s="8">
        <v>0.5</v>
      </c>
      <c r="G162" s="73" t="s">
        <v>925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925</v>
      </c>
    </row>
    <row r="164" spans="1:7">
      <c r="A164" s="106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925</v>
      </c>
    </row>
    <row r="165" spans="1:7">
      <c r="A165" s="106"/>
      <c r="B165" s="29" t="s">
        <v>181</v>
      </c>
      <c r="C165" s="15"/>
      <c r="D165" s="16" t="s">
        <v>496</v>
      </c>
      <c r="F165" s="8">
        <f t="shared" ref="F165:F171" si="11" xml:space="preserve"> 1/ROWS(B165:B172)</f>
        <v>0.125</v>
      </c>
      <c r="G165" s="73" t="s">
        <v>925</v>
      </c>
    </row>
    <row r="166" spans="1:7">
      <c r="A166" s="106"/>
      <c r="B166" s="29" t="s">
        <v>180</v>
      </c>
      <c r="C166" s="15"/>
      <c r="D166" s="16" t="s">
        <v>497</v>
      </c>
      <c r="F166" s="8">
        <f t="shared" si="11"/>
        <v>0.125</v>
      </c>
      <c r="G166" s="73" t="s">
        <v>925</v>
      </c>
    </row>
    <row r="167" spans="1:7">
      <c r="A167" s="106"/>
      <c r="B167" s="29" t="s">
        <v>179</v>
      </c>
      <c r="C167" s="15"/>
      <c r="D167" s="16" t="s">
        <v>498</v>
      </c>
      <c r="F167" s="8">
        <f t="shared" si="11"/>
        <v>0.125</v>
      </c>
      <c r="G167" s="73" t="s">
        <v>925</v>
      </c>
    </row>
    <row r="168" spans="1:7">
      <c r="A168" s="106"/>
      <c r="B168" s="29" t="s">
        <v>184</v>
      </c>
      <c r="C168" s="15"/>
      <c r="D168" s="16" t="s">
        <v>499</v>
      </c>
      <c r="F168" s="8">
        <f t="shared" si="11"/>
        <v>0.125</v>
      </c>
      <c r="G168" s="73" t="s">
        <v>925</v>
      </c>
    </row>
    <row r="169" spans="1:7">
      <c r="A169" s="106"/>
      <c r="B169" s="29" t="s">
        <v>183</v>
      </c>
      <c r="C169" s="32"/>
      <c r="D169" s="16" t="s">
        <v>500</v>
      </c>
      <c r="F169" s="8">
        <f t="shared" si="11"/>
        <v>0.125</v>
      </c>
      <c r="G169" s="73" t="s">
        <v>925</v>
      </c>
    </row>
    <row r="170" spans="1:7">
      <c r="A170" s="106"/>
      <c r="B170" s="29" t="s">
        <v>178</v>
      </c>
      <c r="C170" s="15"/>
      <c r="D170" s="16" t="s">
        <v>501</v>
      </c>
      <c r="F170" s="8">
        <f t="shared" si="11"/>
        <v>0.125</v>
      </c>
      <c r="G170" s="73" t="s">
        <v>925</v>
      </c>
    </row>
    <row r="171" spans="1:7">
      <c r="A171" s="106"/>
      <c r="B171" s="29" t="s">
        <v>185</v>
      </c>
      <c r="C171" s="15"/>
      <c r="D171" s="16" t="s">
        <v>502</v>
      </c>
      <c r="F171" s="8">
        <f t="shared" si="11"/>
        <v>0.125</v>
      </c>
      <c r="G171" s="73" t="s">
        <v>925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925</v>
      </c>
    </row>
    <row r="173" spans="1:7">
      <c r="A173" s="106" t="s">
        <v>17</v>
      </c>
      <c r="B173" s="29" t="s">
        <v>193</v>
      </c>
      <c r="C173" s="15"/>
      <c r="D173" s="16" t="s">
        <v>505</v>
      </c>
      <c r="F173" s="8">
        <f xml:space="preserve"> 1/ROWS(B173:B184)</f>
        <v>8.3333333333333329E-2</v>
      </c>
      <c r="G173" s="73" t="s">
        <v>925</v>
      </c>
    </row>
    <row r="174" spans="1:7">
      <c r="A174" s="106"/>
      <c r="B174" s="29" t="s">
        <v>195</v>
      </c>
      <c r="C174" s="15"/>
      <c r="D174" s="16" t="s">
        <v>506</v>
      </c>
      <c r="F174" s="8">
        <f t="shared" ref="F174:F184" si="12" xml:space="preserve"> 1/ROWS(B174:B185)</f>
        <v>8.3333333333333329E-2</v>
      </c>
      <c r="G174" s="73" t="s">
        <v>925</v>
      </c>
    </row>
    <row r="175" spans="1:7">
      <c r="A175" s="106"/>
      <c r="B175" s="29" t="s">
        <v>197</v>
      </c>
      <c r="C175" s="15"/>
      <c r="D175" s="16" t="s">
        <v>507</v>
      </c>
      <c r="F175" s="8">
        <f t="shared" si="12"/>
        <v>8.3333333333333329E-2</v>
      </c>
      <c r="G175" s="73" t="s">
        <v>925</v>
      </c>
    </row>
    <row r="176" spans="1:7">
      <c r="A176" s="106"/>
      <c r="B176" s="29" t="s">
        <v>188</v>
      </c>
      <c r="C176" s="15"/>
      <c r="D176" s="16" t="s">
        <v>508</v>
      </c>
      <c r="F176" s="8">
        <f t="shared" si="12"/>
        <v>8.3333333333333329E-2</v>
      </c>
      <c r="G176" s="73" t="s">
        <v>925</v>
      </c>
    </row>
    <row r="177" spans="1:7">
      <c r="A177" s="106"/>
      <c r="B177" s="29" t="s">
        <v>194</v>
      </c>
      <c r="C177" s="15"/>
      <c r="D177" s="16" t="s">
        <v>509</v>
      </c>
      <c r="F177" s="8">
        <f t="shared" si="12"/>
        <v>8.3333333333333329E-2</v>
      </c>
      <c r="G177" s="73" t="s">
        <v>925</v>
      </c>
    </row>
    <row r="178" spans="1:7">
      <c r="A178" s="106"/>
      <c r="B178" s="29" t="s">
        <v>196</v>
      </c>
      <c r="C178" s="15"/>
      <c r="D178" s="16" t="s">
        <v>510</v>
      </c>
      <c r="F178" s="8">
        <f t="shared" si="12"/>
        <v>8.3333333333333329E-2</v>
      </c>
      <c r="G178" s="73" t="s">
        <v>925</v>
      </c>
    </row>
    <row r="179" spans="1:7">
      <c r="A179" s="106"/>
      <c r="B179" s="29" t="s">
        <v>190</v>
      </c>
      <c r="C179" s="15"/>
      <c r="D179" s="16" t="s">
        <v>511</v>
      </c>
      <c r="F179" s="8">
        <f t="shared" si="12"/>
        <v>8.3333333333333329E-2</v>
      </c>
      <c r="G179" s="73" t="s">
        <v>925</v>
      </c>
    </row>
    <row r="180" spans="1:7">
      <c r="A180" s="106"/>
      <c r="B180" s="29" t="s">
        <v>189</v>
      </c>
      <c r="C180" s="15"/>
      <c r="D180" s="16" t="s">
        <v>512</v>
      </c>
      <c r="F180" s="8">
        <f t="shared" si="12"/>
        <v>8.3333333333333329E-2</v>
      </c>
      <c r="G180" s="73" t="s">
        <v>925</v>
      </c>
    </row>
    <row r="181" spans="1:7">
      <c r="A181" s="106"/>
      <c r="B181" s="29" t="s">
        <v>186</v>
      </c>
      <c r="C181" s="15"/>
      <c r="D181" s="16" t="s">
        <v>513</v>
      </c>
      <c r="F181" s="8">
        <f t="shared" si="12"/>
        <v>8.3333333333333329E-2</v>
      </c>
      <c r="G181" s="73" t="s">
        <v>925</v>
      </c>
    </row>
    <row r="182" spans="1:7">
      <c r="A182" s="106"/>
      <c r="B182" s="29" t="s">
        <v>187</v>
      </c>
      <c r="C182" s="32"/>
      <c r="D182" s="16" t="s">
        <v>514</v>
      </c>
      <c r="F182" s="8">
        <f t="shared" si="12"/>
        <v>8.3333333333333329E-2</v>
      </c>
      <c r="G182" s="73" t="s">
        <v>925</v>
      </c>
    </row>
    <row r="183" spans="1:7">
      <c r="A183" s="106"/>
      <c r="B183" s="29" t="s">
        <v>191</v>
      </c>
      <c r="C183" s="32"/>
      <c r="D183" s="16" t="s">
        <v>515</v>
      </c>
      <c r="F183" s="8">
        <f t="shared" si="12"/>
        <v>8.3333333333333329E-2</v>
      </c>
      <c r="G183" s="73" t="s">
        <v>925</v>
      </c>
    </row>
    <row r="184" spans="1:7">
      <c r="A184" s="106"/>
      <c r="B184" s="29" t="s">
        <v>192</v>
      </c>
      <c r="C184" s="32"/>
      <c r="D184" s="16" t="s">
        <v>516</v>
      </c>
      <c r="F184" s="8">
        <f t="shared" si="12"/>
        <v>8.3333333333333329E-2</v>
      </c>
      <c r="G184" s="73" t="s">
        <v>925</v>
      </c>
    </row>
    <row r="185" spans="1:7">
      <c r="A185" s="106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925</v>
      </c>
    </row>
    <row r="186" spans="1:7">
      <c r="A186" s="106"/>
      <c r="B186" s="29" t="s">
        <v>204</v>
      </c>
      <c r="C186" s="15"/>
      <c r="D186" s="16" t="s">
        <v>518</v>
      </c>
      <c r="F186" s="8">
        <f t="shared" ref="F186:F193" si="13" xml:space="preserve"> 1/ROWS(B186:B194)</f>
        <v>0.1111111111111111</v>
      </c>
      <c r="G186" s="73" t="s">
        <v>925</v>
      </c>
    </row>
    <row r="187" spans="1:7">
      <c r="A187" s="106"/>
      <c r="B187" s="29" t="s">
        <v>203</v>
      </c>
      <c r="C187" s="15"/>
      <c r="D187" s="16" t="s">
        <v>519</v>
      </c>
      <c r="F187" s="8">
        <f t="shared" si="13"/>
        <v>0.1111111111111111</v>
      </c>
      <c r="G187" s="73" t="s">
        <v>925</v>
      </c>
    </row>
    <row r="188" spans="1:7">
      <c r="A188" s="106"/>
      <c r="B188" s="29" t="s">
        <v>205</v>
      </c>
      <c r="C188" s="15"/>
      <c r="D188" s="16" t="s">
        <v>520</v>
      </c>
      <c r="F188" s="8">
        <f t="shared" si="13"/>
        <v>0.1111111111111111</v>
      </c>
      <c r="G188" s="73" t="s">
        <v>925</v>
      </c>
    </row>
    <row r="189" spans="1:7">
      <c r="A189" s="106"/>
      <c r="B189" s="29" t="s">
        <v>200</v>
      </c>
      <c r="C189" s="15"/>
      <c r="D189" s="16" t="s">
        <v>521</v>
      </c>
      <c r="F189" s="8">
        <f t="shared" si="13"/>
        <v>0.1111111111111111</v>
      </c>
      <c r="G189" s="73" t="s">
        <v>925</v>
      </c>
    </row>
    <row r="190" spans="1:7">
      <c r="A190" s="106"/>
      <c r="B190" s="29" t="s">
        <v>202</v>
      </c>
      <c r="C190" s="15"/>
      <c r="D190" s="16" t="s">
        <v>522</v>
      </c>
      <c r="F190" s="8">
        <f t="shared" si="13"/>
        <v>0.1111111111111111</v>
      </c>
      <c r="G190" s="73" t="s">
        <v>925</v>
      </c>
    </row>
    <row r="191" spans="1:7">
      <c r="A191" s="106"/>
      <c r="B191" s="29" t="s">
        <v>201</v>
      </c>
      <c r="C191" s="15"/>
      <c r="D191" s="16" t="s">
        <v>523</v>
      </c>
      <c r="F191" s="8">
        <f t="shared" si="13"/>
        <v>0.1111111111111111</v>
      </c>
      <c r="G191" s="73" t="s">
        <v>925</v>
      </c>
    </row>
    <row r="192" spans="1:7">
      <c r="A192" s="106"/>
      <c r="B192" s="29" t="s">
        <v>199</v>
      </c>
      <c r="C192" s="15"/>
      <c r="D192" s="16" t="s">
        <v>524</v>
      </c>
      <c r="F192" s="8">
        <f t="shared" si="13"/>
        <v>0.1111111111111111</v>
      </c>
      <c r="G192" s="73" t="s">
        <v>925</v>
      </c>
    </row>
    <row r="193" spans="1:7">
      <c r="A193" s="106"/>
      <c r="B193" s="29" t="s">
        <v>198</v>
      </c>
      <c r="C193" s="15"/>
      <c r="D193" s="16" t="s">
        <v>525</v>
      </c>
      <c r="F193" s="8">
        <f t="shared" si="13"/>
        <v>0.1111111111111111</v>
      </c>
      <c r="G193" s="73" t="s">
        <v>925</v>
      </c>
    </row>
    <row r="194" spans="1:7">
      <c r="A194" s="106" t="s">
        <v>19</v>
      </c>
      <c r="B194" s="29" t="s">
        <v>219</v>
      </c>
      <c r="C194" s="15"/>
      <c r="D194" s="16" t="s">
        <v>526</v>
      </c>
      <c r="F194" s="8">
        <f xml:space="preserve"> 1/ROWS(B194:B210)</f>
        <v>5.8823529411764705E-2</v>
      </c>
      <c r="G194" s="73" t="s">
        <v>925</v>
      </c>
    </row>
    <row r="195" spans="1:7">
      <c r="A195" s="106"/>
      <c r="B195" s="29" t="s">
        <v>210</v>
      </c>
      <c r="C195" s="15"/>
      <c r="D195" s="16" t="s">
        <v>527</v>
      </c>
      <c r="F195" s="8">
        <f xml:space="preserve"> 1/ROWS(B195:B211)</f>
        <v>5.8823529411764705E-2</v>
      </c>
      <c r="G195" s="73" t="s">
        <v>925</v>
      </c>
    </row>
    <row r="196" spans="1:7">
      <c r="A196" s="106"/>
      <c r="B196" s="29" t="s">
        <v>221</v>
      </c>
      <c r="C196" s="15"/>
      <c r="D196" s="16" t="s">
        <v>528</v>
      </c>
      <c r="F196" s="8">
        <f t="shared" ref="F196:F210" si="14" xml:space="preserve"> 1/ROWS(B196:B212)</f>
        <v>5.8823529411764705E-2</v>
      </c>
      <c r="G196" s="73" t="s">
        <v>925</v>
      </c>
    </row>
    <row r="197" spans="1:7">
      <c r="A197" s="106"/>
      <c r="B197" s="29" t="s">
        <v>207</v>
      </c>
      <c r="C197" s="15"/>
      <c r="D197" s="16" t="s">
        <v>529</v>
      </c>
      <c r="F197" s="8">
        <f t="shared" si="14"/>
        <v>5.8823529411764705E-2</v>
      </c>
      <c r="G197" s="73" t="s">
        <v>925</v>
      </c>
    </row>
    <row r="198" spans="1:7">
      <c r="A198" s="106"/>
      <c r="B198" s="29" t="s">
        <v>216</v>
      </c>
      <c r="C198" s="15"/>
      <c r="D198" s="16" t="s">
        <v>530</v>
      </c>
      <c r="F198" s="8">
        <f t="shared" si="14"/>
        <v>5.8823529411764705E-2</v>
      </c>
      <c r="G198" s="73" t="s">
        <v>925</v>
      </c>
    </row>
    <row r="199" spans="1:7">
      <c r="A199" s="106"/>
      <c r="B199" s="29" t="s">
        <v>218</v>
      </c>
      <c r="C199" s="15"/>
      <c r="D199" s="16" t="s">
        <v>531</v>
      </c>
      <c r="F199" s="8">
        <f t="shared" si="14"/>
        <v>5.8823529411764705E-2</v>
      </c>
      <c r="G199" s="73" t="s">
        <v>925</v>
      </c>
    </row>
    <row r="200" spans="1:7">
      <c r="A200" s="106"/>
      <c r="B200" s="29" t="s">
        <v>213</v>
      </c>
      <c r="C200" s="15"/>
      <c r="D200" s="16" t="s">
        <v>532</v>
      </c>
      <c r="F200" s="8">
        <f t="shared" si="14"/>
        <v>5.8823529411764705E-2</v>
      </c>
      <c r="G200" s="73" t="s">
        <v>925</v>
      </c>
    </row>
    <row r="201" spans="1:7">
      <c r="A201" s="106"/>
      <c r="B201" s="29" t="s">
        <v>220</v>
      </c>
      <c r="C201" s="15"/>
      <c r="D201" s="16" t="s">
        <v>533</v>
      </c>
      <c r="F201" s="8">
        <f t="shared" si="14"/>
        <v>5.8823529411764705E-2</v>
      </c>
      <c r="G201" s="73" t="s">
        <v>925</v>
      </c>
    </row>
    <row r="202" spans="1:7">
      <c r="A202" s="106"/>
      <c r="B202" s="29" t="s">
        <v>208</v>
      </c>
      <c r="C202" s="15"/>
      <c r="D202" s="16" t="s">
        <v>534</v>
      </c>
      <c r="F202" s="8">
        <f t="shared" si="14"/>
        <v>5.8823529411764705E-2</v>
      </c>
      <c r="G202" s="73" t="s">
        <v>925</v>
      </c>
    </row>
    <row r="203" spans="1:7">
      <c r="A203" s="106"/>
      <c r="B203" s="29" t="s">
        <v>211</v>
      </c>
      <c r="C203" s="15"/>
      <c r="D203" s="16" t="s">
        <v>535</v>
      </c>
      <c r="F203" s="8">
        <f t="shared" si="14"/>
        <v>5.8823529411764705E-2</v>
      </c>
      <c r="G203" s="73" t="s">
        <v>925</v>
      </c>
    </row>
    <row r="204" spans="1:7">
      <c r="A204" s="106"/>
      <c r="B204" s="29" t="s">
        <v>223</v>
      </c>
      <c r="C204" s="15"/>
      <c r="D204" s="16" t="s">
        <v>536</v>
      </c>
      <c r="F204" s="8">
        <f t="shared" si="14"/>
        <v>5.8823529411764705E-2</v>
      </c>
      <c r="G204" s="73" t="s">
        <v>925</v>
      </c>
    </row>
    <row r="205" spans="1:7">
      <c r="A205" s="106"/>
      <c r="B205" s="29" t="s">
        <v>222</v>
      </c>
      <c r="C205" s="15"/>
      <c r="D205" s="16" t="s">
        <v>537</v>
      </c>
      <c r="F205" s="8">
        <f t="shared" si="14"/>
        <v>5.8823529411764705E-2</v>
      </c>
      <c r="G205" s="73" t="s">
        <v>925</v>
      </c>
    </row>
    <row r="206" spans="1:7">
      <c r="A206" s="106"/>
      <c r="B206" s="29" t="s">
        <v>217</v>
      </c>
      <c r="C206" s="15"/>
      <c r="D206" s="16" t="s">
        <v>538</v>
      </c>
      <c r="F206" s="8">
        <f t="shared" si="14"/>
        <v>5.8823529411764705E-2</v>
      </c>
      <c r="G206" s="73" t="s">
        <v>925</v>
      </c>
    </row>
    <row r="207" spans="1:7">
      <c r="A207" s="106"/>
      <c r="B207" s="29" t="s">
        <v>209</v>
      </c>
      <c r="C207" s="15"/>
      <c r="D207" s="16" t="s">
        <v>539</v>
      </c>
      <c r="F207" s="8">
        <f t="shared" si="14"/>
        <v>5.8823529411764705E-2</v>
      </c>
      <c r="G207" s="73" t="s">
        <v>925</v>
      </c>
    </row>
    <row r="208" spans="1:7">
      <c r="A208" s="106"/>
      <c r="B208" s="29" t="s">
        <v>212</v>
      </c>
      <c r="C208" s="15"/>
      <c r="D208" s="16" t="s">
        <v>540</v>
      </c>
      <c r="F208" s="8">
        <f t="shared" si="14"/>
        <v>5.8823529411764705E-2</v>
      </c>
      <c r="G208" s="73" t="s">
        <v>925</v>
      </c>
    </row>
    <row r="209" spans="1:7">
      <c r="A209" s="106"/>
      <c r="B209" s="29" t="s">
        <v>214</v>
      </c>
      <c r="C209" s="15"/>
      <c r="D209" s="16" t="s">
        <v>541</v>
      </c>
      <c r="F209" s="8">
        <f t="shared" si="14"/>
        <v>5.8823529411764705E-2</v>
      </c>
      <c r="G209" s="73" t="s">
        <v>925</v>
      </c>
    </row>
    <row r="210" spans="1:7">
      <c r="A210" s="106"/>
      <c r="B210" s="29" t="s">
        <v>215</v>
      </c>
      <c r="C210" s="32"/>
      <c r="D210" s="16" t="s">
        <v>542</v>
      </c>
      <c r="F210" s="8">
        <f t="shared" si="14"/>
        <v>5.8823529411764705E-2</v>
      </c>
      <c r="G210" s="73" t="s">
        <v>925</v>
      </c>
    </row>
    <row r="211" spans="1:7">
      <c r="A211" s="106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925</v>
      </c>
    </row>
    <row r="212" spans="1:7">
      <c r="A212" s="106"/>
      <c r="B212" s="29" t="s">
        <v>225</v>
      </c>
      <c r="C212" s="15"/>
      <c r="D212" s="16" t="s">
        <v>544</v>
      </c>
      <c r="F212" s="8">
        <f t="shared" ref="F212:F217" si="15" xml:space="preserve"> 1/ROWS(B212:B218)</f>
        <v>0.14285714285714285</v>
      </c>
      <c r="G212" s="73" t="s">
        <v>925</v>
      </c>
    </row>
    <row r="213" spans="1:7">
      <c r="A213" s="106"/>
      <c r="B213" s="29" t="s">
        <v>228</v>
      </c>
      <c r="C213" s="15"/>
      <c r="D213" s="16" t="s">
        <v>545</v>
      </c>
      <c r="F213" s="8">
        <f t="shared" si="15"/>
        <v>0.14285714285714285</v>
      </c>
      <c r="G213" s="73" t="s">
        <v>925</v>
      </c>
    </row>
    <row r="214" spans="1:7">
      <c r="A214" s="106"/>
      <c r="B214" s="29" t="s">
        <v>224</v>
      </c>
      <c r="C214" s="15"/>
      <c r="D214" s="16" t="s">
        <v>546</v>
      </c>
      <c r="F214" s="8">
        <f t="shared" si="15"/>
        <v>0.14285714285714285</v>
      </c>
      <c r="G214" s="73" t="s">
        <v>925</v>
      </c>
    </row>
    <row r="215" spans="1:7">
      <c r="A215" s="106"/>
      <c r="B215" s="29" t="s">
        <v>227</v>
      </c>
      <c r="C215" s="32"/>
      <c r="D215" s="16" t="s">
        <v>547</v>
      </c>
      <c r="F215" s="8">
        <f t="shared" si="15"/>
        <v>0.14285714285714285</v>
      </c>
      <c r="G215" s="73" t="s">
        <v>925</v>
      </c>
    </row>
    <row r="216" spans="1:7">
      <c r="A216" s="106"/>
      <c r="B216" s="29" t="s">
        <v>548</v>
      </c>
      <c r="C216" s="15"/>
      <c r="D216" s="16" t="s">
        <v>549</v>
      </c>
      <c r="F216" s="8">
        <f t="shared" si="15"/>
        <v>0.14285714285714285</v>
      </c>
      <c r="G216" s="73" t="s">
        <v>925</v>
      </c>
    </row>
    <row r="217" spans="1:7">
      <c r="A217" s="106"/>
      <c r="B217" s="29" t="s">
        <v>550</v>
      </c>
      <c r="C217" s="15"/>
      <c r="D217" s="16" t="s">
        <v>551</v>
      </c>
      <c r="F217" s="8">
        <f t="shared" si="15"/>
        <v>0.14285714285714285</v>
      </c>
      <c r="G217" s="73" t="s">
        <v>925</v>
      </c>
    </row>
    <row r="218" spans="1:7">
      <c r="A218" s="106" t="s">
        <v>21</v>
      </c>
      <c r="B218" s="29" t="s">
        <v>231</v>
      </c>
      <c r="C218" s="15"/>
      <c r="D218" s="16" t="s">
        <v>552</v>
      </c>
      <c r="F218" s="8">
        <f xml:space="preserve"> 1/ROWS(B218:B225)</f>
        <v>0.125</v>
      </c>
      <c r="G218" s="73" t="s">
        <v>925</v>
      </c>
    </row>
    <row r="219" spans="1:7">
      <c r="A219" s="106"/>
      <c r="B219" s="29" t="s">
        <v>236</v>
      </c>
      <c r="C219" s="15"/>
      <c r="D219" s="16" t="s">
        <v>553</v>
      </c>
      <c r="F219" s="8">
        <f xml:space="preserve"> 1/ROWS(B219:B226)</f>
        <v>0.125</v>
      </c>
      <c r="G219" s="73" t="s">
        <v>925</v>
      </c>
    </row>
    <row r="220" spans="1:7">
      <c r="A220" s="106"/>
      <c r="B220" s="29" t="s">
        <v>232</v>
      </c>
      <c r="C220" s="15"/>
      <c r="D220" s="16" t="s">
        <v>554</v>
      </c>
      <c r="F220" s="8">
        <f t="shared" ref="F220:F225" si="16" xml:space="preserve"> 1/ROWS(B220:B227)</f>
        <v>0.125</v>
      </c>
      <c r="G220" s="73" t="s">
        <v>925</v>
      </c>
    </row>
    <row r="221" spans="1:7">
      <c r="A221" s="106"/>
      <c r="B221" s="29" t="s">
        <v>230</v>
      </c>
      <c r="C221" s="15"/>
      <c r="D221" s="16" t="s">
        <v>555</v>
      </c>
      <c r="F221" s="8">
        <f t="shared" si="16"/>
        <v>0.125</v>
      </c>
      <c r="G221" s="73" t="s">
        <v>925</v>
      </c>
    </row>
    <row r="222" spans="1:7">
      <c r="A222" s="106"/>
      <c r="B222" s="29" t="s">
        <v>234</v>
      </c>
      <c r="C222" s="15"/>
      <c r="D222" s="16" t="s">
        <v>556</v>
      </c>
      <c r="F222" s="8">
        <f t="shared" si="16"/>
        <v>0.125</v>
      </c>
      <c r="G222" s="73" t="s">
        <v>925</v>
      </c>
    </row>
    <row r="223" spans="1:7">
      <c r="A223" s="106"/>
      <c r="B223" s="29" t="s">
        <v>233</v>
      </c>
      <c r="C223" s="15"/>
      <c r="D223" s="16" t="s">
        <v>557</v>
      </c>
      <c r="F223" s="8">
        <f t="shared" si="16"/>
        <v>0.125</v>
      </c>
      <c r="G223" s="73" t="s">
        <v>925</v>
      </c>
    </row>
    <row r="224" spans="1:7">
      <c r="A224" s="106"/>
      <c r="B224" s="29" t="s">
        <v>229</v>
      </c>
      <c r="C224" s="15"/>
      <c r="D224" s="16" t="s">
        <v>558</v>
      </c>
      <c r="F224" s="8">
        <f t="shared" si="16"/>
        <v>0.125</v>
      </c>
      <c r="G224" s="73" t="s">
        <v>925</v>
      </c>
    </row>
    <row r="225" spans="1:7">
      <c r="A225" s="106"/>
      <c r="B225" s="29" t="s">
        <v>235</v>
      </c>
      <c r="C225" s="15"/>
      <c r="D225" s="16" t="s">
        <v>559</v>
      </c>
      <c r="F225" s="8">
        <f t="shared" si="16"/>
        <v>0.125</v>
      </c>
      <c r="G225" s="73" t="s">
        <v>925</v>
      </c>
    </row>
    <row r="226" spans="1:7">
      <c r="A226" s="106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925</v>
      </c>
    </row>
    <row r="227" spans="1:7">
      <c r="A227" s="106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925</v>
      </c>
    </row>
    <row r="228" spans="1:7">
      <c r="A228" s="106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925</v>
      </c>
    </row>
    <row r="229" spans="1:7">
      <c r="A229" s="106"/>
      <c r="B229" s="29" t="s">
        <v>239</v>
      </c>
      <c r="C229" s="15"/>
      <c r="D229" s="16" t="s">
        <v>563</v>
      </c>
      <c r="F229" s="8">
        <f t="shared" ref="F229:F231" si="17" xml:space="preserve"> 1/ROWS(B229:B232)</f>
        <v>0.25</v>
      </c>
      <c r="G229" s="73" t="s">
        <v>925</v>
      </c>
    </row>
    <row r="230" spans="1:7">
      <c r="A230" s="106"/>
      <c r="B230" s="29" t="s">
        <v>242</v>
      </c>
      <c r="C230" s="15"/>
      <c r="D230" s="16" t="s">
        <v>564</v>
      </c>
      <c r="F230" s="8">
        <f t="shared" si="17"/>
        <v>0.25</v>
      </c>
      <c r="G230" s="73" t="s">
        <v>925</v>
      </c>
    </row>
    <row r="231" spans="1:7">
      <c r="A231" s="106"/>
      <c r="B231" s="29" t="s">
        <v>240</v>
      </c>
      <c r="C231" s="15"/>
      <c r="D231" s="16" t="s">
        <v>565</v>
      </c>
      <c r="F231" s="8">
        <f t="shared" si="17"/>
        <v>0.25</v>
      </c>
      <c r="G231" s="73" t="s">
        <v>925</v>
      </c>
    </row>
    <row r="232" spans="1:7">
      <c r="A232" s="106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925</v>
      </c>
    </row>
    <row r="233" spans="1:7">
      <c r="A233" s="106"/>
      <c r="B233" s="29" t="s">
        <v>245</v>
      </c>
      <c r="C233" s="15"/>
      <c r="D233" s="16" t="s">
        <v>567</v>
      </c>
      <c r="F233" s="8">
        <f t="shared" ref="F233:F236" si="18" xml:space="preserve"> 1/ROWS(B233:B237)</f>
        <v>0.2</v>
      </c>
      <c r="G233" s="73" t="s">
        <v>925</v>
      </c>
    </row>
    <row r="234" spans="1:7">
      <c r="A234" s="106"/>
      <c r="B234" s="29" t="s">
        <v>244</v>
      </c>
      <c r="C234" s="15"/>
      <c r="D234" s="16" t="s">
        <v>568</v>
      </c>
      <c r="F234" s="8">
        <f t="shared" si="18"/>
        <v>0.2</v>
      </c>
      <c r="G234" s="73" t="s">
        <v>925</v>
      </c>
    </row>
    <row r="235" spans="1:7">
      <c r="A235" s="106"/>
      <c r="B235" s="29" t="s">
        <v>246</v>
      </c>
      <c r="C235" s="15"/>
      <c r="D235" s="16" t="s">
        <v>569</v>
      </c>
      <c r="F235" s="8">
        <f t="shared" si="18"/>
        <v>0.2</v>
      </c>
      <c r="G235" s="73" t="s">
        <v>925</v>
      </c>
    </row>
    <row r="236" spans="1:7">
      <c r="A236" s="106"/>
      <c r="B236" s="29" t="s">
        <v>570</v>
      </c>
      <c r="C236" s="15"/>
      <c r="D236" s="16" t="s">
        <v>571</v>
      </c>
      <c r="F236" s="8">
        <f t="shared" si="18"/>
        <v>0.2</v>
      </c>
      <c r="G236" s="73" t="s">
        <v>925</v>
      </c>
    </row>
    <row r="237" spans="1:7">
      <c r="A237" s="106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925</v>
      </c>
    </row>
    <row r="238" spans="1:7">
      <c r="A238" s="106"/>
      <c r="B238" s="29" t="s">
        <v>248</v>
      </c>
      <c r="C238" s="15"/>
      <c r="D238" s="16" t="s">
        <v>573</v>
      </c>
      <c r="F238" s="8">
        <f t="shared" ref="F238:F244" si="19" xml:space="preserve"> 1/ROWS(B238:B245)</f>
        <v>0.125</v>
      </c>
      <c r="G238" s="73" t="s">
        <v>925</v>
      </c>
    </row>
    <row r="239" spans="1:7">
      <c r="A239" s="106"/>
      <c r="B239" s="29" t="s">
        <v>252</v>
      </c>
      <c r="C239" s="15"/>
      <c r="D239" s="16" t="s">
        <v>574</v>
      </c>
      <c r="F239" s="8">
        <f t="shared" si="19"/>
        <v>0.125</v>
      </c>
      <c r="G239" s="73" t="s">
        <v>925</v>
      </c>
    </row>
    <row r="240" spans="1:7">
      <c r="A240" s="106"/>
      <c r="B240" s="29" t="s">
        <v>254</v>
      </c>
      <c r="C240" s="15"/>
      <c r="D240" s="16" t="s">
        <v>575</v>
      </c>
      <c r="F240" s="8">
        <f t="shared" si="19"/>
        <v>0.125</v>
      </c>
      <c r="G240" s="73" t="s">
        <v>925</v>
      </c>
    </row>
    <row r="241" spans="1:7">
      <c r="A241" s="106"/>
      <c r="B241" s="29" t="s">
        <v>251</v>
      </c>
      <c r="C241" s="32"/>
      <c r="D241" s="16" t="s">
        <v>576</v>
      </c>
      <c r="F241" s="8">
        <f t="shared" si="19"/>
        <v>0.125</v>
      </c>
      <c r="G241" s="73" t="s">
        <v>925</v>
      </c>
    </row>
    <row r="242" spans="1:7">
      <c r="A242" s="106"/>
      <c r="B242" s="29" t="s">
        <v>253</v>
      </c>
      <c r="C242" s="15"/>
      <c r="D242" s="16" t="s">
        <v>577</v>
      </c>
      <c r="F242" s="8">
        <f t="shared" si="19"/>
        <v>0.125</v>
      </c>
      <c r="G242" s="73" t="s">
        <v>925</v>
      </c>
    </row>
    <row r="243" spans="1:7">
      <c r="A243" s="106"/>
      <c r="B243" s="29" t="s">
        <v>250</v>
      </c>
      <c r="C243" s="15"/>
      <c r="D243" s="16" t="s">
        <v>578</v>
      </c>
      <c r="F243" s="8">
        <f t="shared" si="19"/>
        <v>0.125</v>
      </c>
      <c r="G243" s="73" t="s">
        <v>925</v>
      </c>
    </row>
    <row r="244" spans="1:7">
      <c r="A244" s="106"/>
      <c r="B244" s="29" t="s">
        <v>249</v>
      </c>
      <c r="C244" s="15"/>
      <c r="D244" s="16" t="s">
        <v>579</v>
      </c>
      <c r="F244" s="8">
        <f t="shared" si="19"/>
        <v>0.125</v>
      </c>
      <c r="G244" s="73" t="s">
        <v>925</v>
      </c>
    </row>
    <row r="245" spans="1:7">
      <c r="A245" s="106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925</v>
      </c>
    </row>
    <row r="246" spans="1:7" ht="29.25">
      <c r="A246" s="106"/>
      <c r="B246" s="29" t="s">
        <v>268</v>
      </c>
      <c r="C246" s="15"/>
      <c r="D246" s="16" t="s">
        <v>581</v>
      </c>
      <c r="F246" s="8">
        <f t="shared" ref="F246:F252" si="20" xml:space="preserve"> 1/ROWS(B246:B286)</f>
        <v>2.4390243902439025E-2</v>
      </c>
      <c r="G246" s="73" t="s">
        <v>925</v>
      </c>
    </row>
    <row r="247" spans="1:7">
      <c r="A247" s="106"/>
      <c r="B247" s="29" t="s">
        <v>280</v>
      </c>
      <c r="C247" s="15"/>
      <c r="D247" s="16" t="s">
        <v>582</v>
      </c>
      <c r="F247" s="8">
        <f t="shared" si="20"/>
        <v>2.4390243902439025E-2</v>
      </c>
      <c r="G247" s="73" t="s">
        <v>925</v>
      </c>
    </row>
    <row r="248" spans="1:7">
      <c r="A248" s="106"/>
      <c r="B248" s="29" t="s">
        <v>270</v>
      </c>
      <c r="C248" s="15"/>
      <c r="D248" s="16" t="s">
        <v>583</v>
      </c>
      <c r="F248" s="8">
        <f t="shared" si="20"/>
        <v>2.4390243902439025E-2</v>
      </c>
      <c r="G248" s="73" t="s">
        <v>925</v>
      </c>
    </row>
    <row r="249" spans="1:7">
      <c r="A249" s="106"/>
      <c r="B249" s="29" t="s">
        <v>285</v>
      </c>
      <c r="C249" s="15"/>
      <c r="D249" s="16" t="s">
        <v>584</v>
      </c>
      <c r="F249" s="8">
        <f t="shared" si="20"/>
        <v>2.4390243902439025E-2</v>
      </c>
      <c r="G249" s="73" t="s">
        <v>925</v>
      </c>
    </row>
    <row r="250" spans="1:7">
      <c r="A250" s="106"/>
      <c r="B250" s="29" t="s">
        <v>264</v>
      </c>
      <c r="C250" s="15"/>
      <c r="D250" s="16" t="s">
        <v>585</v>
      </c>
      <c r="F250" s="8">
        <f t="shared" si="20"/>
        <v>2.4390243902439025E-2</v>
      </c>
      <c r="G250" s="73" t="s">
        <v>925</v>
      </c>
    </row>
    <row r="251" spans="1:7">
      <c r="A251" s="106"/>
      <c r="B251" s="29" t="s">
        <v>269</v>
      </c>
      <c r="C251" s="15"/>
      <c r="D251" s="16" t="s">
        <v>586</v>
      </c>
      <c r="F251" s="8">
        <f t="shared" si="20"/>
        <v>2.4390243902439025E-2</v>
      </c>
      <c r="G251" s="73" t="s">
        <v>925</v>
      </c>
    </row>
    <row r="252" spans="1:7" ht="29.25">
      <c r="A252" s="106"/>
      <c r="B252" s="29" t="s">
        <v>277</v>
      </c>
      <c r="C252" s="15"/>
      <c r="D252" s="16" t="s">
        <v>587</v>
      </c>
      <c r="F252" s="8">
        <f t="shared" si="20"/>
        <v>2.4390243902439025E-2</v>
      </c>
      <c r="G252" s="73" t="s">
        <v>925</v>
      </c>
    </row>
    <row r="253" spans="1:7">
      <c r="A253" s="106"/>
      <c r="B253" s="29" t="s">
        <v>295</v>
      </c>
      <c r="C253" s="15"/>
      <c r="D253" s="16" t="s">
        <v>588</v>
      </c>
      <c r="F253" s="8">
        <f t="shared" ref="F253:F285" si="21" xml:space="preserve"> 1/ROWS(B253:B297)</f>
        <v>2.2222222222222223E-2</v>
      </c>
      <c r="G253" s="73" t="s">
        <v>925</v>
      </c>
    </row>
    <row r="254" spans="1:7">
      <c r="A254" s="106"/>
      <c r="B254" s="29" t="s">
        <v>266</v>
      </c>
      <c r="C254" s="15"/>
      <c r="D254" s="16" t="s">
        <v>589</v>
      </c>
      <c r="F254" s="8">
        <f t="shared" si="21"/>
        <v>2.2222222222222223E-2</v>
      </c>
      <c r="G254" s="73" t="s">
        <v>925</v>
      </c>
    </row>
    <row r="255" spans="1:7">
      <c r="A255" s="106"/>
      <c r="B255" s="29" t="s">
        <v>263</v>
      </c>
      <c r="C255" s="15"/>
      <c r="D255" s="16" t="s">
        <v>590</v>
      </c>
      <c r="F255" s="8">
        <f t="shared" si="21"/>
        <v>2.2222222222222223E-2</v>
      </c>
      <c r="G255" s="73" t="s">
        <v>925</v>
      </c>
    </row>
    <row r="256" spans="1:7">
      <c r="A256" s="106"/>
      <c r="B256" s="29" t="s">
        <v>279</v>
      </c>
      <c r="C256" s="15"/>
      <c r="D256" s="16" t="s">
        <v>591</v>
      </c>
      <c r="F256" s="8">
        <f t="shared" si="21"/>
        <v>2.2222222222222223E-2</v>
      </c>
      <c r="G256" s="73" t="s">
        <v>925</v>
      </c>
    </row>
    <row r="257" spans="1:7" ht="29.25">
      <c r="A257" s="106"/>
      <c r="B257" s="29" t="s">
        <v>272</v>
      </c>
      <c r="C257" s="15"/>
      <c r="D257" s="16" t="s">
        <v>592</v>
      </c>
      <c r="F257" s="8">
        <f t="shared" si="21"/>
        <v>2.2222222222222223E-2</v>
      </c>
      <c r="G257" s="73" t="s">
        <v>925</v>
      </c>
    </row>
    <row r="258" spans="1:7">
      <c r="A258" s="106"/>
      <c r="B258" s="29" t="s">
        <v>271</v>
      </c>
      <c r="C258" s="15"/>
      <c r="D258" s="16" t="s">
        <v>593</v>
      </c>
      <c r="F258" s="8">
        <f t="shared" si="21"/>
        <v>2.2222222222222223E-2</v>
      </c>
      <c r="G258" s="73" t="s">
        <v>925</v>
      </c>
    </row>
    <row r="259" spans="1:7" ht="29.25">
      <c r="A259" s="106"/>
      <c r="B259" s="29" t="s">
        <v>275</v>
      </c>
      <c r="C259" s="15"/>
      <c r="D259" s="16" t="s">
        <v>594</v>
      </c>
      <c r="F259" s="8">
        <f t="shared" si="21"/>
        <v>2.2222222222222223E-2</v>
      </c>
      <c r="G259" s="73" t="s">
        <v>925</v>
      </c>
    </row>
    <row r="260" spans="1:7">
      <c r="A260" s="106"/>
      <c r="B260" s="29" t="s">
        <v>267</v>
      </c>
      <c r="C260" s="15"/>
      <c r="D260" s="16" t="s">
        <v>595</v>
      </c>
      <c r="F260" s="8">
        <f t="shared" si="21"/>
        <v>2.2222222222222223E-2</v>
      </c>
      <c r="G260" s="73" t="s">
        <v>925</v>
      </c>
    </row>
    <row r="261" spans="1:7">
      <c r="A261" s="106"/>
      <c r="B261" s="29" t="s">
        <v>274</v>
      </c>
      <c r="C261" s="15"/>
      <c r="D261" s="16" t="s">
        <v>596</v>
      </c>
      <c r="F261" s="8">
        <f t="shared" si="21"/>
        <v>2.2222222222222223E-2</v>
      </c>
      <c r="G261" s="73" t="s">
        <v>925</v>
      </c>
    </row>
    <row r="262" spans="1:7">
      <c r="A262" s="106"/>
      <c r="B262" s="29" t="s">
        <v>282</v>
      </c>
      <c r="C262" s="15"/>
      <c r="D262" s="16" t="s">
        <v>597</v>
      </c>
      <c r="F262" s="8">
        <f t="shared" si="21"/>
        <v>2.2222222222222223E-2</v>
      </c>
      <c r="G262" s="73" t="s">
        <v>925</v>
      </c>
    </row>
    <row r="263" spans="1:7">
      <c r="A263" s="106"/>
      <c r="B263" s="29" t="s">
        <v>287</v>
      </c>
      <c r="C263" s="15"/>
      <c r="D263" s="16" t="s">
        <v>598</v>
      </c>
      <c r="F263" s="8">
        <f t="shared" si="21"/>
        <v>2.2222222222222223E-2</v>
      </c>
      <c r="G263" s="73" t="s">
        <v>925</v>
      </c>
    </row>
    <row r="264" spans="1:7">
      <c r="A264" s="106"/>
      <c r="B264" s="29" t="s">
        <v>265</v>
      </c>
      <c r="C264" s="15"/>
      <c r="D264" s="16" t="s">
        <v>599</v>
      </c>
      <c r="F264" s="8">
        <f t="shared" si="21"/>
        <v>2.2222222222222223E-2</v>
      </c>
      <c r="G264" s="73" t="s">
        <v>925</v>
      </c>
    </row>
    <row r="265" spans="1:7">
      <c r="A265" s="106"/>
      <c r="B265" s="29" t="s">
        <v>293</v>
      </c>
      <c r="C265" s="15"/>
      <c r="D265" s="16" t="s">
        <v>600</v>
      </c>
      <c r="F265" s="8">
        <f t="shared" si="21"/>
        <v>2.2222222222222223E-2</v>
      </c>
      <c r="G265" s="73" t="s">
        <v>925</v>
      </c>
    </row>
    <row r="266" spans="1:7">
      <c r="A266" s="106"/>
      <c r="B266" s="29" t="s">
        <v>292</v>
      </c>
      <c r="C266" s="15"/>
      <c r="D266" s="16" t="s">
        <v>601</v>
      </c>
      <c r="F266" s="8">
        <f t="shared" si="21"/>
        <v>2.2222222222222223E-2</v>
      </c>
      <c r="G266" s="73" t="s">
        <v>925</v>
      </c>
    </row>
    <row r="267" spans="1:7" ht="29.25">
      <c r="A267" s="106"/>
      <c r="B267" s="29" t="s">
        <v>291</v>
      </c>
      <c r="C267" s="15"/>
      <c r="D267" s="16" t="s">
        <v>602</v>
      </c>
      <c r="F267" s="8">
        <f t="shared" si="21"/>
        <v>2.2222222222222223E-2</v>
      </c>
      <c r="G267" s="73" t="s">
        <v>925</v>
      </c>
    </row>
    <row r="268" spans="1:7">
      <c r="A268" s="106"/>
      <c r="B268" s="29" t="s">
        <v>290</v>
      </c>
      <c r="C268" s="15"/>
      <c r="D268" s="16" t="s">
        <v>603</v>
      </c>
      <c r="F268" s="8">
        <f t="shared" si="21"/>
        <v>2.2222222222222223E-2</v>
      </c>
      <c r="G268" s="73" t="s">
        <v>925</v>
      </c>
    </row>
    <row r="269" spans="1:7" ht="29.25">
      <c r="A269" s="106"/>
      <c r="B269" s="29" t="s">
        <v>289</v>
      </c>
      <c r="C269" s="15"/>
      <c r="D269" s="16" t="s">
        <v>604</v>
      </c>
      <c r="F269" s="8">
        <f t="shared" si="21"/>
        <v>2.2222222222222223E-2</v>
      </c>
      <c r="G269" s="73" t="s">
        <v>925</v>
      </c>
    </row>
    <row r="270" spans="1:7" ht="29.25">
      <c r="A270" s="106"/>
      <c r="B270" s="29" t="s">
        <v>286</v>
      </c>
      <c r="C270" s="15"/>
      <c r="D270" s="16" t="s">
        <v>605</v>
      </c>
      <c r="F270" s="8">
        <f t="shared" si="21"/>
        <v>2.2222222222222223E-2</v>
      </c>
      <c r="G270" s="73" t="s">
        <v>925</v>
      </c>
    </row>
    <row r="271" spans="1:7">
      <c r="A271" s="106"/>
      <c r="B271" s="29" t="s">
        <v>283</v>
      </c>
      <c r="C271" s="15"/>
      <c r="D271" s="16" t="s">
        <v>606</v>
      </c>
      <c r="F271" s="8">
        <f t="shared" si="21"/>
        <v>2.2222222222222223E-2</v>
      </c>
      <c r="G271" s="73" t="s">
        <v>925</v>
      </c>
    </row>
    <row r="272" spans="1:7">
      <c r="A272" s="106"/>
      <c r="B272" s="29" t="s">
        <v>276</v>
      </c>
      <c r="C272" s="15"/>
      <c r="D272" s="16" t="s">
        <v>607</v>
      </c>
      <c r="F272" s="8">
        <f t="shared" si="21"/>
        <v>2.2222222222222223E-2</v>
      </c>
      <c r="G272" s="73" t="s">
        <v>925</v>
      </c>
    </row>
    <row r="273" spans="1:7">
      <c r="A273" s="106"/>
      <c r="B273" s="29" t="s">
        <v>273</v>
      </c>
      <c r="C273" s="15"/>
      <c r="D273" s="16" t="s">
        <v>608</v>
      </c>
      <c r="F273" s="8">
        <f t="shared" si="21"/>
        <v>2.2222222222222223E-2</v>
      </c>
      <c r="G273" s="73" t="s">
        <v>925</v>
      </c>
    </row>
    <row r="274" spans="1:7" ht="29.25">
      <c r="A274" s="106"/>
      <c r="B274" s="29" t="s">
        <v>288</v>
      </c>
      <c r="C274" s="15"/>
      <c r="D274" s="16" t="s">
        <v>609</v>
      </c>
      <c r="F274" s="8">
        <f t="shared" si="21"/>
        <v>2.2222222222222223E-2</v>
      </c>
      <c r="G274" s="73" t="s">
        <v>925</v>
      </c>
    </row>
    <row r="275" spans="1:7">
      <c r="A275" s="106"/>
      <c r="B275" s="29" t="s">
        <v>284</v>
      </c>
      <c r="C275" s="15"/>
      <c r="D275" s="16" t="s">
        <v>610</v>
      </c>
      <c r="F275" s="8">
        <f t="shared" si="21"/>
        <v>2.2222222222222223E-2</v>
      </c>
      <c r="G275" s="73" t="s">
        <v>925</v>
      </c>
    </row>
    <row r="276" spans="1:7">
      <c r="A276" s="106"/>
      <c r="B276" s="29" t="s">
        <v>281</v>
      </c>
      <c r="C276" s="15"/>
      <c r="D276" s="16" t="s">
        <v>611</v>
      </c>
      <c r="F276" s="8">
        <f t="shared" si="21"/>
        <v>2.2222222222222223E-2</v>
      </c>
      <c r="G276" s="73" t="s">
        <v>925</v>
      </c>
    </row>
    <row r="277" spans="1:7">
      <c r="A277" s="106"/>
      <c r="B277" s="29" t="s">
        <v>278</v>
      </c>
      <c r="C277" s="15"/>
      <c r="D277" s="16" t="s">
        <v>612</v>
      </c>
      <c r="F277" s="8">
        <f t="shared" si="21"/>
        <v>2.2222222222222223E-2</v>
      </c>
      <c r="G277" s="73" t="s">
        <v>925</v>
      </c>
    </row>
    <row r="278" spans="1:7">
      <c r="A278" s="106"/>
      <c r="B278" s="29" t="s">
        <v>255</v>
      </c>
      <c r="C278" s="15"/>
      <c r="D278" s="16" t="s">
        <v>613</v>
      </c>
      <c r="F278" s="8">
        <f t="shared" si="21"/>
        <v>2.2222222222222223E-2</v>
      </c>
      <c r="G278" s="73" t="s">
        <v>925</v>
      </c>
    </row>
    <row r="279" spans="1:7">
      <c r="A279" s="106"/>
      <c r="B279" s="29" t="s">
        <v>256</v>
      </c>
      <c r="C279" s="15"/>
      <c r="D279" s="16" t="s">
        <v>614</v>
      </c>
      <c r="F279" s="8">
        <f t="shared" si="21"/>
        <v>2.2222222222222223E-2</v>
      </c>
      <c r="G279" s="73" t="s">
        <v>925</v>
      </c>
    </row>
    <row r="280" spans="1:7">
      <c r="A280" s="106"/>
      <c r="B280" s="29" t="s">
        <v>261</v>
      </c>
      <c r="C280" s="15"/>
      <c r="D280" s="16" t="s">
        <v>615</v>
      </c>
      <c r="F280" s="8">
        <f t="shared" si="21"/>
        <v>2.2222222222222223E-2</v>
      </c>
      <c r="G280" s="73" t="s">
        <v>925</v>
      </c>
    </row>
    <row r="281" spans="1:7">
      <c r="A281" s="106"/>
      <c r="B281" s="29" t="s">
        <v>259</v>
      </c>
      <c r="C281" s="15"/>
      <c r="D281" s="16" t="s">
        <v>616</v>
      </c>
      <c r="F281" s="8">
        <f t="shared" si="21"/>
        <v>2.2222222222222223E-2</v>
      </c>
      <c r="G281" s="73" t="s">
        <v>925</v>
      </c>
    </row>
    <row r="282" spans="1:7">
      <c r="A282" s="106"/>
      <c r="B282" s="29" t="s">
        <v>260</v>
      </c>
      <c r="C282" s="31"/>
      <c r="D282" s="16" t="s">
        <v>617</v>
      </c>
      <c r="F282" s="8">
        <f t="shared" si="21"/>
        <v>2.2222222222222223E-2</v>
      </c>
      <c r="G282" s="73" t="s">
        <v>925</v>
      </c>
    </row>
    <row r="283" spans="1:7">
      <c r="A283" s="106"/>
      <c r="B283" s="29" t="s">
        <v>258</v>
      </c>
      <c r="C283" s="15"/>
      <c r="D283" s="16" t="s">
        <v>618</v>
      </c>
      <c r="F283" s="8">
        <f t="shared" si="21"/>
        <v>2.2222222222222223E-2</v>
      </c>
      <c r="G283" s="73" t="s">
        <v>925</v>
      </c>
    </row>
    <row r="284" spans="1:7">
      <c r="A284" s="106"/>
      <c r="B284" s="29" t="s">
        <v>257</v>
      </c>
      <c r="C284" s="15"/>
      <c r="D284" s="16" t="s">
        <v>619</v>
      </c>
      <c r="F284" s="8">
        <f t="shared" si="21"/>
        <v>2.2222222222222223E-2</v>
      </c>
      <c r="G284" s="73" t="s">
        <v>925</v>
      </c>
    </row>
    <row r="285" spans="1:7">
      <c r="A285" s="106"/>
      <c r="B285" s="29" t="s">
        <v>262</v>
      </c>
      <c r="C285" s="15"/>
      <c r="D285" s="16" t="s">
        <v>620</v>
      </c>
      <c r="F285" s="8">
        <f t="shared" si="21"/>
        <v>2.2222222222222223E-2</v>
      </c>
      <c r="G285" s="73" t="s">
        <v>925</v>
      </c>
    </row>
    <row r="286" spans="1:7">
      <c r="A286" s="106" t="s">
        <v>27</v>
      </c>
      <c r="B286" s="21" t="s">
        <v>298</v>
      </c>
      <c r="D286" s="19" t="s">
        <v>628</v>
      </c>
      <c r="F286" s="8">
        <f xml:space="preserve"> 1/ROWS(B286:B296)</f>
        <v>9.0909090909090912E-2</v>
      </c>
      <c r="G286" s="73" t="s">
        <v>925</v>
      </c>
    </row>
    <row r="287" spans="1:7">
      <c r="A287" s="106"/>
      <c r="B287" s="19" t="s">
        <v>297</v>
      </c>
      <c r="D287" s="19" t="s">
        <v>629</v>
      </c>
      <c r="F287" s="8">
        <f t="shared" ref="F287:F296" si="22" xml:space="preserve"> 1/ROWS(B287:B297)</f>
        <v>9.0909090909090912E-2</v>
      </c>
      <c r="G287" s="73" t="s">
        <v>925</v>
      </c>
    </row>
    <row r="288" spans="1:7">
      <c r="A288" s="106"/>
      <c r="B288" s="19" t="s">
        <v>299</v>
      </c>
      <c r="D288" s="19" t="s">
        <v>630</v>
      </c>
      <c r="F288" s="8">
        <f t="shared" si="22"/>
        <v>9.0909090909090912E-2</v>
      </c>
      <c r="G288" s="73" t="s">
        <v>925</v>
      </c>
    </row>
    <row r="289" spans="1:7">
      <c r="A289" s="106"/>
      <c r="B289" s="29" t="s">
        <v>624</v>
      </c>
      <c r="D289" s="19" t="s">
        <v>631</v>
      </c>
      <c r="F289" s="8">
        <f t="shared" si="22"/>
        <v>9.0909090909090912E-2</v>
      </c>
      <c r="G289" s="73" t="s">
        <v>925</v>
      </c>
    </row>
    <row r="290" spans="1:7">
      <c r="A290" s="106"/>
      <c r="B290" s="21" t="s">
        <v>625</v>
      </c>
      <c r="D290" s="19" t="s">
        <v>632</v>
      </c>
      <c r="F290" s="8">
        <f t="shared" si="22"/>
        <v>9.0909090909090912E-2</v>
      </c>
      <c r="G290" s="73" t="s">
        <v>925</v>
      </c>
    </row>
    <row r="291" spans="1:7">
      <c r="A291" s="106"/>
      <c r="B291" s="21" t="s">
        <v>626</v>
      </c>
      <c r="D291" s="19" t="s">
        <v>633</v>
      </c>
      <c r="F291" s="8">
        <f t="shared" si="22"/>
        <v>9.0909090909090912E-2</v>
      </c>
      <c r="G291" s="73" t="s">
        <v>925</v>
      </c>
    </row>
    <row r="292" spans="1:7">
      <c r="A292" s="106"/>
      <c r="B292" s="21" t="s">
        <v>627</v>
      </c>
      <c r="D292" s="19" t="s">
        <v>634</v>
      </c>
      <c r="F292" s="8">
        <f t="shared" si="22"/>
        <v>9.0909090909090912E-2</v>
      </c>
      <c r="G292" s="73" t="s">
        <v>925</v>
      </c>
    </row>
    <row r="293" spans="1:7">
      <c r="A293" s="106"/>
      <c r="B293" s="12" t="s">
        <v>302</v>
      </c>
      <c r="D293" s="19"/>
      <c r="F293" s="8">
        <f t="shared" si="22"/>
        <v>9.0909090909090912E-2</v>
      </c>
      <c r="G293" s="73" t="s">
        <v>925</v>
      </c>
    </row>
    <row r="294" spans="1:7">
      <c r="A294" s="106"/>
      <c r="B294" s="12" t="s">
        <v>301</v>
      </c>
      <c r="D294" s="19"/>
      <c r="F294" s="8">
        <f t="shared" si="22"/>
        <v>9.0909090909090912E-2</v>
      </c>
      <c r="G294" s="73" t="s">
        <v>925</v>
      </c>
    </row>
    <row r="295" spans="1:7">
      <c r="A295" s="106"/>
      <c r="B295" s="12" t="s">
        <v>300</v>
      </c>
      <c r="D295" s="19"/>
      <c r="F295" s="8">
        <f t="shared" si="22"/>
        <v>9.0909090909090912E-2</v>
      </c>
      <c r="G295" s="73" t="s">
        <v>925</v>
      </c>
    </row>
    <row r="296" spans="1:7">
      <c r="A296" s="106"/>
      <c r="B296" s="12" t="s">
        <v>296</v>
      </c>
      <c r="D296" s="19"/>
      <c r="F296" s="8">
        <f t="shared" si="22"/>
        <v>9.0909090909090912E-2</v>
      </c>
      <c r="G296" s="73" t="s">
        <v>925</v>
      </c>
    </row>
    <row r="297" spans="1:7">
      <c r="A297" s="106" t="s">
        <v>635</v>
      </c>
      <c r="B297" s="21" t="s">
        <v>305</v>
      </c>
      <c r="C297" s="20"/>
      <c r="D297" s="21" t="s">
        <v>636</v>
      </c>
      <c r="F297" s="8">
        <f xml:space="preserve"> 1/ROWS(B297:B303)</f>
        <v>0.14285714285714285</v>
      </c>
      <c r="G297" s="73" t="s">
        <v>925</v>
      </c>
    </row>
    <row r="298" spans="1:7">
      <c r="A298" s="106"/>
      <c r="B298" s="21" t="s">
        <v>307</v>
      </c>
      <c r="C298" s="20"/>
      <c r="D298" s="21" t="s">
        <v>637</v>
      </c>
      <c r="F298" s="8">
        <f t="shared" ref="F298:F303" si="23" xml:space="preserve"> 1/ROWS(B298:B304)</f>
        <v>0.14285714285714285</v>
      </c>
      <c r="G298" s="73" t="s">
        <v>925</v>
      </c>
    </row>
    <row r="299" spans="1:7">
      <c r="A299" s="106"/>
      <c r="B299" s="21" t="s">
        <v>309</v>
      </c>
      <c r="C299" s="20"/>
      <c r="D299" s="21" t="s">
        <v>638</v>
      </c>
      <c r="F299" s="8">
        <f t="shared" si="23"/>
        <v>0.14285714285714285</v>
      </c>
      <c r="G299" s="73" t="s">
        <v>925</v>
      </c>
    </row>
    <row r="300" spans="1:7">
      <c r="A300" s="106"/>
      <c r="B300" s="21" t="s">
        <v>303</v>
      </c>
      <c r="C300" s="20"/>
      <c r="D300" s="21" t="s">
        <v>639</v>
      </c>
      <c r="F300" s="8">
        <f t="shared" si="23"/>
        <v>0.14285714285714285</v>
      </c>
      <c r="G300" s="73" t="s">
        <v>925</v>
      </c>
    </row>
    <row r="301" spans="1:7">
      <c r="A301" s="106"/>
      <c r="B301" s="21" t="s">
        <v>308</v>
      </c>
      <c r="C301" s="20"/>
      <c r="D301" s="21" t="s">
        <v>640</v>
      </c>
      <c r="F301" s="8">
        <f t="shared" si="23"/>
        <v>0.14285714285714285</v>
      </c>
      <c r="G301" s="73" t="s">
        <v>925</v>
      </c>
    </row>
    <row r="302" spans="1:7">
      <c r="A302" s="106"/>
      <c r="B302" s="21" t="s">
        <v>304</v>
      </c>
      <c r="C302" s="20"/>
      <c r="D302" s="21" t="s">
        <v>641</v>
      </c>
      <c r="F302" s="8">
        <f t="shared" si="23"/>
        <v>0.14285714285714285</v>
      </c>
      <c r="G302" s="73" t="s">
        <v>925</v>
      </c>
    </row>
    <row r="303" spans="1:7">
      <c r="A303" s="106"/>
      <c r="B303" s="21" t="s">
        <v>306</v>
      </c>
      <c r="C303" s="20"/>
      <c r="D303" s="21" t="s">
        <v>642</v>
      </c>
      <c r="F303" s="8">
        <f t="shared" si="23"/>
        <v>0.14285714285714285</v>
      </c>
      <c r="G303" s="73" t="s">
        <v>925</v>
      </c>
    </row>
    <row r="304" spans="1:7">
      <c r="A304" s="26" t="s">
        <v>28</v>
      </c>
      <c r="B304" s="33" t="s">
        <v>310</v>
      </c>
      <c r="C304" s="34"/>
      <c r="D304" s="33" t="s">
        <v>643</v>
      </c>
      <c r="F304" s="8">
        <v>1</v>
      </c>
      <c r="G304" s="73" t="s">
        <v>925</v>
      </c>
    </row>
    <row r="305" spans="1:7">
      <c r="A305" s="24" t="s">
        <v>29</v>
      </c>
      <c r="B305" s="19" t="s">
        <v>311</v>
      </c>
      <c r="C305" s="16"/>
      <c r="D305" s="16" t="s">
        <v>644</v>
      </c>
      <c r="F305" s="8">
        <v>1</v>
      </c>
      <c r="G305" s="73" t="s">
        <v>925</v>
      </c>
    </row>
    <row r="306" spans="1:7">
      <c r="A306" s="106" t="s">
        <v>30</v>
      </c>
      <c r="B306" s="19" t="s">
        <v>33</v>
      </c>
      <c r="C306" s="16"/>
      <c r="D306" s="19" t="s">
        <v>645</v>
      </c>
      <c r="F306" s="8">
        <f xml:space="preserve"> 1/ROWS(B306:B308)</f>
        <v>0.33333333333333331</v>
      </c>
      <c r="G306" s="73" t="s">
        <v>925</v>
      </c>
    </row>
    <row r="307" spans="1:7">
      <c r="A307" s="106"/>
      <c r="B307" s="19" t="s">
        <v>34</v>
      </c>
      <c r="C307" s="16"/>
      <c r="D307" s="19" t="s">
        <v>646</v>
      </c>
      <c r="F307" s="8">
        <f t="shared" ref="F307:F308" si="24" xml:space="preserve"> 1/ROWS(B307:B309)</f>
        <v>0.33333333333333331</v>
      </c>
      <c r="G307" s="73" t="s">
        <v>925</v>
      </c>
    </row>
    <row r="308" spans="1:7">
      <c r="A308" s="106"/>
      <c r="B308" s="19" t="s">
        <v>35</v>
      </c>
      <c r="C308" s="16"/>
      <c r="D308" s="19" t="s">
        <v>647</v>
      </c>
      <c r="F308" s="8">
        <f t="shared" si="24"/>
        <v>0.33333333333333331</v>
      </c>
      <c r="G308" s="73" t="s">
        <v>925</v>
      </c>
    </row>
    <row r="309" spans="1:7">
      <c r="A309" s="106" t="s">
        <v>31</v>
      </c>
      <c r="B309" s="19" t="s">
        <v>315</v>
      </c>
      <c r="C309" s="16"/>
      <c r="D309" s="19" t="s">
        <v>648</v>
      </c>
      <c r="F309" s="8">
        <f xml:space="preserve"> 1/ROWS(B309:B312)</f>
        <v>0.25</v>
      </c>
      <c r="G309" s="73" t="s">
        <v>925</v>
      </c>
    </row>
    <row r="310" spans="1:7">
      <c r="A310" s="106"/>
      <c r="B310" s="19" t="s">
        <v>314</v>
      </c>
      <c r="C310" s="16"/>
      <c r="D310" s="19" t="s">
        <v>649</v>
      </c>
      <c r="F310" s="8">
        <f t="shared" ref="F310:F312" si="25" xml:space="preserve"> 1/ROWS(B310:B313)</f>
        <v>0.25</v>
      </c>
      <c r="G310" s="73" t="s">
        <v>925</v>
      </c>
    </row>
    <row r="311" spans="1:7" ht="29.25">
      <c r="A311" s="106"/>
      <c r="B311" s="19" t="s">
        <v>313</v>
      </c>
      <c r="C311" s="16"/>
      <c r="D311" s="16" t="s">
        <v>650</v>
      </c>
      <c r="F311" s="8">
        <f t="shared" si="25"/>
        <v>0.25</v>
      </c>
      <c r="G311" s="73" t="s">
        <v>925</v>
      </c>
    </row>
    <row r="312" spans="1:7">
      <c r="A312" s="106"/>
      <c r="B312" s="19" t="s">
        <v>312</v>
      </c>
      <c r="C312" s="16"/>
      <c r="D312" s="16" t="s">
        <v>651</v>
      </c>
      <c r="F312" s="8">
        <f t="shared" si="25"/>
        <v>0.25</v>
      </c>
      <c r="G312" s="73" t="s">
        <v>925</v>
      </c>
    </row>
    <row r="313" spans="1:7">
      <c r="A313" s="26" t="s">
        <v>32</v>
      </c>
      <c r="B313" s="19" t="s">
        <v>1015</v>
      </c>
      <c r="F313" s="8">
        <v>1</v>
      </c>
      <c r="G313" s="73" t="s">
        <v>925</v>
      </c>
    </row>
    <row r="314" spans="1:7">
      <c r="A314" s="96" t="s">
        <v>1026</v>
      </c>
      <c r="B314" s="19" t="s">
        <v>654</v>
      </c>
      <c r="D314" s="3" t="s">
        <v>1026</v>
      </c>
      <c r="F314" s="8">
        <v>1</v>
      </c>
      <c r="G314" s="73" t="s">
        <v>925</v>
      </c>
    </row>
    <row r="315" spans="1:7">
      <c r="A315" s="26" t="s">
        <v>933</v>
      </c>
      <c r="B315" s="19" t="s">
        <v>653</v>
      </c>
      <c r="D315" s="3" t="s">
        <v>652</v>
      </c>
      <c r="F315" s="8">
        <v>1</v>
      </c>
      <c r="G315" s="73" t="s">
        <v>925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4CC0-A206-477A-909C-A584B7B4758F}">
  <dimension ref="A1:J315"/>
  <sheetViews>
    <sheetView workbookViewId="0"/>
    <sheetView topLeftCell="A279"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655</v>
      </c>
      <c r="E1" s="22" t="s">
        <v>1019</v>
      </c>
      <c r="F1" s="23" t="s">
        <v>1020</v>
      </c>
      <c r="G1" s="1" t="s">
        <v>927</v>
      </c>
      <c r="H1" s="1"/>
      <c r="I1" s="1"/>
    </row>
    <row r="2" spans="1:10" ht="29.25">
      <c r="A2" s="106" t="s">
        <v>3</v>
      </c>
      <c r="B2" s="29" t="s">
        <v>36</v>
      </c>
      <c r="C2" s="15"/>
      <c r="D2" s="16" t="s">
        <v>621</v>
      </c>
      <c r="F2" s="8">
        <f t="shared" ref="F2:F12" si="0">1/ROWS(B2:B12)</f>
        <v>9.0909090909090912E-2</v>
      </c>
      <c r="G2" s="73" t="s">
        <v>925</v>
      </c>
      <c r="J2" s="14"/>
    </row>
    <row r="3" spans="1:10">
      <c r="A3" s="106"/>
      <c r="B3" s="29" t="s">
        <v>46</v>
      </c>
      <c r="C3" s="15"/>
      <c r="D3" s="16" t="s">
        <v>316</v>
      </c>
      <c r="F3" s="8">
        <f t="shared" si="0"/>
        <v>9.0909090909090912E-2</v>
      </c>
      <c r="G3" s="73" t="s">
        <v>925</v>
      </c>
      <c r="H3" s="17"/>
      <c r="J3" s="14"/>
    </row>
    <row r="4" spans="1:10">
      <c r="A4" s="106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925</v>
      </c>
      <c r="J4" s="14"/>
    </row>
    <row r="5" spans="1:10">
      <c r="A5" s="106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925</v>
      </c>
      <c r="J5" s="14"/>
    </row>
    <row r="6" spans="1:10">
      <c r="A6" s="106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925</v>
      </c>
      <c r="J6" s="14"/>
    </row>
    <row r="7" spans="1:10">
      <c r="A7" s="106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925</v>
      </c>
      <c r="J7" s="14"/>
    </row>
    <row r="8" spans="1:10">
      <c r="A8" s="106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925</v>
      </c>
      <c r="J8" s="14"/>
    </row>
    <row r="9" spans="1:10">
      <c r="A9" s="106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925</v>
      </c>
      <c r="J9" s="14"/>
    </row>
    <row r="10" spans="1:10">
      <c r="A10" s="106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925</v>
      </c>
      <c r="J10" s="14"/>
    </row>
    <row r="11" spans="1:10">
      <c r="A11" s="106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925</v>
      </c>
      <c r="J11" s="14"/>
    </row>
    <row r="12" spans="1:10">
      <c r="A12" s="106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925</v>
      </c>
      <c r="J12" s="14"/>
    </row>
    <row r="13" spans="1:10">
      <c r="A13" s="106" t="s">
        <v>4</v>
      </c>
      <c r="B13" s="29" t="s">
        <v>47</v>
      </c>
      <c r="C13" s="15"/>
      <c r="D13" s="16" t="s">
        <v>326</v>
      </c>
      <c r="F13" s="8">
        <f t="shared" ref="F13:F18" si="1">1/ROWS(B13:B18)</f>
        <v>0.16666666666666666</v>
      </c>
      <c r="G13" s="73" t="s">
        <v>925</v>
      </c>
      <c r="J13" s="14"/>
    </row>
    <row r="14" spans="1:10">
      <c r="A14" s="106"/>
      <c r="B14" s="29" t="s">
        <v>49</v>
      </c>
      <c r="C14" s="15"/>
      <c r="D14" s="16" t="s">
        <v>327</v>
      </c>
      <c r="F14" s="8">
        <f t="shared" si="1"/>
        <v>0.16666666666666666</v>
      </c>
      <c r="G14" s="73" t="s">
        <v>925</v>
      </c>
      <c r="J14" s="14"/>
    </row>
    <row r="15" spans="1:10">
      <c r="A15" s="106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925</v>
      </c>
      <c r="J15" s="14"/>
    </row>
    <row r="16" spans="1:10">
      <c r="A16" s="106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925</v>
      </c>
      <c r="J16" s="14"/>
    </row>
    <row r="17" spans="1:10">
      <c r="A17" s="106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925</v>
      </c>
      <c r="J17" s="14"/>
    </row>
    <row r="18" spans="1:10">
      <c r="A18" s="106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925</v>
      </c>
      <c r="J18" s="14"/>
    </row>
    <row r="19" spans="1:10">
      <c r="A19" s="106" t="s">
        <v>5</v>
      </c>
      <c r="B19" s="29" t="s">
        <v>54</v>
      </c>
      <c r="C19" s="15"/>
      <c r="D19" s="16" t="s">
        <v>332</v>
      </c>
      <c r="F19" s="8">
        <f t="shared" ref="F19:F26" si="2">1/ROWS(B19:B26)</f>
        <v>0.125</v>
      </c>
      <c r="G19" s="73" t="s">
        <v>925</v>
      </c>
      <c r="J19" s="14"/>
    </row>
    <row r="20" spans="1:10">
      <c r="A20" s="106"/>
      <c r="B20" s="29" t="s">
        <v>53</v>
      </c>
      <c r="C20" s="15"/>
      <c r="D20" s="16" t="s">
        <v>333</v>
      </c>
      <c r="F20" s="8">
        <f t="shared" si="2"/>
        <v>0.125</v>
      </c>
      <c r="G20" s="73" t="s">
        <v>925</v>
      </c>
      <c r="J20" s="14"/>
    </row>
    <row r="21" spans="1:10">
      <c r="A21" s="106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925</v>
      </c>
      <c r="J21" s="14"/>
    </row>
    <row r="22" spans="1:10">
      <c r="A22" s="106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925</v>
      </c>
      <c r="J22" s="14"/>
    </row>
    <row r="23" spans="1:10">
      <c r="A23" s="106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925</v>
      </c>
      <c r="J23" s="14"/>
    </row>
    <row r="24" spans="1:10">
      <c r="A24" s="106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925</v>
      </c>
      <c r="J24" s="14"/>
    </row>
    <row r="25" spans="1:10">
      <c r="A25" s="106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925</v>
      </c>
      <c r="J25" s="14"/>
    </row>
    <row r="26" spans="1:10">
      <c r="A26" s="106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925</v>
      </c>
      <c r="J26" s="14"/>
    </row>
    <row r="27" spans="1:10">
      <c r="A27" s="106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925</v>
      </c>
      <c r="J27" s="14"/>
    </row>
    <row r="28" spans="1:10">
      <c r="A28" s="106"/>
      <c r="B28" s="29" t="s">
        <v>61</v>
      </c>
      <c r="C28" s="15"/>
      <c r="D28" s="16" t="s">
        <v>341</v>
      </c>
      <c r="F28" s="8">
        <f>1/ROWS(B28:B32)</f>
        <v>0.2</v>
      </c>
      <c r="G28" s="73" t="s">
        <v>925</v>
      </c>
      <c r="J28" s="14"/>
    </row>
    <row r="29" spans="1:10">
      <c r="A29" s="106"/>
      <c r="B29" s="29" t="s">
        <v>63</v>
      </c>
      <c r="C29" s="15"/>
      <c r="D29" s="16" t="s">
        <v>342</v>
      </c>
      <c r="F29" s="8">
        <f>1/ROWS(B29:B33)</f>
        <v>0.2</v>
      </c>
      <c r="G29" s="73" t="s">
        <v>925</v>
      </c>
      <c r="J29" s="14"/>
    </row>
    <row r="30" spans="1:10">
      <c r="A30" s="106"/>
      <c r="B30" s="29" t="s">
        <v>65</v>
      </c>
      <c r="C30" s="15"/>
      <c r="D30" s="16" t="s">
        <v>343</v>
      </c>
      <c r="F30" s="8">
        <f>1/ROWS(B30:B34)</f>
        <v>0.2</v>
      </c>
      <c r="G30" s="73" t="s">
        <v>925</v>
      </c>
      <c r="J30" s="14"/>
    </row>
    <row r="31" spans="1:10">
      <c r="A31" s="106"/>
      <c r="B31" s="29" t="s">
        <v>62</v>
      </c>
      <c r="C31" s="15"/>
      <c r="D31" s="16" t="s">
        <v>344</v>
      </c>
      <c r="F31" s="8">
        <f>1/ROWS(B31:B35)</f>
        <v>0.2</v>
      </c>
      <c r="G31" s="73" t="s">
        <v>925</v>
      </c>
      <c r="J31" s="14"/>
    </row>
    <row r="32" spans="1:10">
      <c r="A32" s="106" t="s">
        <v>7</v>
      </c>
      <c r="B32" s="29" t="s">
        <v>101</v>
      </c>
      <c r="C32" s="15"/>
      <c r="D32" s="16" t="s">
        <v>345</v>
      </c>
      <c r="F32" s="8">
        <f t="shared" ref="F32:F69" si="3">1/ROWS(B32:B69)</f>
        <v>2.6315789473684209E-2</v>
      </c>
      <c r="G32" s="73" t="s">
        <v>925</v>
      </c>
      <c r="J32" s="14"/>
    </row>
    <row r="33" spans="1:10">
      <c r="A33" s="106"/>
      <c r="B33" s="29" t="s">
        <v>102</v>
      </c>
      <c r="C33" s="15"/>
      <c r="D33" s="16" t="s">
        <v>346</v>
      </c>
      <c r="F33" s="8">
        <f t="shared" si="3"/>
        <v>2.6315789473684209E-2</v>
      </c>
      <c r="G33" s="73" t="s">
        <v>925</v>
      </c>
      <c r="J33" s="14"/>
    </row>
    <row r="34" spans="1:10">
      <c r="A34" s="106"/>
      <c r="B34" s="29" t="s">
        <v>103</v>
      </c>
      <c r="C34" s="15"/>
      <c r="D34" s="16" t="s">
        <v>347</v>
      </c>
      <c r="F34" s="8">
        <f t="shared" si="3"/>
        <v>2.6315789473684209E-2</v>
      </c>
      <c r="G34" s="73" t="s">
        <v>925</v>
      </c>
      <c r="J34" s="14"/>
    </row>
    <row r="35" spans="1:10">
      <c r="A35" s="106"/>
      <c r="B35" s="29" t="s">
        <v>100</v>
      </c>
      <c r="C35" s="15"/>
      <c r="D35" s="16" t="s">
        <v>348</v>
      </c>
      <c r="F35" s="8">
        <f t="shared" si="3"/>
        <v>2.6315789473684209E-2</v>
      </c>
      <c r="G35" s="73" t="s">
        <v>925</v>
      </c>
      <c r="J35" s="14"/>
    </row>
    <row r="36" spans="1:10">
      <c r="A36" s="106"/>
      <c r="B36" s="29" t="s">
        <v>97</v>
      </c>
      <c r="C36" s="31"/>
      <c r="D36" s="16" t="s">
        <v>349</v>
      </c>
      <c r="F36" s="8">
        <f t="shared" si="3"/>
        <v>2.6315789473684209E-2</v>
      </c>
      <c r="G36" s="73" t="s">
        <v>925</v>
      </c>
      <c r="J36" s="14"/>
    </row>
    <row r="37" spans="1:10">
      <c r="A37" s="106"/>
      <c r="B37" s="29" t="s">
        <v>98</v>
      </c>
      <c r="C37" s="15"/>
      <c r="D37" s="16" t="s">
        <v>350</v>
      </c>
      <c r="F37" s="8">
        <f t="shared" si="3"/>
        <v>2.6315789473684209E-2</v>
      </c>
      <c r="G37" s="73" t="s">
        <v>925</v>
      </c>
      <c r="J37" s="14"/>
    </row>
    <row r="38" spans="1:10">
      <c r="A38" s="106"/>
      <c r="B38" s="29" t="s">
        <v>95</v>
      </c>
      <c r="C38" s="15"/>
      <c r="D38" s="16" t="s">
        <v>351</v>
      </c>
      <c r="F38" s="8">
        <f t="shared" si="3"/>
        <v>2.6315789473684209E-2</v>
      </c>
      <c r="G38" s="73" t="s">
        <v>925</v>
      </c>
      <c r="J38" s="14"/>
    </row>
    <row r="39" spans="1:10">
      <c r="A39" s="106"/>
      <c r="B39" s="29" t="s">
        <v>96</v>
      </c>
      <c r="C39" s="15"/>
      <c r="D39" s="16" t="s">
        <v>352</v>
      </c>
      <c r="F39" s="8">
        <f t="shared" si="3"/>
        <v>2.6315789473684209E-2</v>
      </c>
      <c r="G39" s="73" t="s">
        <v>925</v>
      </c>
      <c r="J39" s="14"/>
    </row>
    <row r="40" spans="1:10">
      <c r="A40" s="106"/>
      <c r="B40" s="29" t="s">
        <v>99</v>
      </c>
      <c r="C40" s="15"/>
      <c r="D40" s="16" t="s">
        <v>353</v>
      </c>
      <c r="F40" s="8">
        <f t="shared" si="3"/>
        <v>2.6315789473684209E-2</v>
      </c>
      <c r="G40" s="73" t="s">
        <v>925</v>
      </c>
      <c r="J40" s="14"/>
    </row>
    <row r="41" spans="1:10">
      <c r="A41" s="106"/>
      <c r="B41" s="29" t="s">
        <v>93</v>
      </c>
      <c r="C41" s="15"/>
      <c r="D41" s="16" t="s">
        <v>354</v>
      </c>
      <c r="F41" s="8">
        <f t="shared" si="3"/>
        <v>2.6315789473684209E-2</v>
      </c>
      <c r="G41" s="73" t="s">
        <v>925</v>
      </c>
      <c r="J41" s="14"/>
    </row>
    <row r="42" spans="1:10">
      <c r="A42" s="106"/>
      <c r="B42" s="29" t="s">
        <v>94</v>
      </c>
      <c r="C42" s="15"/>
      <c r="D42" s="16" t="s">
        <v>355</v>
      </c>
      <c r="F42" s="8">
        <f t="shared" si="3"/>
        <v>2.6315789473684209E-2</v>
      </c>
      <c r="G42" s="73" t="s">
        <v>925</v>
      </c>
      <c r="J42" s="14"/>
    </row>
    <row r="43" spans="1:10">
      <c r="A43" s="106"/>
      <c r="B43" s="29" t="s">
        <v>92</v>
      </c>
      <c r="C43" s="15"/>
      <c r="D43" s="16" t="s">
        <v>356</v>
      </c>
      <c r="F43" s="8">
        <f t="shared" si="3"/>
        <v>2.6315789473684209E-2</v>
      </c>
      <c r="G43" s="73" t="s">
        <v>925</v>
      </c>
      <c r="J43" s="14"/>
    </row>
    <row r="44" spans="1:10">
      <c r="A44" s="106"/>
      <c r="B44" s="29" t="s">
        <v>91</v>
      </c>
      <c r="C44" s="15"/>
      <c r="D44" s="16" t="s">
        <v>357</v>
      </c>
      <c r="F44" s="8">
        <f t="shared" si="3"/>
        <v>2.6315789473684209E-2</v>
      </c>
      <c r="G44" s="73" t="s">
        <v>925</v>
      </c>
      <c r="J44" s="14"/>
    </row>
    <row r="45" spans="1:10">
      <c r="A45" s="106"/>
      <c r="B45" s="29" t="s">
        <v>90</v>
      </c>
      <c r="C45" s="15"/>
      <c r="D45" s="16" t="s">
        <v>358</v>
      </c>
      <c r="F45" s="8">
        <f t="shared" si="3"/>
        <v>2.6315789473684209E-2</v>
      </c>
      <c r="G45" s="73" t="s">
        <v>925</v>
      </c>
      <c r="J45" s="14"/>
    </row>
    <row r="46" spans="1:10">
      <c r="A46" s="106"/>
      <c r="B46" s="29" t="s">
        <v>89</v>
      </c>
      <c r="C46" s="15"/>
      <c r="D46" s="16" t="s">
        <v>359</v>
      </c>
      <c r="F46" s="8">
        <f t="shared" si="3"/>
        <v>2.6315789473684209E-2</v>
      </c>
      <c r="G46" s="73" t="s">
        <v>925</v>
      </c>
      <c r="J46" s="14"/>
    </row>
    <row r="47" spans="1:10">
      <c r="A47" s="106"/>
      <c r="B47" s="29" t="s">
        <v>88</v>
      </c>
      <c r="C47" s="15"/>
      <c r="D47" s="16" t="s">
        <v>360</v>
      </c>
      <c r="F47" s="8">
        <f t="shared" si="3"/>
        <v>2.6315789473684209E-2</v>
      </c>
      <c r="G47" s="73" t="s">
        <v>925</v>
      </c>
      <c r="J47" s="14"/>
    </row>
    <row r="48" spans="1:10">
      <c r="A48" s="106"/>
      <c r="B48" s="29" t="s">
        <v>87</v>
      </c>
      <c r="C48" s="15"/>
      <c r="D48" s="16" t="s">
        <v>361</v>
      </c>
      <c r="F48" s="8">
        <f t="shared" si="3"/>
        <v>2.6315789473684209E-2</v>
      </c>
      <c r="G48" s="73" t="s">
        <v>925</v>
      </c>
      <c r="J48" s="14"/>
    </row>
    <row r="49" spans="1:10">
      <c r="A49" s="106"/>
      <c r="B49" s="29" t="s">
        <v>86</v>
      </c>
      <c r="C49" s="15"/>
      <c r="D49" s="16" t="s">
        <v>362</v>
      </c>
      <c r="F49" s="8">
        <f t="shared" si="3"/>
        <v>2.6315789473684209E-2</v>
      </c>
      <c r="G49" s="73" t="s">
        <v>925</v>
      </c>
      <c r="J49" s="14"/>
    </row>
    <row r="50" spans="1:10">
      <c r="A50" s="106"/>
      <c r="B50" s="29" t="s">
        <v>85</v>
      </c>
      <c r="C50" s="15"/>
      <c r="D50" s="16" t="s">
        <v>363</v>
      </c>
      <c r="F50" s="8">
        <f t="shared" si="3"/>
        <v>2.6315789473684209E-2</v>
      </c>
      <c r="G50" s="73" t="s">
        <v>925</v>
      </c>
      <c r="J50" s="14"/>
    </row>
    <row r="51" spans="1:10">
      <c r="A51" s="106"/>
      <c r="B51" s="29" t="s">
        <v>84</v>
      </c>
      <c r="C51" s="15"/>
      <c r="D51" s="16" t="s">
        <v>364</v>
      </c>
      <c r="F51" s="8">
        <f t="shared" si="3"/>
        <v>2.6315789473684209E-2</v>
      </c>
      <c r="G51" s="73" t="s">
        <v>925</v>
      </c>
      <c r="J51" s="14"/>
    </row>
    <row r="52" spans="1:10">
      <c r="A52" s="106"/>
      <c r="B52" s="29" t="s">
        <v>83</v>
      </c>
      <c r="C52" s="15"/>
      <c r="D52" s="16" t="s">
        <v>365</v>
      </c>
      <c r="F52" s="8">
        <f t="shared" si="3"/>
        <v>2.6315789473684209E-2</v>
      </c>
      <c r="G52" s="73" t="s">
        <v>925</v>
      </c>
      <c r="J52" s="14"/>
    </row>
    <row r="53" spans="1:10">
      <c r="A53" s="106"/>
      <c r="B53" s="29" t="s">
        <v>82</v>
      </c>
      <c r="C53" s="15"/>
      <c r="D53" s="16" t="s">
        <v>366</v>
      </c>
      <c r="F53" s="8">
        <f t="shared" si="3"/>
        <v>2.6315789473684209E-2</v>
      </c>
      <c r="G53" s="73" t="s">
        <v>925</v>
      </c>
      <c r="J53" s="14"/>
    </row>
    <row r="54" spans="1:10">
      <c r="A54" s="106"/>
      <c r="B54" s="29" t="s">
        <v>81</v>
      </c>
      <c r="C54" s="15"/>
      <c r="D54" s="16" t="s">
        <v>367</v>
      </c>
      <c r="F54" s="8">
        <f t="shared" si="3"/>
        <v>2.6315789473684209E-2</v>
      </c>
      <c r="G54" s="73" t="s">
        <v>925</v>
      </c>
      <c r="J54" s="14"/>
    </row>
    <row r="55" spans="1:10">
      <c r="A55" s="106"/>
      <c r="B55" s="29" t="s">
        <v>78</v>
      </c>
      <c r="C55" s="32" t="s">
        <v>683</v>
      </c>
      <c r="D55" s="16" t="s">
        <v>368</v>
      </c>
      <c r="F55" s="8">
        <f t="shared" si="3"/>
        <v>2.6315789473684209E-2</v>
      </c>
      <c r="G55" s="73" t="s">
        <v>925</v>
      </c>
      <c r="J55" s="14"/>
    </row>
    <row r="56" spans="1:10">
      <c r="A56" s="106"/>
      <c r="B56" s="29" t="s">
        <v>77</v>
      </c>
      <c r="C56" s="31" t="s">
        <v>696</v>
      </c>
      <c r="D56" s="16" t="s">
        <v>369</v>
      </c>
      <c r="F56" s="8">
        <f t="shared" si="3"/>
        <v>2.6315789473684209E-2</v>
      </c>
      <c r="G56" s="73" t="s">
        <v>925</v>
      </c>
      <c r="J56" s="14"/>
    </row>
    <row r="57" spans="1:10">
      <c r="A57" s="106"/>
      <c r="B57" s="29" t="s">
        <v>76</v>
      </c>
      <c r="C57" s="15"/>
      <c r="D57" s="16" t="s">
        <v>370</v>
      </c>
      <c r="F57" s="8">
        <f t="shared" si="3"/>
        <v>2.6315789473684209E-2</v>
      </c>
      <c r="G57" s="73" t="s">
        <v>925</v>
      </c>
      <c r="J57" s="14"/>
    </row>
    <row r="58" spans="1:10">
      <c r="A58" s="106"/>
      <c r="B58" s="29" t="s">
        <v>79</v>
      </c>
      <c r="C58" s="15"/>
      <c r="D58" s="16" t="s">
        <v>371</v>
      </c>
      <c r="F58" s="8">
        <f t="shared" si="3"/>
        <v>2.6315789473684209E-2</v>
      </c>
      <c r="G58" s="73" t="s">
        <v>925</v>
      </c>
      <c r="J58" s="14"/>
    </row>
    <row r="59" spans="1:10">
      <c r="A59" s="106"/>
      <c r="B59" s="29" t="s">
        <v>80</v>
      </c>
      <c r="C59" s="15"/>
      <c r="D59" s="16" t="s">
        <v>372</v>
      </c>
      <c r="F59" s="8">
        <f t="shared" si="3"/>
        <v>2.6315789473684209E-2</v>
      </c>
      <c r="G59" s="73" t="s">
        <v>925</v>
      </c>
      <c r="J59" s="14"/>
    </row>
    <row r="60" spans="1:10">
      <c r="A60" s="106"/>
      <c r="B60" s="29" t="s">
        <v>75</v>
      </c>
      <c r="C60" s="15"/>
      <c r="D60" s="16" t="s">
        <v>373</v>
      </c>
      <c r="F60" s="8">
        <f t="shared" si="3"/>
        <v>2.6315789473684209E-2</v>
      </c>
      <c r="G60" s="73" t="s">
        <v>925</v>
      </c>
      <c r="J60" s="14"/>
    </row>
    <row r="61" spans="1:10">
      <c r="A61" s="106"/>
      <c r="B61" s="29" t="s">
        <v>73</v>
      </c>
      <c r="C61" s="15"/>
      <c r="D61" s="16" t="s">
        <v>374</v>
      </c>
      <c r="F61" s="8">
        <f t="shared" si="3"/>
        <v>2.6315789473684209E-2</v>
      </c>
      <c r="G61" s="73" t="s">
        <v>925</v>
      </c>
      <c r="J61" s="14"/>
    </row>
    <row r="62" spans="1:10">
      <c r="A62" s="106"/>
      <c r="B62" s="29" t="s">
        <v>74</v>
      </c>
      <c r="C62" s="32" t="s">
        <v>685</v>
      </c>
      <c r="D62" s="16" t="s">
        <v>375</v>
      </c>
      <c r="F62" s="8">
        <f t="shared" si="3"/>
        <v>2.6315789473684209E-2</v>
      </c>
      <c r="G62" s="73" t="s">
        <v>925</v>
      </c>
      <c r="J62" s="14"/>
    </row>
    <row r="63" spans="1:10">
      <c r="A63" s="106"/>
      <c r="B63" s="29" t="s">
        <v>72</v>
      </c>
      <c r="C63" s="15"/>
      <c r="D63" s="16" t="s">
        <v>376</v>
      </c>
      <c r="F63" s="8">
        <f t="shared" si="3"/>
        <v>2.6315789473684209E-2</v>
      </c>
      <c r="G63" s="73" t="s">
        <v>925</v>
      </c>
      <c r="J63" s="14"/>
    </row>
    <row r="64" spans="1:10">
      <c r="A64" s="106"/>
      <c r="B64" s="29" t="s">
        <v>69</v>
      </c>
      <c r="C64" s="15"/>
      <c r="D64" s="16" t="s">
        <v>377</v>
      </c>
      <c r="F64" s="8">
        <f t="shared" si="3"/>
        <v>2.6315789473684209E-2</v>
      </c>
      <c r="G64" s="73" t="s">
        <v>925</v>
      </c>
      <c r="J64" s="14"/>
    </row>
    <row r="65" spans="1:10">
      <c r="A65" s="106"/>
      <c r="B65" s="29" t="s">
        <v>70</v>
      </c>
      <c r="C65" s="15"/>
      <c r="D65" s="16" t="s">
        <v>378</v>
      </c>
      <c r="F65" s="8">
        <f t="shared" si="3"/>
        <v>2.6315789473684209E-2</v>
      </c>
      <c r="G65" s="73" t="s">
        <v>925</v>
      </c>
      <c r="J65" s="14"/>
    </row>
    <row r="66" spans="1:10">
      <c r="A66" s="106"/>
      <c r="B66" s="29" t="s">
        <v>68</v>
      </c>
      <c r="C66" s="32"/>
      <c r="D66" s="16" t="s">
        <v>379</v>
      </c>
      <c r="F66" s="8">
        <f t="shared" si="3"/>
        <v>2.6315789473684209E-2</v>
      </c>
      <c r="G66" s="73" t="s">
        <v>925</v>
      </c>
      <c r="J66" s="14"/>
    </row>
    <row r="67" spans="1:10">
      <c r="A67" s="106"/>
      <c r="B67" s="29" t="s">
        <v>71</v>
      </c>
      <c r="C67" s="15" t="s">
        <v>721</v>
      </c>
      <c r="D67" s="16" t="s">
        <v>380</v>
      </c>
      <c r="F67" s="8">
        <f t="shared" si="3"/>
        <v>2.6315789473684209E-2</v>
      </c>
      <c r="G67" s="73" t="s">
        <v>925</v>
      </c>
      <c r="J67" s="14"/>
    </row>
    <row r="68" spans="1:10">
      <c r="A68" s="106"/>
      <c r="B68" s="29" t="s">
        <v>67</v>
      </c>
      <c r="C68" s="32"/>
      <c r="D68" s="16" t="s">
        <v>381</v>
      </c>
      <c r="F68" s="8">
        <f t="shared" si="3"/>
        <v>2.6315789473684209E-2</v>
      </c>
      <c r="G68" s="73" t="s">
        <v>925</v>
      </c>
      <c r="J68" s="14"/>
    </row>
    <row r="69" spans="1:10">
      <c r="A69" s="106"/>
      <c r="B69" s="29" t="s">
        <v>66</v>
      </c>
      <c r="C69" s="15"/>
      <c r="D69" s="16" t="s">
        <v>382</v>
      </c>
      <c r="F69" s="8">
        <f t="shared" si="3"/>
        <v>2.6315789473684209E-2</v>
      </c>
      <c r="G69" s="73" t="s">
        <v>925</v>
      </c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925</v>
      </c>
      <c r="J70" s="14"/>
    </row>
    <row r="71" spans="1:10">
      <c r="A71" s="106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925</v>
      </c>
      <c r="J71" s="14"/>
    </row>
    <row r="72" spans="1:10">
      <c r="A72" s="106"/>
      <c r="B72" s="29" t="s">
        <v>105</v>
      </c>
      <c r="C72" s="15"/>
      <c r="D72" s="16" t="s">
        <v>386</v>
      </c>
      <c r="F72" s="8">
        <v>0.33329999999999999</v>
      </c>
      <c r="G72" s="73" t="s">
        <v>925</v>
      </c>
      <c r="J72" s="14"/>
    </row>
    <row r="73" spans="1:10">
      <c r="A73" s="106"/>
      <c r="B73" s="29" t="s">
        <v>104</v>
      </c>
      <c r="C73" s="15"/>
      <c r="D73" s="16" t="s">
        <v>387</v>
      </c>
      <c r="F73" s="8">
        <v>0.33329999999999999</v>
      </c>
      <c r="G73" s="73" t="s">
        <v>925</v>
      </c>
      <c r="J73" s="14"/>
    </row>
    <row r="74" spans="1:10">
      <c r="A74" s="106" t="s">
        <v>9</v>
      </c>
      <c r="B74" s="29" t="s">
        <v>114</v>
      </c>
      <c r="C74" s="15"/>
      <c r="D74" s="16" t="s">
        <v>388</v>
      </c>
      <c r="F74" s="8">
        <f t="shared" ref="F74:F86" si="4" xml:space="preserve"> 1/ROWS(B74:B86)</f>
        <v>7.6923076923076927E-2</v>
      </c>
      <c r="G74" s="73" t="s">
        <v>925</v>
      </c>
      <c r="J74" s="14"/>
    </row>
    <row r="75" spans="1:10">
      <c r="A75" s="106"/>
      <c r="B75" s="29" t="s">
        <v>389</v>
      </c>
      <c r="C75" s="15"/>
      <c r="D75" s="16" t="s">
        <v>390</v>
      </c>
      <c r="F75" s="8">
        <f t="shared" si="4"/>
        <v>7.6923076923076927E-2</v>
      </c>
      <c r="G75" s="73" t="s">
        <v>925</v>
      </c>
      <c r="J75" s="14"/>
    </row>
    <row r="76" spans="1:10">
      <c r="A76" s="106"/>
      <c r="B76" s="29" t="s">
        <v>391</v>
      </c>
      <c r="C76" s="15"/>
      <c r="D76" s="16" t="s">
        <v>392</v>
      </c>
      <c r="F76" s="8">
        <f t="shared" si="4"/>
        <v>7.6923076923076927E-2</v>
      </c>
      <c r="G76" s="73" t="s">
        <v>925</v>
      </c>
    </row>
    <row r="77" spans="1:10">
      <c r="A77" s="106"/>
      <c r="B77" s="29" t="s">
        <v>393</v>
      </c>
      <c r="C77" s="15"/>
      <c r="D77" s="16" t="s">
        <v>394</v>
      </c>
      <c r="F77" s="8">
        <f t="shared" si="4"/>
        <v>7.6923076923076927E-2</v>
      </c>
      <c r="G77" s="73" t="s">
        <v>925</v>
      </c>
    </row>
    <row r="78" spans="1:10">
      <c r="A78" s="106"/>
      <c r="B78" s="29" t="s">
        <v>115</v>
      </c>
      <c r="C78" s="15"/>
      <c r="D78" s="16" t="s">
        <v>395</v>
      </c>
      <c r="F78" s="8">
        <f t="shared" si="4"/>
        <v>7.6923076923076927E-2</v>
      </c>
      <c r="G78" s="73" t="s">
        <v>925</v>
      </c>
    </row>
    <row r="79" spans="1:10">
      <c r="A79" s="106"/>
      <c r="B79" s="29" t="s">
        <v>110</v>
      </c>
      <c r="C79" s="15"/>
      <c r="D79" s="16" t="s">
        <v>396</v>
      </c>
      <c r="F79" s="8">
        <f t="shared" si="4"/>
        <v>7.6923076923076927E-2</v>
      </c>
      <c r="G79" s="73" t="s">
        <v>925</v>
      </c>
    </row>
    <row r="80" spans="1:10">
      <c r="A80" s="106"/>
      <c r="B80" s="29" t="s">
        <v>112</v>
      </c>
      <c r="C80" s="15"/>
      <c r="D80" s="16" t="s">
        <v>397</v>
      </c>
      <c r="F80" s="8">
        <f t="shared" si="4"/>
        <v>7.6923076923076927E-2</v>
      </c>
      <c r="G80" s="73" t="s">
        <v>925</v>
      </c>
    </row>
    <row r="81" spans="1:7">
      <c r="A81" s="106"/>
      <c r="B81" s="29" t="s">
        <v>111</v>
      </c>
      <c r="C81" s="15"/>
      <c r="D81" s="16" t="s">
        <v>398</v>
      </c>
      <c r="F81" s="8">
        <f t="shared" si="4"/>
        <v>7.6923076923076927E-2</v>
      </c>
      <c r="G81" s="73" t="s">
        <v>925</v>
      </c>
    </row>
    <row r="82" spans="1:7">
      <c r="A82" s="106"/>
      <c r="B82" s="29" t="s">
        <v>107</v>
      </c>
      <c r="C82" s="15"/>
      <c r="D82" s="16" t="s">
        <v>399</v>
      </c>
      <c r="F82" s="8">
        <f t="shared" si="4"/>
        <v>7.6923076923076927E-2</v>
      </c>
      <c r="G82" s="73" t="s">
        <v>925</v>
      </c>
    </row>
    <row r="83" spans="1:7">
      <c r="A83" s="106"/>
      <c r="B83" s="29" t="s">
        <v>400</v>
      </c>
      <c r="C83" s="15"/>
      <c r="D83" s="16" t="s">
        <v>401</v>
      </c>
      <c r="F83" s="8">
        <f t="shared" si="4"/>
        <v>7.6923076923076927E-2</v>
      </c>
      <c r="G83" s="73" t="s">
        <v>925</v>
      </c>
    </row>
    <row r="84" spans="1:7">
      <c r="A84" s="106"/>
      <c r="B84" s="29" t="s">
        <v>113</v>
      </c>
      <c r="C84" s="15"/>
      <c r="D84" s="16" t="s">
        <v>402</v>
      </c>
      <c r="F84" s="8">
        <f t="shared" si="4"/>
        <v>7.6923076923076927E-2</v>
      </c>
      <c r="G84" s="73" t="s">
        <v>925</v>
      </c>
    </row>
    <row r="85" spans="1:7">
      <c r="A85" s="106"/>
      <c r="B85" s="29" t="s">
        <v>108</v>
      </c>
      <c r="C85" s="15"/>
      <c r="D85" s="16" t="s">
        <v>403</v>
      </c>
      <c r="F85" s="8">
        <f t="shared" si="4"/>
        <v>7.6923076923076927E-2</v>
      </c>
      <c r="G85" s="73" t="s">
        <v>925</v>
      </c>
    </row>
    <row r="86" spans="1:7">
      <c r="A86" s="106"/>
      <c r="B86" s="29" t="s">
        <v>109</v>
      </c>
      <c r="C86" s="15"/>
      <c r="D86" s="16" t="s">
        <v>404</v>
      </c>
      <c r="F86" s="8">
        <f t="shared" si="4"/>
        <v>7.6923076923076927E-2</v>
      </c>
      <c r="G86" s="73" t="s">
        <v>925</v>
      </c>
    </row>
    <row r="87" spans="1:7">
      <c r="A87" s="106" t="s">
        <v>10</v>
      </c>
      <c r="B87" s="29" t="s">
        <v>120</v>
      </c>
      <c r="C87" s="15"/>
      <c r="D87" s="16" t="s">
        <v>405</v>
      </c>
      <c r="F87" s="8">
        <f t="shared" ref="F87:F105" si="5" xml:space="preserve"> 1/ROWS(B87:B105)</f>
        <v>5.2631578947368418E-2</v>
      </c>
      <c r="G87" s="73" t="s">
        <v>925</v>
      </c>
    </row>
    <row r="88" spans="1:7">
      <c r="A88" s="106"/>
      <c r="B88" s="29" t="s">
        <v>117</v>
      </c>
      <c r="C88" s="15"/>
      <c r="D88" s="16" t="s">
        <v>406</v>
      </c>
      <c r="F88" s="8">
        <f t="shared" si="5"/>
        <v>5.2631578947368418E-2</v>
      </c>
      <c r="G88" s="73" t="s">
        <v>925</v>
      </c>
    </row>
    <row r="89" spans="1:7">
      <c r="A89" s="106"/>
      <c r="B89" s="29" t="s">
        <v>128</v>
      </c>
      <c r="C89" s="15"/>
      <c r="D89" s="16" t="s">
        <v>407</v>
      </c>
      <c r="F89" s="8">
        <f t="shared" si="5"/>
        <v>5.2631578947368418E-2</v>
      </c>
      <c r="G89" s="73" t="s">
        <v>925</v>
      </c>
    </row>
    <row r="90" spans="1:7">
      <c r="A90" s="106"/>
      <c r="B90" s="29" t="s">
        <v>118</v>
      </c>
      <c r="C90" s="15"/>
      <c r="D90" s="16" t="s">
        <v>408</v>
      </c>
      <c r="F90" s="8">
        <f t="shared" si="5"/>
        <v>5.2631578947368418E-2</v>
      </c>
      <c r="G90" s="73" t="s">
        <v>925</v>
      </c>
    </row>
    <row r="91" spans="1:7">
      <c r="A91" s="106"/>
      <c r="B91" s="29" t="s">
        <v>123</v>
      </c>
      <c r="C91" s="15"/>
      <c r="D91" s="16" t="s">
        <v>409</v>
      </c>
      <c r="F91" s="8">
        <f t="shared" si="5"/>
        <v>5.2631578947368418E-2</v>
      </c>
      <c r="G91" s="73" t="s">
        <v>925</v>
      </c>
    </row>
    <row r="92" spans="1:7">
      <c r="A92" s="106"/>
      <c r="B92" s="29" t="s">
        <v>119</v>
      </c>
      <c r="C92" s="15"/>
      <c r="D92" s="16" t="s">
        <v>410</v>
      </c>
      <c r="F92" s="8">
        <f t="shared" si="5"/>
        <v>5.2631578947368418E-2</v>
      </c>
      <c r="G92" s="73" t="s">
        <v>925</v>
      </c>
    </row>
    <row r="93" spans="1:7">
      <c r="A93" s="106"/>
      <c r="B93" s="29" t="s">
        <v>129</v>
      </c>
      <c r="C93" s="15"/>
      <c r="D93" s="16" t="s">
        <v>411</v>
      </c>
      <c r="F93" s="8">
        <f t="shared" si="5"/>
        <v>5.2631578947368418E-2</v>
      </c>
      <c r="G93" s="73" t="s">
        <v>925</v>
      </c>
    </row>
    <row r="94" spans="1:7">
      <c r="A94" s="106"/>
      <c r="B94" s="29" t="s">
        <v>124</v>
      </c>
      <c r="C94" s="15"/>
      <c r="D94" s="16" t="s">
        <v>412</v>
      </c>
      <c r="F94" s="8">
        <f t="shared" si="5"/>
        <v>5.2631578947368418E-2</v>
      </c>
      <c r="G94" s="73" t="s">
        <v>925</v>
      </c>
    </row>
    <row r="95" spans="1:7">
      <c r="A95" s="106"/>
      <c r="B95" s="29" t="s">
        <v>126</v>
      </c>
      <c r="C95" s="15"/>
      <c r="D95" s="16" t="s">
        <v>413</v>
      </c>
      <c r="F95" s="8">
        <f t="shared" si="5"/>
        <v>5.2631578947368418E-2</v>
      </c>
      <c r="G95" s="73" t="s">
        <v>925</v>
      </c>
    </row>
    <row r="96" spans="1:7">
      <c r="A96" s="106"/>
      <c r="B96" s="29" t="s">
        <v>127</v>
      </c>
      <c r="C96" s="15"/>
      <c r="D96" s="16" t="s">
        <v>414</v>
      </c>
      <c r="F96" s="8">
        <f t="shared" si="5"/>
        <v>5.2631578947368418E-2</v>
      </c>
      <c r="G96" s="73" t="s">
        <v>925</v>
      </c>
    </row>
    <row r="97" spans="1:7">
      <c r="A97" s="106"/>
      <c r="B97" s="29" t="s">
        <v>121</v>
      </c>
      <c r="C97" s="15"/>
      <c r="D97" s="16" t="s">
        <v>415</v>
      </c>
      <c r="F97" s="8">
        <f t="shared" si="5"/>
        <v>5.2631578947368418E-2</v>
      </c>
      <c r="G97" s="73" t="s">
        <v>925</v>
      </c>
    </row>
    <row r="98" spans="1:7">
      <c r="A98" s="106"/>
      <c r="B98" s="29" t="s">
        <v>125</v>
      </c>
      <c r="C98" s="15"/>
      <c r="D98" s="16" t="s">
        <v>416</v>
      </c>
      <c r="F98" s="8">
        <f t="shared" si="5"/>
        <v>5.2631578947368418E-2</v>
      </c>
      <c r="G98" s="73" t="s">
        <v>925</v>
      </c>
    </row>
    <row r="99" spans="1:7">
      <c r="A99" s="106"/>
      <c r="B99" s="29" t="s">
        <v>122</v>
      </c>
      <c r="C99" s="15"/>
      <c r="D99" s="16" t="s">
        <v>417</v>
      </c>
      <c r="F99" s="8">
        <f t="shared" si="5"/>
        <v>5.2631578947368418E-2</v>
      </c>
      <c r="G99" s="73" t="s">
        <v>925</v>
      </c>
    </row>
    <row r="100" spans="1:7">
      <c r="A100" s="106"/>
      <c r="B100" s="29" t="s">
        <v>418</v>
      </c>
      <c r="C100" s="15"/>
      <c r="D100" s="16" t="s">
        <v>419</v>
      </c>
      <c r="F100" s="8">
        <f t="shared" si="5"/>
        <v>5.2631578947368418E-2</v>
      </c>
      <c r="G100" s="73" t="s">
        <v>925</v>
      </c>
    </row>
    <row r="101" spans="1:7">
      <c r="A101" s="106"/>
      <c r="B101" s="29" t="s">
        <v>130</v>
      </c>
      <c r="C101" s="15"/>
      <c r="D101" s="16" t="s">
        <v>420</v>
      </c>
      <c r="F101" s="8">
        <f t="shared" si="5"/>
        <v>5.2631578947368418E-2</v>
      </c>
      <c r="G101" s="73" t="s">
        <v>925</v>
      </c>
    </row>
    <row r="102" spans="1:7">
      <c r="A102" s="106"/>
      <c r="B102" s="29" t="s">
        <v>116</v>
      </c>
      <c r="C102" s="15"/>
      <c r="D102" s="16" t="s">
        <v>421</v>
      </c>
      <c r="F102" s="8">
        <f t="shared" si="5"/>
        <v>5.2631578947368418E-2</v>
      </c>
      <c r="G102" s="73" t="s">
        <v>925</v>
      </c>
    </row>
    <row r="103" spans="1:7">
      <c r="A103" s="106"/>
      <c r="B103" s="29" t="s">
        <v>422</v>
      </c>
      <c r="C103" s="15"/>
      <c r="D103" s="16" t="s">
        <v>423</v>
      </c>
      <c r="F103" s="8">
        <f t="shared" si="5"/>
        <v>5.2631578947368418E-2</v>
      </c>
      <c r="G103" s="73" t="s">
        <v>925</v>
      </c>
    </row>
    <row r="104" spans="1:7">
      <c r="A104" s="106"/>
      <c r="B104" s="29" t="s">
        <v>424</v>
      </c>
      <c r="C104" s="15"/>
      <c r="D104" s="16" t="s">
        <v>425</v>
      </c>
      <c r="F104" s="8">
        <f t="shared" si="5"/>
        <v>5.2631578947368418E-2</v>
      </c>
      <c r="G104" s="73" t="s">
        <v>925</v>
      </c>
    </row>
    <row r="105" spans="1:7">
      <c r="A105" s="106"/>
      <c r="B105" s="29" t="s">
        <v>426</v>
      </c>
      <c r="C105" s="15"/>
      <c r="D105" s="16" t="s">
        <v>427</v>
      </c>
      <c r="F105" s="8">
        <f t="shared" si="5"/>
        <v>5.2631578947368418E-2</v>
      </c>
      <c r="G105" s="73" t="s">
        <v>925</v>
      </c>
    </row>
    <row r="106" spans="1:7">
      <c r="A106" s="106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925</v>
      </c>
    </row>
    <row r="107" spans="1:7">
      <c r="A107" s="106"/>
      <c r="B107" s="29" t="s">
        <v>143</v>
      </c>
      <c r="C107" s="15"/>
      <c r="D107" s="16" t="s">
        <v>429</v>
      </c>
      <c r="F107" s="8">
        <f xml:space="preserve"> 1/ROWS(B107:B133)</f>
        <v>3.7037037037037035E-2</v>
      </c>
      <c r="G107" s="73" t="s">
        <v>925</v>
      </c>
    </row>
    <row r="108" spans="1:7">
      <c r="A108" s="106"/>
      <c r="B108" s="29" t="s">
        <v>141</v>
      </c>
      <c r="C108" s="15"/>
      <c r="D108" s="16" t="s">
        <v>430</v>
      </c>
      <c r="F108" s="8">
        <f xml:space="preserve"> 1/ROWS(B108:B134)</f>
        <v>3.7037037037037035E-2</v>
      </c>
      <c r="G108" s="73" t="s">
        <v>925</v>
      </c>
    </row>
    <row r="109" spans="1:7">
      <c r="A109" s="106"/>
      <c r="B109" s="29" t="s">
        <v>138</v>
      </c>
      <c r="C109" s="15"/>
      <c r="D109" s="16" t="s">
        <v>431</v>
      </c>
      <c r="F109" s="8">
        <f t="shared" ref="F109:F132" si="6" xml:space="preserve"> 1/ROWS(B109:B136)</f>
        <v>3.5714285714285712E-2</v>
      </c>
      <c r="G109" s="73" t="s">
        <v>925</v>
      </c>
    </row>
    <row r="110" spans="1:7">
      <c r="A110" s="106"/>
      <c r="B110" s="30" t="s">
        <v>145</v>
      </c>
      <c r="C110" s="16"/>
      <c r="D110" s="19" t="s">
        <v>432</v>
      </c>
      <c r="F110" s="8">
        <f t="shared" si="6"/>
        <v>3.5714285714285712E-2</v>
      </c>
      <c r="G110" s="73" t="s">
        <v>925</v>
      </c>
    </row>
    <row r="111" spans="1:7">
      <c r="A111" s="106"/>
      <c r="B111" s="30" t="s">
        <v>137</v>
      </c>
      <c r="C111" s="31"/>
      <c r="D111" s="19" t="s">
        <v>433</v>
      </c>
      <c r="F111" s="8">
        <f t="shared" si="6"/>
        <v>3.5714285714285712E-2</v>
      </c>
      <c r="G111" s="73" t="s">
        <v>925</v>
      </c>
    </row>
    <row r="112" spans="1:7">
      <c r="A112" s="106"/>
      <c r="B112" s="29" t="s">
        <v>134</v>
      </c>
      <c r="C112" s="32"/>
      <c r="D112" s="16" t="s">
        <v>434</v>
      </c>
      <c r="F112" s="8">
        <f t="shared" si="6"/>
        <v>3.5714285714285712E-2</v>
      </c>
      <c r="G112" s="73" t="s">
        <v>925</v>
      </c>
    </row>
    <row r="113" spans="1:7">
      <c r="A113" s="106"/>
      <c r="B113" s="29" t="s">
        <v>151</v>
      </c>
      <c r="C113" s="15"/>
      <c r="D113" s="16" t="s">
        <v>435</v>
      </c>
      <c r="F113" s="8">
        <f t="shared" si="6"/>
        <v>3.5714285714285712E-2</v>
      </c>
      <c r="G113" s="73" t="s">
        <v>925</v>
      </c>
    </row>
    <row r="114" spans="1:7">
      <c r="A114" s="106"/>
      <c r="B114" s="29" t="s">
        <v>133</v>
      </c>
      <c r="C114" s="15"/>
      <c r="D114" s="16" t="s">
        <v>436</v>
      </c>
      <c r="F114" s="8">
        <f t="shared" si="6"/>
        <v>3.5714285714285712E-2</v>
      </c>
      <c r="G114" s="73" t="s">
        <v>925</v>
      </c>
    </row>
    <row r="115" spans="1:7">
      <c r="A115" s="106"/>
      <c r="B115" s="29" t="s">
        <v>148</v>
      </c>
      <c r="C115" s="15"/>
      <c r="D115" s="16" t="s">
        <v>437</v>
      </c>
      <c r="F115" s="8">
        <f t="shared" si="6"/>
        <v>3.5714285714285712E-2</v>
      </c>
      <c r="G115" s="73" t="s">
        <v>925</v>
      </c>
    </row>
    <row r="116" spans="1:7">
      <c r="A116" s="106"/>
      <c r="B116" s="29" t="s">
        <v>135</v>
      </c>
      <c r="C116" s="15"/>
      <c r="D116" s="16" t="s">
        <v>438</v>
      </c>
      <c r="F116" s="8">
        <f t="shared" si="6"/>
        <v>3.5714285714285712E-2</v>
      </c>
      <c r="G116" s="73" t="s">
        <v>925</v>
      </c>
    </row>
    <row r="117" spans="1:7">
      <c r="A117" s="106"/>
      <c r="B117" s="29" t="s">
        <v>136</v>
      </c>
      <c r="C117" s="15"/>
      <c r="D117" s="16" t="s">
        <v>439</v>
      </c>
      <c r="F117" s="8">
        <f t="shared" si="6"/>
        <v>3.5714285714285712E-2</v>
      </c>
      <c r="G117" s="73" t="s">
        <v>925</v>
      </c>
    </row>
    <row r="118" spans="1:7">
      <c r="A118" s="106"/>
      <c r="B118" s="29" t="s">
        <v>140</v>
      </c>
      <c r="C118" s="15"/>
      <c r="D118" s="16" t="s">
        <v>440</v>
      </c>
      <c r="F118" s="8">
        <f t="shared" si="6"/>
        <v>3.5714285714285712E-2</v>
      </c>
      <c r="G118" s="73" t="s">
        <v>925</v>
      </c>
    </row>
    <row r="119" spans="1:7">
      <c r="A119" s="106"/>
      <c r="B119" s="29" t="s">
        <v>139</v>
      </c>
      <c r="C119" s="15"/>
      <c r="D119" s="16" t="s">
        <v>441</v>
      </c>
      <c r="F119" s="8">
        <f t="shared" si="6"/>
        <v>3.5714285714285712E-2</v>
      </c>
      <c r="G119" s="73" t="s">
        <v>925</v>
      </c>
    </row>
    <row r="120" spans="1:7">
      <c r="A120" s="106"/>
      <c r="B120" s="29" t="s">
        <v>142</v>
      </c>
      <c r="C120" s="15"/>
      <c r="D120" s="16" t="s">
        <v>442</v>
      </c>
      <c r="F120" s="8">
        <f t="shared" si="6"/>
        <v>3.5714285714285712E-2</v>
      </c>
      <c r="G120" s="73" t="s">
        <v>925</v>
      </c>
    </row>
    <row r="121" spans="1:7">
      <c r="A121" s="106"/>
      <c r="B121" s="29" t="s">
        <v>144</v>
      </c>
      <c r="C121" s="15"/>
      <c r="D121" s="16" t="s">
        <v>443</v>
      </c>
      <c r="F121" s="8">
        <f t="shared" si="6"/>
        <v>3.5714285714285712E-2</v>
      </c>
      <c r="G121" s="73" t="s">
        <v>925</v>
      </c>
    </row>
    <row r="122" spans="1:7">
      <c r="A122" s="106"/>
      <c r="B122" s="29" t="s">
        <v>146</v>
      </c>
      <c r="C122" s="15"/>
      <c r="D122" s="16" t="s">
        <v>444</v>
      </c>
      <c r="F122" s="8">
        <f t="shared" si="6"/>
        <v>3.5714285714285712E-2</v>
      </c>
      <c r="G122" s="73" t="s">
        <v>925</v>
      </c>
    </row>
    <row r="123" spans="1:7">
      <c r="A123" s="106"/>
      <c r="B123" s="29" t="s">
        <v>147</v>
      </c>
      <c r="C123" s="15"/>
      <c r="D123" s="16" t="s">
        <v>445</v>
      </c>
      <c r="F123" s="8">
        <f t="shared" si="6"/>
        <v>3.5714285714285712E-2</v>
      </c>
      <c r="G123" s="73" t="s">
        <v>925</v>
      </c>
    </row>
    <row r="124" spans="1:7">
      <c r="A124" s="106"/>
      <c r="B124" s="29" t="s">
        <v>150</v>
      </c>
      <c r="C124" s="15"/>
      <c r="D124" s="16" t="s">
        <v>446</v>
      </c>
      <c r="F124" s="8">
        <f t="shared" si="6"/>
        <v>3.5714285714285712E-2</v>
      </c>
      <c r="G124" s="73" t="s">
        <v>925</v>
      </c>
    </row>
    <row r="125" spans="1:7">
      <c r="A125" s="106"/>
      <c r="B125" s="29" t="s">
        <v>152</v>
      </c>
      <c r="C125" s="15"/>
      <c r="D125" s="16" t="s">
        <v>447</v>
      </c>
      <c r="F125" s="8">
        <f t="shared" si="6"/>
        <v>3.5714285714285712E-2</v>
      </c>
      <c r="G125" s="73" t="s">
        <v>925</v>
      </c>
    </row>
    <row r="126" spans="1:7">
      <c r="A126" s="106"/>
      <c r="B126" s="29" t="s">
        <v>149</v>
      </c>
      <c r="C126" s="15"/>
      <c r="D126" s="16" t="s">
        <v>448</v>
      </c>
      <c r="F126" s="8">
        <f t="shared" si="6"/>
        <v>3.5714285714285712E-2</v>
      </c>
      <c r="G126" s="73" t="s">
        <v>925</v>
      </c>
    </row>
    <row r="127" spans="1:7">
      <c r="A127" s="106"/>
      <c r="B127" s="29" t="s">
        <v>131</v>
      </c>
      <c r="C127" s="15"/>
      <c r="D127" s="16" t="s">
        <v>449</v>
      </c>
      <c r="F127" s="8">
        <f t="shared" si="6"/>
        <v>3.5714285714285712E-2</v>
      </c>
      <c r="G127" s="73" t="s">
        <v>925</v>
      </c>
    </row>
    <row r="128" spans="1:7">
      <c r="A128" s="106"/>
      <c r="B128" s="29" t="s">
        <v>450</v>
      </c>
      <c r="C128" s="15"/>
      <c r="D128" s="16" t="s">
        <v>451</v>
      </c>
      <c r="F128" s="8">
        <f t="shared" si="6"/>
        <v>3.5714285714285712E-2</v>
      </c>
      <c r="G128" s="73" t="s">
        <v>925</v>
      </c>
    </row>
    <row r="129" spans="1:7">
      <c r="A129" s="106"/>
      <c r="B129" s="29" t="s">
        <v>452</v>
      </c>
      <c r="C129" s="15"/>
      <c r="D129" s="16" t="s">
        <v>453</v>
      </c>
      <c r="F129" s="8">
        <f t="shared" si="6"/>
        <v>3.5714285714285712E-2</v>
      </c>
      <c r="G129" s="73" t="s">
        <v>925</v>
      </c>
    </row>
    <row r="130" spans="1:7">
      <c r="A130" s="106"/>
      <c r="B130" s="29" t="s">
        <v>454</v>
      </c>
      <c r="C130" s="15"/>
      <c r="D130" s="16" t="s">
        <v>455</v>
      </c>
      <c r="F130" s="8">
        <f t="shared" si="6"/>
        <v>3.5714285714285712E-2</v>
      </c>
      <c r="G130" s="73" t="s">
        <v>925</v>
      </c>
    </row>
    <row r="131" spans="1:7">
      <c r="A131" s="106"/>
      <c r="B131" s="29" t="s">
        <v>456</v>
      </c>
      <c r="C131" s="15"/>
      <c r="D131" s="16" t="s">
        <v>457</v>
      </c>
      <c r="F131" s="8">
        <f t="shared" si="6"/>
        <v>3.5714285714285712E-2</v>
      </c>
      <c r="G131" s="73" t="s">
        <v>925</v>
      </c>
    </row>
    <row r="132" spans="1:7">
      <c r="A132" s="106"/>
      <c r="B132" s="29" t="s">
        <v>458</v>
      </c>
      <c r="C132" s="15"/>
      <c r="D132" s="16" t="s">
        <v>459</v>
      </c>
      <c r="F132" s="8">
        <f t="shared" si="6"/>
        <v>3.5714285714285712E-2</v>
      </c>
      <c r="G132" s="73" t="s">
        <v>925</v>
      </c>
    </row>
    <row r="133" spans="1:7">
      <c r="A133" s="106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925</v>
      </c>
    </row>
    <row r="134" spans="1:7">
      <c r="A134" s="106"/>
      <c r="B134" s="29" t="s">
        <v>154</v>
      </c>
      <c r="C134" s="15"/>
      <c r="D134" s="16" t="s">
        <v>462</v>
      </c>
      <c r="F134" s="8">
        <f xml:space="preserve"> 1/ROWS(B134:B138)</f>
        <v>0.2</v>
      </c>
      <c r="G134" s="73" t="s">
        <v>925</v>
      </c>
    </row>
    <row r="135" spans="1:7">
      <c r="A135" s="106"/>
      <c r="B135" s="29" t="s">
        <v>153</v>
      </c>
      <c r="C135" s="15"/>
      <c r="D135" s="16"/>
      <c r="F135" s="8">
        <f xml:space="preserve"> 1/ROWS(B135:B139)</f>
        <v>0.2</v>
      </c>
      <c r="G135" s="73" t="s">
        <v>925</v>
      </c>
    </row>
    <row r="136" spans="1:7">
      <c r="A136" s="106"/>
      <c r="B136" s="29" t="s">
        <v>463</v>
      </c>
      <c r="C136" s="15"/>
      <c r="D136" s="16" t="s">
        <v>464</v>
      </c>
      <c r="F136" s="8">
        <f xml:space="preserve"> 1/ROWS(B136:B140)</f>
        <v>0.2</v>
      </c>
      <c r="G136" s="73" t="s">
        <v>925</v>
      </c>
    </row>
    <row r="137" spans="1:7">
      <c r="A137" s="106"/>
      <c r="B137" s="29" t="s">
        <v>465</v>
      </c>
      <c r="C137" s="15"/>
      <c r="D137" s="16" t="s">
        <v>466</v>
      </c>
      <c r="F137" s="8">
        <f xml:space="preserve"> 1/ROWS(B137:B141)</f>
        <v>0.2</v>
      </c>
      <c r="G137" s="73" t="s">
        <v>925</v>
      </c>
    </row>
    <row r="138" spans="1:7">
      <c r="A138" s="106" t="s">
        <v>13</v>
      </c>
      <c r="B138" s="29" t="s">
        <v>163</v>
      </c>
      <c r="C138" s="15"/>
      <c r="D138" s="16" t="s">
        <v>467</v>
      </c>
      <c r="F138" s="8">
        <f t="shared" ref="F138:F158" si="7" xml:space="preserve"> 1/ROWS(B138:B158)</f>
        <v>4.7619047619047616E-2</v>
      </c>
      <c r="G138" s="73" t="s">
        <v>925</v>
      </c>
    </row>
    <row r="139" spans="1:7">
      <c r="A139" s="106"/>
      <c r="B139" s="29" t="s">
        <v>156</v>
      </c>
      <c r="C139" s="15"/>
      <c r="D139" s="16" t="s">
        <v>468</v>
      </c>
      <c r="F139" s="8">
        <f t="shared" si="7"/>
        <v>4.7619047619047616E-2</v>
      </c>
      <c r="G139" s="73" t="s">
        <v>925</v>
      </c>
    </row>
    <row r="140" spans="1:7">
      <c r="A140" s="106"/>
      <c r="B140" s="29" t="s">
        <v>167</v>
      </c>
      <c r="C140" s="15"/>
      <c r="D140" s="16" t="s">
        <v>469</v>
      </c>
      <c r="F140" s="8">
        <f t="shared" si="7"/>
        <v>4.7619047619047616E-2</v>
      </c>
      <c r="G140" s="73" t="s">
        <v>925</v>
      </c>
    </row>
    <row r="141" spans="1:7">
      <c r="A141" s="106"/>
      <c r="B141" s="29" t="s">
        <v>166</v>
      </c>
      <c r="C141" s="15"/>
      <c r="D141" s="16" t="s">
        <v>470</v>
      </c>
      <c r="F141" s="8">
        <f t="shared" si="7"/>
        <v>4.7619047619047616E-2</v>
      </c>
      <c r="G141" s="73" t="s">
        <v>925</v>
      </c>
    </row>
    <row r="142" spans="1:7">
      <c r="A142" s="106"/>
      <c r="B142" s="29" t="s">
        <v>175</v>
      </c>
      <c r="C142" s="15"/>
      <c r="D142" s="16" t="s">
        <v>471</v>
      </c>
      <c r="F142" s="8">
        <f t="shared" si="7"/>
        <v>4.7619047619047616E-2</v>
      </c>
      <c r="G142" s="73" t="s">
        <v>925</v>
      </c>
    </row>
    <row r="143" spans="1:7">
      <c r="A143" s="106"/>
      <c r="B143" s="29" t="s">
        <v>164</v>
      </c>
      <c r="C143" s="15"/>
      <c r="D143" s="16" t="s">
        <v>472</v>
      </c>
      <c r="F143" s="8">
        <f t="shared" si="7"/>
        <v>4.7619047619047616E-2</v>
      </c>
      <c r="G143" s="73" t="s">
        <v>925</v>
      </c>
    </row>
    <row r="144" spans="1:7">
      <c r="A144" s="106"/>
      <c r="B144" s="29" t="s">
        <v>171</v>
      </c>
      <c r="C144" s="15"/>
      <c r="D144" s="16" t="s">
        <v>473</v>
      </c>
      <c r="F144" s="8">
        <f t="shared" si="7"/>
        <v>4.7619047619047616E-2</v>
      </c>
      <c r="G144" s="73" t="s">
        <v>925</v>
      </c>
    </row>
    <row r="145" spans="1:7">
      <c r="A145" s="106"/>
      <c r="B145" s="29" t="s">
        <v>174</v>
      </c>
      <c r="C145" s="32"/>
      <c r="D145" s="16" t="s">
        <v>474</v>
      </c>
      <c r="F145" s="8">
        <f t="shared" si="7"/>
        <v>4.7619047619047616E-2</v>
      </c>
      <c r="G145" s="73" t="s">
        <v>925</v>
      </c>
    </row>
    <row r="146" spans="1:7">
      <c r="A146" s="106"/>
      <c r="B146" s="29" t="s">
        <v>173</v>
      </c>
      <c r="C146" s="15"/>
      <c r="D146" s="16" t="s">
        <v>475</v>
      </c>
      <c r="F146" s="8">
        <f t="shared" si="7"/>
        <v>4.7619047619047616E-2</v>
      </c>
      <c r="G146" s="73" t="s">
        <v>925</v>
      </c>
    </row>
    <row r="147" spans="1:7">
      <c r="A147" s="106"/>
      <c r="B147" s="29" t="s">
        <v>172</v>
      </c>
      <c r="C147" s="15"/>
      <c r="D147" s="16" t="s">
        <v>476</v>
      </c>
      <c r="F147" s="8">
        <f t="shared" si="7"/>
        <v>4.7619047619047616E-2</v>
      </c>
      <c r="G147" s="73" t="s">
        <v>925</v>
      </c>
    </row>
    <row r="148" spans="1:7">
      <c r="A148" s="106"/>
      <c r="B148" s="29" t="s">
        <v>161</v>
      </c>
      <c r="C148" s="32"/>
      <c r="D148" s="16" t="s">
        <v>477</v>
      </c>
      <c r="F148" s="8">
        <f t="shared" si="7"/>
        <v>4.7619047619047616E-2</v>
      </c>
      <c r="G148" s="73" t="s">
        <v>925</v>
      </c>
    </row>
    <row r="149" spans="1:7">
      <c r="A149" s="106"/>
      <c r="B149" s="29" t="s">
        <v>162</v>
      </c>
      <c r="C149" s="15"/>
      <c r="D149" s="16" t="s">
        <v>478</v>
      </c>
      <c r="F149" s="8">
        <f t="shared" si="7"/>
        <v>4.7619047619047616E-2</v>
      </c>
      <c r="G149" s="73" t="s">
        <v>925</v>
      </c>
    </row>
    <row r="150" spans="1:7" ht="29.25">
      <c r="A150" s="106"/>
      <c r="B150" s="29" t="s">
        <v>158</v>
      </c>
      <c r="C150" s="15"/>
      <c r="D150" s="16" t="s">
        <v>479</v>
      </c>
      <c r="F150" s="8">
        <f t="shared" si="7"/>
        <v>4.7619047619047616E-2</v>
      </c>
      <c r="G150" s="73" t="s">
        <v>925</v>
      </c>
    </row>
    <row r="151" spans="1:7">
      <c r="A151" s="106"/>
      <c r="B151" s="29" t="s">
        <v>159</v>
      </c>
      <c r="C151" s="15"/>
      <c r="D151" s="16" t="s">
        <v>480</v>
      </c>
      <c r="F151" s="8">
        <f t="shared" si="7"/>
        <v>4.7619047619047616E-2</v>
      </c>
      <c r="G151" s="73" t="s">
        <v>925</v>
      </c>
    </row>
    <row r="152" spans="1:7">
      <c r="A152" s="106"/>
      <c r="B152" s="29" t="s">
        <v>155</v>
      </c>
      <c r="C152" s="32"/>
      <c r="D152" s="16" t="s">
        <v>481</v>
      </c>
      <c r="F152" s="8">
        <f t="shared" si="7"/>
        <v>4.7619047619047616E-2</v>
      </c>
      <c r="G152" s="73" t="s">
        <v>925</v>
      </c>
    </row>
    <row r="153" spans="1:7">
      <c r="A153" s="106"/>
      <c r="B153" s="29" t="s">
        <v>169</v>
      </c>
      <c r="C153" s="15"/>
      <c r="D153" s="16" t="s">
        <v>482</v>
      </c>
      <c r="F153" s="8">
        <f t="shared" si="7"/>
        <v>4.7619047619047616E-2</v>
      </c>
      <c r="G153" s="73" t="s">
        <v>925</v>
      </c>
    </row>
    <row r="154" spans="1:7">
      <c r="A154" s="106"/>
      <c r="B154" s="29" t="s">
        <v>170</v>
      </c>
      <c r="C154" s="15"/>
      <c r="D154" s="16" t="s">
        <v>483</v>
      </c>
      <c r="F154" s="8">
        <f t="shared" si="7"/>
        <v>4.7619047619047616E-2</v>
      </c>
      <c r="G154" s="73" t="s">
        <v>925</v>
      </c>
    </row>
    <row r="155" spans="1:7">
      <c r="A155" s="106"/>
      <c r="B155" s="29" t="s">
        <v>160</v>
      </c>
      <c r="C155" s="15"/>
      <c r="D155" s="16" t="s">
        <v>484</v>
      </c>
      <c r="F155" s="8">
        <f t="shared" si="7"/>
        <v>4.7619047619047616E-2</v>
      </c>
      <c r="G155" s="73" t="s">
        <v>925</v>
      </c>
    </row>
    <row r="156" spans="1:7">
      <c r="A156" s="106"/>
      <c r="B156" s="29" t="s">
        <v>157</v>
      </c>
      <c r="C156" s="15"/>
      <c r="D156" s="16" t="s">
        <v>485</v>
      </c>
      <c r="F156" s="8">
        <f t="shared" si="7"/>
        <v>4.7619047619047616E-2</v>
      </c>
      <c r="G156" s="73" t="s">
        <v>925</v>
      </c>
    </row>
    <row r="157" spans="1:7">
      <c r="A157" s="106"/>
      <c r="B157" s="29" t="s">
        <v>165</v>
      </c>
      <c r="C157" s="15"/>
      <c r="D157" s="16" t="s">
        <v>486</v>
      </c>
      <c r="F157" s="8">
        <f t="shared" si="7"/>
        <v>4.7619047619047616E-2</v>
      </c>
      <c r="G157" s="73" t="s">
        <v>925</v>
      </c>
    </row>
    <row r="158" spans="1:7">
      <c r="A158" s="106"/>
      <c r="B158" s="29" t="s">
        <v>168</v>
      </c>
      <c r="C158" s="15"/>
      <c r="D158" s="16" t="s">
        <v>487</v>
      </c>
      <c r="F158" s="8">
        <f t="shared" si="7"/>
        <v>4.7619047619047616E-2</v>
      </c>
      <c r="G158" s="73" t="s">
        <v>925</v>
      </c>
    </row>
    <row r="159" spans="1:7">
      <c r="A159" s="26" t="s">
        <v>623</v>
      </c>
      <c r="B159" s="29" t="s">
        <v>488</v>
      </c>
      <c r="C159" s="15"/>
      <c r="D159" s="16" t="s">
        <v>489</v>
      </c>
      <c r="F159" s="8">
        <v>1</v>
      </c>
      <c r="G159" s="73" t="s">
        <v>925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925</v>
      </c>
    </row>
    <row r="161" spans="1:7">
      <c r="A161" s="106" t="s">
        <v>1164</v>
      </c>
      <c r="B161" s="29" t="s">
        <v>491</v>
      </c>
      <c r="C161" s="15"/>
      <c r="D161" s="16" t="s">
        <v>492</v>
      </c>
      <c r="F161" s="8">
        <v>0.5</v>
      </c>
      <c r="G161" s="73" t="s">
        <v>925</v>
      </c>
    </row>
    <row r="162" spans="1:7">
      <c r="A162" s="106"/>
      <c r="B162" s="29" t="s">
        <v>493</v>
      </c>
      <c r="C162" s="15" t="s">
        <v>726</v>
      </c>
      <c r="D162" s="16" t="s">
        <v>494</v>
      </c>
      <c r="F162" s="8">
        <v>0.5</v>
      </c>
      <c r="G162" s="73" t="s">
        <v>925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925</v>
      </c>
    </row>
    <row r="164" spans="1:7">
      <c r="A164" s="106" t="s">
        <v>16</v>
      </c>
      <c r="B164" s="29" t="s">
        <v>182</v>
      </c>
      <c r="C164" s="15"/>
      <c r="D164" s="16" t="s">
        <v>495</v>
      </c>
      <c r="F164" s="8">
        <f t="shared" ref="F164:F171" si="8" xml:space="preserve"> 1/ROWS(B164:B171)</f>
        <v>0.125</v>
      </c>
      <c r="G164" s="73" t="s">
        <v>925</v>
      </c>
    </row>
    <row r="165" spans="1:7">
      <c r="A165" s="106"/>
      <c r="B165" s="29" t="s">
        <v>181</v>
      </c>
      <c r="C165" s="15"/>
      <c r="D165" s="16" t="s">
        <v>496</v>
      </c>
      <c r="F165" s="8">
        <f t="shared" si="8"/>
        <v>0.125</v>
      </c>
      <c r="G165" s="73" t="s">
        <v>925</v>
      </c>
    </row>
    <row r="166" spans="1:7">
      <c r="A166" s="106"/>
      <c r="B166" s="29" t="s">
        <v>180</v>
      </c>
      <c r="C166" s="15"/>
      <c r="D166" s="16" t="s">
        <v>497</v>
      </c>
      <c r="F166" s="8">
        <f t="shared" si="8"/>
        <v>0.125</v>
      </c>
      <c r="G166" s="73" t="s">
        <v>925</v>
      </c>
    </row>
    <row r="167" spans="1:7">
      <c r="A167" s="106"/>
      <c r="B167" s="29" t="s">
        <v>179</v>
      </c>
      <c r="C167" s="15"/>
      <c r="D167" s="16" t="s">
        <v>498</v>
      </c>
      <c r="F167" s="8">
        <f t="shared" si="8"/>
        <v>0.125</v>
      </c>
      <c r="G167" s="73" t="s">
        <v>925</v>
      </c>
    </row>
    <row r="168" spans="1:7">
      <c r="A168" s="106"/>
      <c r="B168" s="29" t="s">
        <v>184</v>
      </c>
      <c r="C168" s="15"/>
      <c r="D168" s="16" t="s">
        <v>499</v>
      </c>
      <c r="F168" s="8">
        <f t="shared" si="8"/>
        <v>0.125</v>
      </c>
      <c r="G168" s="73" t="s">
        <v>925</v>
      </c>
    </row>
    <row r="169" spans="1:7">
      <c r="A169" s="106"/>
      <c r="B169" s="29" t="s">
        <v>183</v>
      </c>
      <c r="C169" s="32"/>
      <c r="D169" s="16" t="s">
        <v>500</v>
      </c>
      <c r="F169" s="8">
        <f t="shared" si="8"/>
        <v>0.125</v>
      </c>
      <c r="G169" s="73" t="s">
        <v>925</v>
      </c>
    </row>
    <row r="170" spans="1:7">
      <c r="A170" s="106"/>
      <c r="B170" s="29" t="s">
        <v>178</v>
      </c>
      <c r="C170" s="15"/>
      <c r="D170" s="16" t="s">
        <v>501</v>
      </c>
      <c r="F170" s="8">
        <f t="shared" si="8"/>
        <v>0.125</v>
      </c>
      <c r="G170" s="73" t="s">
        <v>925</v>
      </c>
    </row>
    <row r="171" spans="1:7">
      <c r="A171" s="106"/>
      <c r="B171" s="29" t="s">
        <v>185</v>
      </c>
      <c r="C171" s="15"/>
      <c r="D171" s="16" t="s">
        <v>502</v>
      </c>
      <c r="F171" s="8">
        <f t="shared" si="8"/>
        <v>0.125</v>
      </c>
      <c r="G171" s="73" t="s">
        <v>925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925</v>
      </c>
    </row>
    <row r="173" spans="1:7">
      <c r="A173" s="106" t="s">
        <v>17</v>
      </c>
      <c r="B173" s="29" t="s">
        <v>193</v>
      </c>
      <c r="C173" s="15" t="s">
        <v>722</v>
      </c>
      <c r="D173" s="16" t="s">
        <v>505</v>
      </c>
      <c r="F173" s="8">
        <f t="shared" ref="F173:F184" si="9" xml:space="preserve"> 1/ROWS(B173:B184)</f>
        <v>8.3333333333333329E-2</v>
      </c>
      <c r="G173" s="73" t="s">
        <v>925</v>
      </c>
    </row>
    <row r="174" spans="1:7">
      <c r="A174" s="106"/>
      <c r="B174" s="29" t="s">
        <v>195</v>
      </c>
      <c r="C174" s="15"/>
      <c r="D174" s="16" t="s">
        <v>506</v>
      </c>
      <c r="F174" s="8">
        <f t="shared" si="9"/>
        <v>8.3333333333333329E-2</v>
      </c>
      <c r="G174" s="73" t="s">
        <v>925</v>
      </c>
    </row>
    <row r="175" spans="1:7">
      <c r="A175" s="106"/>
      <c r="B175" s="29" t="s">
        <v>197</v>
      </c>
      <c r="C175" s="15"/>
      <c r="D175" s="16" t="s">
        <v>507</v>
      </c>
      <c r="F175" s="8">
        <f t="shared" si="9"/>
        <v>8.3333333333333329E-2</v>
      </c>
      <c r="G175" s="73" t="s">
        <v>925</v>
      </c>
    </row>
    <row r="176" spans="1:7">
      <c r="A176" s="106"/>
      <c r="B176" s="29" t="s">
        <v>188</v>
      </c>
      <c r="C176" s="15"/>
      <c r="D176" s="16" t="s">
        <v>508</v>
      </c>
      <c r="F176" s="8">
        <f t="shared" si="9"/>
        <v>8.3333333333333329E-2</v>
      </c>
      <c r="G176" s="73" t="s">
        <v>925</v>
      </c>
    </row>
    <row r="177" spans="1:7">
      <c r="A177" s="106"/>
      <c r="B177" s="29" t="s">
        <v>194</v>
      </c>
      <c r="C177" s="15"/>
      <c r="D177" s="16" t="s">
        <v>509</v>
      </c>
      <c r="F177" s="8">
        <f t="shared" si="9"/>
        <v>8.3333333333333329E-2</v>
      </c>
      <c r="G177" s="73" t="s">
        <v>925</v>
      </c>
    </row>
    <row r="178" spans="1:7">
      <c r="A178" s="106"/>
      <c r="B178" s="29" t="s">
        <v>196</v>
      </c>
      <c r="C178" s="15"/>
      <c r="D178" s="16" t="s">
        <v>510</v>
      </c>
      <c r="F178" s="8">
        <f t="shared" si="9"/>
        <v>8.3333333333333329E-2</v>
      </c>
      <c r="G178" s="73" t="s">
        <v>925</v>
      </c>
    </row>
    <row r="179" spans="1:7">
      <c r="A179" s="106"/>
      <c r="B179" s="29" t="s">
        <v>190</v>
      </c>
      <c r="C179" s="15"/>
      <c r="D179" s="16" t="s">
        <v>511</v>
      </c>
      <c r="F179" s="8">
        <f t="shared" si="9"/>
        <v>8.3333333333333329E-2</v>
      </c>
      <c r="G179" s="73" t="s">
        <v>925</v>
      </c>
    </row>
    <row r="180" spans="1:7">
      <c r="A180" s="106"/>
      <c r="B180" s="29" t="s">
        <v>189</v>
      </c>
      <c r="C180" s="15"/>
      <c r="D180" s="16" t="s">
        <v>512</v>
      </c>
      <c r="F180" s="8">
        <f t="shared" si="9"/>
        <v>8.3333333333333329E-2</v>
      </c>
      <c r="G180" s="73" t="s">
        <v>925</v>
      </c>
    </row>
    <row r="181" spans="1:7">
      <c r="A181" s="106"/>
      <c r="B181" s="29" t="s">
        <v>186</v>
      </c>
      <c r="C181" s="15"/>
      <c r="D181" s="16" t="s">
        <v>513</v>
      </c>
      <c r="F181" s="8">
        <f t="shared" si="9"/>
        <v>8.3333333333333329E-2</v>
      </c>
      <c r="G181" s="73" t="s">
        <v>925</v>
      </c>
    </row>
    <row r="182" spans="1:7">
      <c r="A182" s="106"/>
      <c r="B182" s="29" t="s">
        <v>187</v>
      </c>
      <c r="C182" s="32"/>
      <c r="D182" s="16" t="s">
        <v>514</v>
      </c>
      <c r="F182" s="8">
        <f t="shared" si="9"/>
        <v>8.3333333333333329E-2</v>
      </c>
      <c r="G182" s="73" t="s">
        <v>925</v>
      </c>
    </row>
    <row r="183" spans="1:7">
      <c r="A183" s="106"/>
      <c r="B183" s="29" t="s">
        <v>191</v>
      </c>
      <c r="C183" s="32"/>
      <c r="D183" s="16" t="s">
        <v>515</v>
      </c>
      <c r="F183" s="8">
        <f t="shared" si="9"/>
        <v>8.3333333333333329E-2</v>
      </c>
      <c r="G183" s="73" t="s">
        <v>925</v>
      </c>
    </row>
    <row r="184" spans="1:7">
      <c r="A184" s="106"/>
      <c r="B184" s="29" t="s">
        <v>192</v>
      </c>
      <c r="C184" s="32"/>
      <c r="D184" s="16" t="s">
        <v>516</v>
      </c>
      <c r="F184" s="8">
        <f t="shared" si="9"/>
        <v>8.3333333333333329E-2</v>
      </c>
      <c r="G184" s="73" t="s">
        <v>925</v>
      </c>
    </row>
    <row r="185" spans="1:7">
      <c r="A185" s="106" t="s">
        <v>18</v>
      </c>
      <c r="B185" s="29" t="s">
        <v>206</v>
      </c>
      <c r="C185" s="15"/>
      <c r="D185" s="16" t="s">
        <v>517</v>
      </c>
      <c r="F185" s="8">
        <f t="shared" ref="F185:F193" si="10" xml:space="preserve"> 1/ROWS(B185:B193)</f>
        <v>0.1111111111111111</v>
      </c>
      <c r="G185" s="73" t="s">
        <v>925</v>
      </c>
    </row>
    <row r="186" spans="1:7">
      <c r="A186" s="106"/>
      <c r="B186" s="29" t="s">
        <v>204</v>
      </c>
      <c r="C186" s="15"/>
      <c r="D186" s="16" t="s">
        <v>518</v>
      </c>
      <c r="F186" s="8">
        <f t="shared" si="10"/>
        <v>0.1111111111111111</v>
      </c>
      <c r="G186" s="73" t="s">
        <v>925</v>
      </c>
    </row>
    <row r="187" spans="1:7">
      <c r="A187" s="106"/>
      <c r="B187" s="29" t="s">
        <v>203</v>
      </c>
      <c r="C187" s="15"/>
      <c r="D187" s="16" t="s">
        <v>519</v>
      </c>
      <c r="F187" s="8">
        <f t="shared" si="10"/>
        <v>0.1111111111111111</v>
      </c>
      <c r="G187" s="73" t="s">
        <v>925</v>
      </c>
    </row>
    <row r="188" spans="1:7">
      <c r="A188" s="106"/>
      <c r="B188" s="29" t="s">
        <v>205</v>
      </c>
      <c r="C188" s="15"/>
      <c r="D188" s="16" t="s">
        <v>520</v>
      </c>
      <c r="F188" s="8">
        <f t="shared" si="10"/>
        <v>0.1111111111111111</v>
      </c>
      <c r="G188" s="73" t="s">
        <v>925</v>
      </c>
    </row>
    <row r="189" spans="1:7">
      <c r="A189" s="106"/>
      <c r="B189" s="29" t="s">
        <v>200</v>
      </c>
      <c r="C189" s="15"/>
      <c r="D189" s="16" t="s">
        <v>521</v>
      </c>
      <c r="F189" s="8">
        <f t="shared" si="10"/>
        <v>0.1111111111111111</v>
      </c>
      <c r="G189" s="73" t="s">
        <v>925</v>
      </c>
    </row>
    <row r="190" spans="1:7">
      <c r="A190" s="106"/>
      <c r="B190" s="29" t="s">
        <v>202</v>
      </c>
      <c r="C190" s="15"/>
      <c r="D190" s="16" t="s">
        <v>522</v>
      </c>
      <c r="F190" s="8">
        <f t="shared" si="10"/>
        <v>0.1111111111111111</v>
      </c>
      <c r="G190" s="73" t="s">
        <v>925</v>
      </c>
    </row>
    <row r="191" spans="1:7">
      <c r="A191" s="106"/>
      <c r="B191" s="29" t="s">
        <v>201</v>
      </c>
      <c r="C191" s="15"/>
      <c r="D191" s="16" t="s">
        <v>523</v>
      </c>
      <c r="F191" s="8">
        <f t="shared" si="10"/>
        <v>0.1111111111111111</v>
      </c>
      <c r="G191" s="73" t="s">
        <v>925</v>
      </c>
    </row>
    <row r="192" spans="1:7">
      <c r="A192" s="106"/>
      <c r="B192" s="29" t="s">
        <v>199</v>
      </c>
      <c r="C192" s="15"/>
      <c r="D192" s="16" t="s">
        <v>524</v>
      </c>
      <c r="F192" s="8">
        <f t="shared" si="10"/>
        <v>0.1111111111111111</v>
      </c>
      <c r="G192" s="73" t="s">
        <v>925</v>
      </c>
    </row>
    <row r="193" spans="1:7">
      <c r="A193" s="106"/>
      <c r="B193" s="29" t="s">
        <v>198</v>
      </c>
      <c r="C193" s="15"/>
      <c r="D193" s="16" t="s">
        <v>525</v>
      </c>
      <c r="F193" s="8">
        <f t="shared" si="10"/>
        <v>0.1111111111111111</v>
      </c>
      <c r="G193" s="73" t="s">
        <v>925</v>
      </c>
    </row>
    <row r="194" spans="1:7">
      <c r="A194" s="106" t="s">
        <v>19</v>
      </c>
      <c r="B194" s="29" t="s">
        <v>219</v>
      </c>
      <c r="C194" s="15"/>
      <c r="D194" s="16" t="s">
        <v>526</v>
      </c>
      <c r="F194" s="8">
        <f t="shared" ref="F194:F210" si="11" xml:space="preserve"> 1/ROWS(B194:B210)</f>
        <v>5.8823529411764705E-2</v>
      </c>
      <c r="G194" s="73" t="s">
        <v>925</v>
      </c>
    </row>
    <row r="195" spans="1:7">
      <c r="A195" s="106"/>
      <c r="B195" s="29" t="s">
        <v>210</v>
      </c>
      <c r="C195" s="15" t="s">
        <v>727</v>
      </c>
      <c r="D195" s="16" t="s">
        <v>527</v>
      </c>
      <c r="F195" s="8">
        <f t="shared" si="11"/>
        <v>5.8823529411764705E-2</v>
      </c>
      <c r="G195" s="73" t="s">
        <v>925</v>
      </c>
    </row>
    <row r="196" spans="1:7">
      <c r="A196" s="106"/>
      <c r="B196" s="29" t="s">
        <v>221</v>
      </c>
      <c r="C196" s="15"/>
      <c r="D196" s="16" t="s">
        <v>528</v>
      </c>
      <c r="F196" s="8">
        <f t="shared" si="11"/>
        <v>5.8823529411764705E-2</v>
      </c>
      <c r="G196" s="73" t="s">
        <v>925</v>
      </c>
    </row>
    <row r="197" spans="1:7">
      <c r="A197" s="106"/>
      <c r="B197" s="29" t="s">
        <v>207</v>
      </c>
      <c r="C197" s="15"/>
      <c r="D197" s="16" t="s">
        <v>529</v>
      </c>
      <c r="F197" s="8">
        <f t="shared" si="11"/>
        <v>5.8823529411764705E-2</v>
      </c>
      <c r="G197" s="73" t="s">
        <v>925</v>
      </c>
    </row>
    <row r="198" spans="1:7">
      <c r="A198" s="106"/>
      <c r="B198" s="29" t="s">
        <v>216</v>
      </c>
      <c r="C198" s="15"/>
      <c r="D198" s="16" t="s">
        <v>530</v>
      </c>
      <c r="F198" s="8">
        <f t="shared" si="11"/>
        <v>5.8823529411764705E-2</v>
      </c>
      <c r="G198" s="73" t="s">
        <v>925</v>
      </c>
    </row>
    <row r="199" spans="1:7">
      <c r="A199" s="106"/>
      <c r="B199" s="29" t="s">
        <v>218</v>
      </c>
      <c r="C199" s="15"/>
      <c r="D199" s="16" t="s">
        <v>531</v>
      </c>
      <c r="F199" s="8">
        <f t="shared" si="11"/>
        <v>5.8823529411764705E-2</v>
      </c>
      <c r="G199" s="73" t="s">
        <v>925</v>
      </c>
    </row>
    <row r="200" spans="1:7">
      <c r="A200" s="106"/>
      <c r="B200" s="29" t="s">
        <v>213</v>
      </c>
      <c r="C200" s="15"/>
      <c r="D200" s="16" t="s">
        <v>532</v>
      </c>
      <c r="F200" s="8">
        <f t="shared" si="11"/>
        <v>5.8823529411764705E-2</v>
      </c>
      <c r="G200" s="73" t="s">
        <v>925</v>
      </c>
    </row>
    <row r="201" spans="1:7">
      <c r="A201" s="106"/>
      <c r="B201" s="29" t="s">
        <v>220</v>
      </c>
      <c r="C201" s="15"/>
      <c r="D201" s="16" t="s">
        <v>533</v>
      </c>
      <c r="F201" s="8">
        <f t="shared" si="11"/>
        <v>5.8823529411764705E-2</v>
      </c>
      <c r="G201" s="73" t="s">
        <v>925</v>
      </c>
    </row>
    <row r="202" spans="1:7">
      <c r="A202" s="106"/>
      <c r="B202" s="29" t="s">
        <v>208</v>
      </c>
      <c r="C202" s="15"/>
      <c r="D202" s="16" t="s">
        <v>534</v>
      </c>
      <c r="F202" s="8">
        <f t="shared" si="11"/>
        <v>5.8823529411764705E-2</v>
      </c>
      <c r="G202" s="73" t="s">
        <v>925</v>
      </c>
    </row>
    <row r="203" spans="1:7">
      <c r="A203" s="106"/>
      <c r="B203" s="29" t="s">
        <v>211</v>
      </c>
      <c r="C203" s="15"/>
      <c r="D203" s="16" t="s">
        <v>535</v>
      </c>
      <c r="F203" s="8">
        <f t="shared" si="11"/>
        <v>5.8823529411764705E-2</v>
      </c>
      <c r="G203" s="73" t="s">
        <v>925</v>
      </c>
    </row>
    <row r="204" spans="1:7">
      <c r="A204" s="106"/>
      <c r="B204" s="29" t="s">
        <v>223</v>
      </c>
      <c r="C204" s="15"/>
      <c r="D204" s="16" t="s">
        <v>536</v>
      </c>
      <c r="F204" s="8">
        <f t="shared" si="11"/>
        <v>5.8823529411764705E-2</v>
      </c>
      <c r="G204" s="73" t="s">
        <v>925</v>
      </c>
    </row>
    <row r="205" spans="1:7">
      <c r="A205" s="106"/>
      <c r="B205" s="29" t="s">
        <v>222</v>
      </c>
      <c r="C205" s="15"/>
      <c r="D205" s="16" t="s">
        <v>537</v>
      </c>
      <c r="F205" s="8">
        <f t="shared" si="11"/>
        <v>5.8823529411764705E-2</v>
      </c>
      <c r="G205" s="73" t="s">
        <v>925</v>
      </c>
    </row>
    <row r="206" spans="1:7">
      <c r="A206" s="106"/>
      <c r="B206" s="29" t="s">
        <v>217</v>
      </c>
      <c r="C206" s="15"/>
      <c r="D206" s="16" t="s">
        <v>538</v>
      </c>
      <c r="F206" s="8">
        <f t="shared" si="11"/>
        <v>5.8823529411764705E-2</v>
      </c>
      <c r="G206" s="73" t="s">
        <v>925</v>
      </c>
    </row>
    <row r="207" spans="1:7">
      <c r="A207" s="106"/>
      <c r="B207" s="29" t="s">
        <v>209</v>
      </c>
      <c r="C207" s="15"/>
      <c r="D207" s="16" t="s">
        <v>539</v>
      </c>
      <c r="F207" s="8">
        <f t="shared" si="11"/>
        <v>5.8823529411764705E-2</v>
      </c>
      <c r="G207" s="73" t="s">
        <v>925</v>
      </c>
    </row>
    <row r="208" spans="1:7">
      <c r="A208" s="106"/>
      <c r="B208" s="29" t="s">
        <v>212</v>
      </c>
      <c r="C208" s="15"/>
      <c r="D208" s="16" t="s">
        <v>540</v>
      </c>
      <c r="F208" s="8">
        <f t="shared" si="11"/>
        <v>5.8823529411764705E-2</v>
      </c>
      <c r="G208" s="73" t="s">
        <v>925</v>
      </c>
    </row>
    <row r="209" spans="1:7">
      <c r="A209" s="106"/>
      <c r="B209" s="29" t="s">
        <v>214</v>
      </c>
      <c r="C209" s="15"/>
      <c r="D209" s="16" t="s">
        <v>541</v>
      </c>
      <c r="F209" s="8">
        <f t="shared" si="11"/>
        <v>5.8823529411764705E-2</v>
      </c>
      <c r="G209" s="73" t="s">
        <v>925</v>
      </c>
    </row>
    <row r="210" spans="1:7">
      <c r="A210" s="106"/>
      <c r="B210" s="29" t="s">
        <v>215</v>
      </c>
      <c r="C210" s="32"/>
      <c r="D210" s="16" t="s">
        <v>542</v>
      </c>
      <c r="F210" s="8">
        <f t="shared" si="11"/>
        <v>5.8823529411764705E-2</v>
      </c>
      <c r="G210" s="73" t="s">
        <v>925</v>
      </c>
    </row>
    <row r="211" spans="1:7">
      <c r="A211" s="106" t="s">
        <v>20</v>
      </c>
      <c r="B211" s="29" t="s">
        <v>226</v>
      </c>
      <c r="C211" s="15"/>
      <c r="D211" s="16" t="s">
        <v>543</v>
      </c>
      <c r="F211" s="8">
        <f t="shared" ref="F211:F217" si="12" xml:space="preserve"> 1/ROWS(B211:B217)</f>
        <v>0.14285714285714285</v>
      </c>
      <c r="G211" s="73" t="s">
        <v>925</v>
      </c>
    </row>
    <row r="212" spans="1:7">
      <c r="A212" s="106"/>
      <c r="B212" s="29" t="s">
        <v>225</v>
      </c>
      <c r="C212" s="15"/>
      <c r="D212" s="16" t="s">
        <v>544</v>
      </c>
      <c r="F212" s="8">
        <f t="shared" si="12"/>
        <v>0.14285714285714285</v>
      </c>
      <c r="G212" s="73" t="s">
        <v>925</v>
      </c>
    </row>
    <row r="213" spans="1:7">
      <c r="A213" s="106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925</v>
      </c>
    </row>
    <row r="214" spans="1:7">
      <c r="A214" s="106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925</v>
      </c>
    </row>
    <row r="215" spans="1:7">
      <c r="A215" s="106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925</v>
      </c>
    </row>
    <row r="216" spans="1:7">
      <c r="A216" s="106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925</v>
      </c>
    </row>
    <row r="217" spans="1:7">
      <c r="A217" s="106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925</v>
      </c>
    </row>
    <row r="218" spans="1:7">
      <c r="A218" s="106" t="s">
        <v>21</v>
      </c>
      <c r="B218" s="29" t="s">
        <v>231</v>
      </c>
      <c r="C218" s="15"/>
      <c r="D218" s="16" t="s">
        <v>552</v>
      </c>
      <c r="F218" s="8">
        <f t="shared" ref="F218:F225" si="13" xml:space="preserve"> 1/ROWS(B218:B225)</f>
        <v>0.125</v>
      </c>
      <c r="G218" s="73" t="s">
        <v>925</v>
      </c>
    </row>
    <row r="219" spans="1:7">
      <c r="A219" s="106"/>
      <c r="B219" s="29" t="s">
        <v>236</v>
      </c>
      <c r="C219" s="15" t="s">
        <v>724</v>
      </c>
      <c r="D219" s="16" t="s">
        <v>553</v>
      </c>
      <c r="F219" s="8">
        <f t="shared" si="13"/>
        <v>0.125</v>
      </c>
      <c r="G219" s="73" t="s">
        <v>925</v>
      </c>
    </row>
    <row r="220" spans="1:7">
      <c r="A220" s="106"/>
      <c r="B220" s="29" t="s">
        <v>232</v>
      </c>
      <c r="C220" s="15"/>
      <c r="D220" s="16" t="s">
        <v>554</v>
      </c>
      <c r="F220" s="8">
        <f t="shared" si="13"/>
        <v>0.125</v>
      </c>
      <c r="G220" s="73" t="s">
        <v>925</v>
      </c>
    </row>
    <row r="221" spans="1:7">
      <c r="A221" s="106"/>
      <c r="B221" s="29" t="s">
        <v>230</v>
      </c>
      <c r="C221" s="15"/>
      <c r="D221" s="16" t="s">
        <v>555</v>
      </c>
      <c r="F221" s="8">
        <f t="shared" si="13"/>
        <v>0.125</v>
      </c>
      <c r="G221" s="73" t="s">
        <v>925</v>
      </c>
    </row>
    <row r="222" spans="1:7">
      <c r="A222" s="106"/>
      <c r="B222" s="29" t="s">
        <v>234</v>
      </c>
      <c r="C222" s="15"/>
      <c r="D222" s="16" t="s">
        <v>556</v>
      </c>
      <c r="F222" s="8">
        <f t="shared" si="13"/>
        <v>0.125</v>
      </c>
      <c r="G222" s="73" t="s">
        <v>925</v>
      </c>
    </row>
    <row r="223" spans="1:7">
      <c r="A223" s="106"/>
      <c r="B223" s="29" t="s">
        <v>233</v>
      </c>
      <c r="C223" s="15"/>
      <c r="D223" s="16" t="s">
        <v>557</v>
      </c>
      <c r="F223" s="8">
        <f t="shared" si="13"/>
        <v>0.125</v>
      </c>
      <c r="G223" s="73" t="s">
        <v>925</v>
      </c>
    </row>
    <row r="224" spans="1:7">
      <c r="A224" s="106"/>
      <c r="B224" s="29" t="s">
        <v>229</v>
      </c>
      <c r="C224" s="15"/>
      <c r="D224" s="16" t="s">
        <v>558</v>
      </c>
      <c r="F224" s="8">
        <f t="shared" si="13"/>
        <v>0.125</v>
      </c>
      <c r="G224" s="73" t="s">
        <v>925</v>
      </c>
    </row>
    <row r="225" spans="1:7">
      <c r="A225" s="106"/>
      <c r="B225" s="29" t="s">
        <v>235</v>
      </c>
      <c r="C225" s="15"/>
      <c r="D225" s="16" t="s">
        <v>559</v>
      </c>
      <c r="F225" s="8">
        <f t="shared" si="13"/>
        <v>0.125</v>
      </c>
      <c r="G225" s="73" t="s">
        <v>925</v>
      </c>
    </row>
    <row r="226" spans="1:7">
      <c r="A226" s="106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925</v>
      </c>
    </row>
    <row r="227" spans="1:7">
      <c r="A227" s="106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925</v>
      </c>
    </row>
    <row r="228" spans="1:7">
      <c r="A228" s="106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925</v>
      </c>
    </row>
    <row r="229" spans="1:7">
      <c r="A229" s="106"/>
      <c r="B229" s="29" t="s">
        <v>239</v>
      </c>
      <c r="C229" s="15"/>
      <c r="D229" s="16" t="s">
        <v>563</v>
      </c>
      <c r="F229" s="8">
        <f xml:space="preserve"> 1/ROWS(B229:B232)</f>
        <v>0.25</v>
      </c>
      <c r="G229" s="73" t="s">
        <v>925</v>
      </c>
    </row>
    <row r="230" spans="1:7">
      <c r="A230" s="106"/>
      <c r="B230" s="29" t="s">
        <v>242</v>
      </c>
      <c r="C230" s="15"/>
      <c r="D230" s="16" t="s">
        <v>564</v>
      </c>
      <c r="F230" s="8">
        <f xml:space="preserve"> 1/ROWS(B230:B233)</f>
        <v>0.25</v>
      </c>
      <c r="G230" s="73" t="s">
        <v>925</v>
      </c>
    </row>
    <row r="231" spans="1:7">
      <c r="A231" s="106"/>
      <c r="B231" s="29" t="s">
        <v>240</v>
      </c>
      <c r="C231" s="15"/>
      <c r="D231" s="16" t="s">
        <v>565</v>
      </c>
      <c r="F231" s="8">
        <f xml:space="preserve"> 1/ROWS(B231:B234)</f>
        <v>0.25</v>
      </c>
      <c r="G231" s="73" t="s">
        <v>925</v>
      </c>
    </row>
    <row r="232" spans="1:7">
      <c r="A232" s="106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925</v>
      </c>
    </row>
    <row r="233" spans="1:7">
      <c r="A233" s="106"/>
      <c r="B233" s="29" t="s">
        <v>245</v>
      </c>
      <c r="C233" s="15"/>
      <c r="D233" s="16" t="s">
        <v>567</v>
      </c>
      <c r="F233" s="8">
        <f xml:space="preserve"> 1/ROWS(B233:B237)</f>
        <v>0.2</v>
      </c>
      <c r="G233" s="73" t="s">
        <v>925</v>
      </c>
    </row>
    <row r="234" spans="1:7">
      <c r="A234" s="106"/>
      <c r="B234" s="29" t="s">
        <v>244</v>
      </c>
      <c r="C234" s="15"/>
      <c r="D234" s="16" t="s">
        <v>568</v>
      </c>
      <c r="F234" s="8">
        <f xml:space="preserve"> 1/ROWS(B234:B238)</f>
        <v>0.2</v>
      </c>
      <c r="G234" s="73" t="s">
        <v>925</v>
      </c>
    </row>
    <row r="235" spans="1:7">
      <c r="A235" s="106"/>
      <c r="B235" s="29" t="s">
        <v>246</v>
      </c>
      <c r="C235" s="15"/>
      <c r="D235" s="16" t="s">
        <v>569</v>
      </c>
      <c r="F235" s="8">
        <f xml:space="preserve"> 1/ROWS(B235:B239)</f>
        <v>0.2</v>
      </c>
      <c r="G235" s="73" t="s">
        <v>925</v>
      </c>
    </row>
    <row r="236" spans="1:7">
      <c r="A236" s="106"/>
      <c r="B236" s="29" t="s">
        <v>570</v>
      </c>
      <c r="C236" s="15"/>
      <c r="D236" s="16" t="s">
        <v>571</v>
      </c>
      <c r="F236" s="8">
        <f xml:space="preserve"> 1/ROWS(B236:B240)</f>
        <v>0.2</v>
      </c>
      <c r="G236" s="73" t="s">
        <v>925</v>
      </c>
    </row>
    <row r="237" spans="1:7">
      <c r="A237" s="106" t="s">
        <v>25</v>
      </c>
      <c r="B237" s="29" t="s">
        <v>247</v>
      </c>
      <c r="C237" s="15"/>
      <c r="D237" s="16" t="s">
        <v>572</v>
      </c>
      <c r="F237" s="8">
        <f t="shared" ref="F237:F244" si="14" xml:space="preserve"> 1/ROWS(B237:B244)</f>
        <v>0.125</v>
      </c>
      <c r="G237" s="73" t="s">
        <v>925</v>
      </c>
    </row>
    <row r="238" spans="1:7">
      <c r="A238" s="106"/>
      <c r="B238" s="29" t="s">
        <v>248</v>
      </c>
      <c r="C238" s="15"/>
      <c r="D238" s="16" t="s">
        <v>573</v>
      </c>
      <c r="F238" s="8">
        <f t="shared" si="14"/>
        <v>0.125</v>
      </c>
      <c r="G238" s="73" t="s">
        <v>925</v>
      </c>
    </row>
    <row r="239" spans="1:7">
      <c r="A239" s="106"/>
      <c r="B239" s="29" t="s">
        <v>252</v>
      </c>
      <c r="C239" s="15"/>
      <c r="D239" s="16" t="s">
        <v>574</v>
      </c>
      <c r="F239" s="8">
        <f t="shared" si="14"/>
        <v>0.125</v>
      </c>
      <c r="G239" s="73" t="s">
        <v>925</v>
      </c>
    </row>
    <row r="240" spans="1:7">
      <c r="A240" s="106"/>
      <c r="B240" s="29" t="s">
        <v>254</v>
      </c>
      <c r="C240" s="15"/>
      <c r="D240" s="16" t="s">
        <v>575</v>
      </c>
      <c r="F240" s="8">
        <f t="shared" si="14"/>
        <v>0.125</v>
      </c>
      <c r="G240" s="73" t="s">
        <v>925</v>
      </c>
    </row>
    <row r="241" spans="1:7">
      <c r="A241" s="106"/>
      <c r="B241" s="29" t="s">
        <v>251</v>
      </c>
      <c r="C241" s="32"/>
      <c r="D241" s="16" t="s">
        <v>576</v>
      </c>
      <c r="F241" s="8">
        <f t="shared" si="14"/>
        <v>0.125</v>
      </c>
      <c r="G241" s="73" t="s">
        <v>925</v>
      </c>
    </row>
    <row r="242" spans="1:7">
      <c r="A242" s="106"/>
      <c r="B242" s="29" t="s">
        <v>253</v>
      </c>
      <c r="C242" s="15"/>
      <c r="D242" s="16" t="s">
        <v>577</v>
      </c>
      <c r="F242" s="8">
        <f t="shared" si="14"/>
        <v>0.125</v>
      </c>
      <c r="G242" s="73" t="s">
        <v>925</v>
      </c>
    </row>
    <row r="243" spans="1:7">
      <c r="A243" s="106"/>
      <c r="B243" s="29" t="s">
        <v>250</v>
      </c>
      <c r="C243" s="15"/>
      <c r="D243" s="16" t="s">
        <v>578</v>
      </c>
      <c r="F243" s="8">
        <f t="shared" si="14"/>
        <v>0.125</v>
      </c>
      <c r="G243" s="73" t="s">
        <v>925</v>
      </c>
    </row>
    <row r="244" spans="1:7">
      <c r="A244" s="106"/>
      <c r="B244" s="29" t="s">
        <v>249</v>
      </c>
      <c r="C244" s="15"/>
      <c r="D244" s="16" t="s">
        <v>579</v>
      </c>
      <c r="F244" s="8">
        <f t="shared" si="14"/>
        <v>0.125</v>
      </c>
      <c r="G244" s="73" t="s">
        <v>925</v>
      </c>
    </row>
    <row r="245" spans="1:7">
      <c r="A245" s="106" t="s">
        <v>26</v>
      </c>
      <c r="B245" s="29" t="s">
        <v>294</v>
      </c>
      <c r="C245" s="32"/>
      <c r="D245" s="16" t="s">
        <v>580</v>
      </c>
      <c r="F245" s="8">
        <f t="shared" ref="F245:F252" si="15" xml:space="preserve"> 1/ROWS(B245:B285)</f>
        <v>2.4390243902439025E-2</v>
      </c>
      <c r="G245" s="73" t="s">
        <v>925</v>
      </c>
    </row>
    <row r="246" spans="1:7" ht="29.25">
      <c r="A246" s="106"/>
      <c r="B246" s="29" t="s">
        <v>268</v>
      </c>
      <c r="C246" s="15"/>
      <c r="D246" s="16" t="s">
        <v>581</v>
      </c>
      <c r="F246" s="8">
        <f t="shared" si="15"/>
        <v>2.4390243902439025E-2</v>
      </c>
      <c r="G246" s="73" t="s">
        <v>925</v>
      </c>
    </row>
    <row r="247" spans="1:7">
      <c r="A247" s="106"/>
      <c r="B247" s="29" t="s">
        <v>280</v>
      </c>
      <c r="C247" s="15"/>
      <c r="D247" s="16" t="s">
        <v>582</v>
      </c>
      <c r="F247" s="8">
        <f t="shared" si="15"/>
        <v>2.4390243902439025E-2</v>
      </c>
      <c r="G247" s="73" t="s">
        <v>925</v>
      </c>
    </row>
    <row r="248" spans="1:7">
      <c r="A248" s="106"/>
      <c r="B248" s="29" t="s">
        <v>270</v>
      </c>
      <c r="C248" s="15"/>
      <c r="D248" s="16" t="s">
        <v>583</v>
      </c>
      <c r="F248" s="8">
        <f t="shared" si="15"/>
        <v>2.4390243902439025E-2</v>
      </c>
      <c r="G248" s="73" t="s">
        <v>925</v>
      </c>
    </row>
    <row r="249" spans="1:7">
      <c r="A249" s="106"/>
      <c r="B249" s="29" t="s">
        <v>285</v>
      </c>
      <c r="C249" s="15"/>
      <c r="D249" s="16" t="s">
        <v>584</v>
      </c>
      <c r="F249" s="8">
        <f t="shared" si="15"/>
        <v>2.4390243902439025E-2</v>
      </c>
      <c r="G249" s="73" t="s">
        <v>925</v>
      </c>
    </row>
    <row r="250" spans="1:7">
      <c r="A250" s="106"/>
      <c r="B250" s="29" t="s">
        <v>264</v>
      </c>
      <c r="C250" s="15"/>
      <c r="D250" s="16" t="s">
        <v>585</v>
      </c>
      <c r="F250" s="8">
        <f t="shared" si="15"/>
        <v>2.4390243902439025E-2</v>
      </c>
      <c r="G250" s="73" t="s">
        <v>925</v>
      </c>
    </row>
    <row r="251" spans="1:7">
      <c r="A251" s="106"/>
      <c r="B251" s="29" t="s">
        <v>269</v>
      </c>
      <c r="C251" s="15"/>
      <c r="D251" s="16" t="s">
        <v>586</v>
      </c>
      <c r="F251" s="8">
        <f t="shared" si="15"/>
        <v>2.4390243902439025E-2</v>
      </c>
      <c r="G251" s="73" t="s">
        <v>925</v>
      </c>
    </row>
    <row r="252" spans="1:7" ht="29.25">
      <c r="A252" s="106"/>
      <c r="B252" s="29" t="s">
        <v>277</v>
      </c>
      <c r="C252" s="15"/>
      <c r="D252" s="16" t="s">
        <v>587</v>
      </c>
      <c r="F252" s="8">
        <f t="shared" si="15"/>
        <v>2.4390243902439025E-2</v>
      </c>
      <c r="G252" s="73" t="s">
        <v>925</v>
      </c>
    </row>
    <row r="253" spans="1:7">
      <c r="A253" s="106"/>
      <c r="B253" s="29" t="s">
        <v>295</v>
      </c>
      <c r="C253" s="15"/>
      <c r="D253" s="16" t="s">
        <v>588</v>
      </c>
      <c r="F253" s="8">
        <f t="shared" ref="F253:F285" si="16" xml:space="preserve"> 1/ROWS(B253:B297)</f>
        <v>2.2222222222222223E-2</v>
      </c>
      <c r="G253" s="73" t="s">
        <v>925</v>
      </c>
    </row>
    <row r="254" spans="1:7">
      <c r="A254" s="106"/>
      <c r="B254" s="29" t="s">
        <v>266</v>
      </c>
      <c r="C254" s="15"/>
      <c r="D254" s="16" t="s">
        <v>589</v>
      </c>
      <c r="F254" s="8">
        <f t="shared" si="16"/>
        <v>2.2222222222222223E-2</v>
      </c>
      <c r="G254" s="73" t="s">
        <v>925</v>
      </c>
    </row>
    <row r="255" spans="1:7">
      <c r="A255" s="106"/>
      <c r="B255" s="29" t="s">
        <v>263</v>
      </c>
      <c r="C255" s="15"/>
      <c r="D255" s="16" t="s">
        <v>590</v>
      </c>
      <c r="F255" s="8">
        <f t="shared" si="16"/>
        <v>2.2222222222222223E-2</v>
      </c>
      <c r="G255" s="73" t="s">
        <v>925</v>
      </c>
    </row>
    <row r="256" spans="1:7">
      <c r="A256" s="106"/>
      <c r="B256" s="29" t="s">
        <v>279</v>
      </c>
      <c r="C256" s="15"/>
      <c r="D256" s="16" t="s">
        <v>591</v>
      </c>
      <c r="F256" s="8">
        <f t="shared" si="16"/>
        <v>2.2222222222222223E-2</v>
      </c>
      <c r="G256" s="73" t="s">
        <v>925</v>
      </c>
    </row>
    <row r="257" spans="1:7" ht="29.25">
      <c r="A257" s="106"/>
      <c r="B257" s="29" t="s">
        <v>272</v>
      </c>
      <c r="C257" s="15"/>
      <c r="D257" s="16" t="s">
        <v>592</v>
      </c>
      <c r="F257" s="8">
        <f t="shared" si="16"/>
        <v>2.2222222222222223E-2</v>
      </c>
      <c r="G257" s="73" t="s">
        <v>925</v>
      </c>
    </row>
    <row r="258" spans="1:7">
      <c r="A258" s="106"/>
      <c r="B258" s="29" t="s">
        <v>271</v>
      </c>
      <c r="C258" s="15"/>
      <c r="D258" s="16" t="s">
        <v>593</v>
      </c>
      <c r="F258" s="8">
        <f t="shared" si="16"/>
        <v>2.2222222222222223E-2</v>
      </c>
      <c r="G258" s="73" t="s">
        <v>925</v>
      </c>
    </row>
    <row r="259" spans="1:7" ht="29.25">
      <c r="A259" s="106"/>
      <c r="B259" s="29" t="s">
        <v>275</v>
      </c>
      <c r="C259" s="15"/>
      <c r="D259" s="16" t="s">
        <v>594</v>
      </c>
      <c r="F259" s="8">
        <f t="shared" si="16"/>
        <v>2.2222222222222223E-2</v>
      </c>
      <c r="G259" s="73" t="s">
        <v>925</v>
      </c>
    </row>
    <row r="260" spans="1:7">
      <c r="A260" s="106"/>
      <c r="B260" s="29" t="s">
        <v>267</v>
      </c>
      <c r="C260" s="15"/>
      <c r="D260" s="16" t="s">
        <v>595</v>
      </c>
      <c r="F260" s="8">
        <f t="shared" si="16"/>
        <v>2.2222222222222223E-2</v>
      </c>
      <c r="G260" s="73" t="s">
        <v>925</v>
      </c>
    </row>
    <row r="261" spans="1:7">
      <c r="A261" s="106"/>
      <c r="B261" s="29" t="s">
        <v>274</v>
      </c>
      <c r="C261" s="15"/>
      <c r="D261" s="16" t="s">
        <v>596</v>
      </c>
      <c r="F261" s="8">
        <f t="shared" si="16"/>
        <v>2.2222222222222223E-2</v>
      </c>
      <c r="G261" s="73" t="s">
        <v>925</v>
      </c>
    </row>
    <row r="262" spans="1:7">
      <c r="A262" s="106"/>
      <c r="B262" s="29" t="s">
        <v>282</v>
      </c>
      <c r="C262" s="15"/>
      <c r="D262" s="16" t="s">
        <v>597</v>
      </c>
      <c r="F262" s="8">
        <f t="shared" si="16"/>
        <v>2.2222222222222223E-2</v>
      </c>
      <c r="G262" s="73" t="s">
        <v>925</v>
      </c>
    </row>
    <row r="263" spans="1:7">
      <c r="A263" s="106"/>
      <c r="B263" s="29" t="s">
        <v>287</v>
      </c>
      <c r="C263" s="15"/>
      <c r="D263" s="16" t="s">
        <v>598</v>
      </c>
      <c r="F263" s="8">
        <f t="shared" si="16"/>
        <v>2.2222222222222223E-2</v>
      </c>
      <c r="G263" s="73" t="s">
        <v>925</v>
      </c>
    </row>
    <row r="264" spans="1:7">
      <c r="A264" s="106"/>
      <c r="B264" s="29" t="s">
        <v>265</v>
      </c>
      <c r="C264" s="15"/>
      <c r="D264" s="16" t="s">
        <v>599</v>
      </c>
      <c r="F264" s="8">
        <f t="shared" si="16"/>
        <v>2.2222222222222223E-2</v>
      </c>
      <c r="G264" s="73" t="s">
        <v>925</v>
      </c>
    </row>
    <row r="265" spans="1:7">
      <c r="A265" s="106"/>
      <c r="B265" s="29" t="s">
        <v>293</v>
      </c>
      <c r="C265" s="15"/>
      <c r="D265" s="16" t="s">
        <v>600</v>
      </c>
      <c r="F265" s="8">
        <f t="shared" si="16"/>
        <v>2.2222222222222223E-2</v>
      </c>
      <c r="G265" s="73" t="s">
        <v>925</v>
      </c>
    </row>
    <row r="266" spans="1:7">
      <c r="A266" s="106"/>
      <c r="B266" s="29" t="s">
        <v>292</v>
      </c>
      <c r="C266" s="15"/>
      <c r="D266" s="16" t="s">
        <v>601</v>
      </c>
      <c r="F266" s="8">
        <f t="shared" si="16"/>
        <v>2.2222222222222223E-2</v>
      </c>
      <c r="G266" s="73" t="s">
        <v>925</v>
      </c>
    </row>
    <row r="267" spans="1:7" ht="29.25">
      <c r="A267" s="106"/>
      <c r="B267" s="29" t="s">
        <v>291</v>
      </c>
      <c r="C267" s="15"/>
      <c r="D267" s="16" t="s">
        <v>602</v>
      </c>
      <c r="F267" s="8">
        <f t="shared" si="16"/>
        <v>2.2222222222222223E-2</v>
      </c>
      <c r="G267" s="73" t="s">
        <v>925</v>
      </c>
    </row>
    <row r="268" spans="1:7">
      <c r="A268" s="106"/>
      <c r="B268" s="29" t="s">
        <v>290</v>
      </c>
      <c r="C268" s="15"/>
      <c r="D268" s="16" t="s">
        <v>603</v>
      </c>
      <c r="F268" s="8">
        <f t="shared" si="16"/>
        <v>2.2222222222222223E-2</v>
      </c>
      <c r="G268" s="73" t="s">
        <v>925</v>
      </c>
    </row>
    <row r="269" spans="1:7" ht="29.25">
      <c r="A269" s="106"/>
      <c r="B269" s="29" t="s">
        <v>289</v>
      </c>
      <c r="C269" s="15"/>
      <c r="D269" s="16" t="s">
        <v>604</v>
      </c>
      <c r="F269" s="8">
        <f t="shared" si="16"/>
        <v>2.2222222222222223E-2</v>
      </c>
      <c r="G269" s="73" t="s">
        <v>925</v>
      </c>
    </row>
    <row r="270" spans="1:7" ht="29.25">
      <c r="A270" s="106"/>
      <c r="B270" s="29" t="s">
        <v>286</v>
      </c>
      <c r="C270" s="15"/>
      <c r="D270" s="16" t="s">
        <v>605</v>
      </c>
      <c r="F270" s="8">
        <f t="shared" si="16"/>
        <v>2.2222222222222223E-2</v>
      </c>
      <c r="G270" s="73" t="s">
        <v>925</v>
      </c>
    </row>
    <row r="271" spans="1:7">
      <c r="A271" s="106"/>
      <c r="B271" s="29" t="s">
        <v>283</v>
      </c>
      <c r="C271" s="15"/>
      <c r="D271" s="16" t="s">
        <v>606</v>
      </c>
      <c r="F271" s="8">
        <f t="shared" si="16"/>
        <v>2.2222222222222223E-2</v>
      </c>
      <c r="G271" s="73" t="s">
        <v>925</v>
      </c>
    </row>
    <row r="272" spans="1:7">
      <c r="A272" s="106"/>
      <c r="B272" s="29" t="s">
        <v>276</v>
      </c>
      <c r="C272" s="15"/>
      <c r="D272" s="16" t="s">
        <v>607</v>
      </c>
      <c r="F272" s="8">
        <f t="shared" si="16"/>
        <v>2.2222222222222223E-2</v>
      </c>
      <c r="G272" s="73" t="s">
        <v>925</v>
      </c>
    </row>
    <row r="273" spans="1:7">
      <c r="A273" s="106"/>
      <c r="B273" s="29" t="s">
        <v>273</v>
      </c>
      <c r="C273" s="15"/>
      <c r="D273" s="16" t="s">
        <v>608</v>
      </c>
      <c r="F273" s="8">
        <f t="shared" si="16"/>
        <v>2.2222222222222223E-2</v>
      </c>
      <c r="G273" s="73" t="s">
        <v>925</v>
      </c>
    </row>
    <row r="274" spans="1:7" ht="29.25">
      <c r="A274" s="106"/>
      <c r="B274" s="29" t="s">
        <v>288</v>
      </c>
      <c r="C274" s="15"/>
      <c r="D274" s="16" t="s">
        <v>609</v>
      </c>
      <c r="F274" s="8">
        <f t="shared" si="16"/>
        <v>2.2222222222222223E-2</v>
      </c>
      <c r="G274" s="73" t="s">
        <v>925</v>
      </c>
    </row>
    <row r="275" spans="1:7">
      <c r="A275" s="106"/>
      <c r="B275" s="29" t="s">
        <v>284</v>
      </c>
      <c r="C275" s="15"/>
      <c r="D275" s="16" t="s">
        <v>610</v>
      </c>
      <c r="F275" s="8">
        <f t="shared" si="16"/>
        <v>2.2222222222222223E-2</v>
      </c>
      <c r="G275" s="73" t="s">
        <v>925</v>
      </c>
    </row>
    <row r="276" spans="1:7">
      <c r="A276" s="106"/>
      <c r="B276" s="29" t="s">
        <v>281</v>
      </c>
      <c r="C276" s="15"/>
      <c r="D276" s="16" t="s">
        <v>611</v>
      </c>
      <c r="F276" s="8">
        <f t="shared" si="16"/>
        <v>2.2222222222222223E-2</v>
      </c>
      <c r="G276" s="73" t="s">
        <v>925</v>
      </c>
    </row>
    <row r="277" spans="1:7">
      <c r="A277" s="106"/>
      <c r="B277" s="29" t="s">
        <v>278</v>
      </c>
      <c r="C277" s="15"/>
      <c r="D277" s="16" t="s">
        <v>612</v>
      </c>
      <c r="F277" s="8">
        <f t="shared" si="16"/>
        <v>2.2222222222222223E-2</v>
      </c>
      <c r="G277" s="73" t="s">
        <v>925</v>
      </c>
    </row>
    <row r="278" spans="1:7">
      <c r="A278" s="106"/>
      <c r="B278" s="29" t="s">
        <v>255</v>
      </c>
      <c r="C278" s="15"/>
      <c r="D278" s="16" t="s">
        <v>613</v>
      </c>
      <c r="F278" s="8">
        <f t="shared" si="16"/>
        <v>2.2222222222222223E-2</v>
      </c>
      <c r="G278" s="73" t="s">
        <v>925</v>
      </c>
    </row>
    <row r="279" spans="1:7">
      <c r="A279" s="106"/>
      <c r="B279" s="29" t="s">
        <v>256</v>
      </c>
      <c r="C279" s="15"/>
      <c r="D279" s="16" t="s">
        <v>614</v>
      </c>
      <c r="F279" s="8">
        <f t="shared" si="16"/>
        <v>2.2222222222222223E-2</v>
      </c>
      <c r="G279" s="73" t="s">
        <v>925</v>
      </c>
    </row>
    <row r="280" spans="1:7">
      <c r="A280" s="106"/>
      <c r="B280" s="29" t="s">
        <v>261</v>
      </c>
      <c r="C280" s="15"/>
      <c r="D280" s="16" t="s">
        <v>615</v>
      </c>
      <c r="F280" s="8">
        <f t="shared" si="16"/>
        <v>2.2222222222222223E-2</v>
      </c>
      <c r="G280" s="73" t="s">
        <v>925</v>
      </c>
    </row>
    <row r="281" spans="1:7">
      <c r="A281" s="106"/>
      <c r="B281" s="29" t="s">
        <v>259</v>
      </c>
      <c r="C281" s="15"/>
      <c r="D281" s="16" t="s">
        <v>616</v>
      </c>
      <c r="F281" s="8">
        <f t="shared" si="16"/>
        <v>2.2222222222222223E-2</v>
      </c>
      <c r="G281" s="73" t="s">
        <v>925</v>
      </c>
    </row>
    <row r="282" spans="1:7">
      <c r="A282" s="106"/>
      <c r="B282" s="29" t="s">
        <v>260</v>
      </c>
      <c r="C282" s="31"/>
      <c r="D282" s="16" t="s">
        <v>617</v>
      </c>
      <c r="F282" s="8">
        <f t="shared" si="16"/>
        <v>2.2222222222222223E-2</v>
      </c>
      <c r="G282" s="73" t="s">
        <v>925</v>
      </c>
    </row>
    <row r="283" spans="1:7">
      <c r="A283" s="106"/>
      <c r="B283" s="29" t="s">
        <v>258</v>
      </c>
      <c r="C283" s="15"/>
      <c r="D283" s="16" t="s">
        <v>618</v>
      </c>
      <c r="F283" s="8">
        <f t="shared" si="16"/>
        <v>2.2222222222222223E-2</v>
      </c>
      <c r="G283" s="73" t="s">
        <v>925</v>
      </c>
    </row>
    <row r="284" spans="1:7">
      <c r="A284" s="106"/>
      <c r="B284" s="29" t="s">
        <v>257</v>
      </c>
      <c r="C284" s="15"/>
      <c r="D284" s="16" t="s">
        <v>619</v>
      </c>
      <c r="F284" s="8">
        <f t="shared" si="16"/>
        <v>2.2222222222222223E-2</v>
      </c>
      <c r="G284" s="73" t="s">
        <v>925</v>
      </c>
    </row>
    <row r="285" spans="1:7">
      <c r="A285" s="106"/>
      <c r="B285" s="29" t="s">
        <v>262</v>
      </c>
      <c r="C285" s="15"/>
      <c r="D285" s="16" t="s">
        <v>620</v>
      </c>
      <c r="F285" s="8">
        <f t="shared" si="16"/>
        <v>2.2222222222222223E-2</v>
      </c>
      <c r="G285" s="73" t="s">
        <v>925</v>
      </c>
    </row>
    <row r="286" spans="1:7">
      <c r="A286" s="106" t="s">
        <v>27</v>
      </c>
      <c r="B286" s="21" t="s">
        <v>298</v>
      </c>
      <c r="D286" s="19" t="s">
        <v>628</v>
      </c>
      <c r="F286" s="8">
        <f t="shared" ref="F286:F296" si="17" xml:space="preserve"> 1/ROWS(B286:B296)</f>
        <v>9.0909090909090912E-2</v>
      </c>
      <c r="G286" s="73" t="s">
        <v>925</v>
      </c>
    </row>
    <row r="287" spans="1:7">
      <c r="A287" s="106"/>
      <c r="B287" s="19" t="s">
        <v>297</v>
      </c>
      <c r="C287" s="3" t="s">
        <v>723</v>
      </c>
      <c r="D287" s="19" t="s">
        <v>629</v>
      </c>
      <c r="F287" s="8">
        <f t="shared" si="17"/>
        <v>9.0909090909090912E-2</v>
      </c>
      <c r="G287" s="73" t="s">
        <v>925</v>
      </c>
    </row>
    <row r="288" spans="1:7">
      <c r="A288" s="106"/>
      <c r="B288" s="19" t="s">
        <v>299</v>
      </c>
      <c r="D288" s="19" t="s">
        <v>630</v>
      </c>
      <c r="F288" s="8">
        <f t="shared" si="17"/>
        <v>9.0909090909090912E-2</v>
      </c>
      <c r="G288" s="73" t="s">
        <v>925</v>
      </c>
    </row>
    <row r="289" spans="1:7">
      <c r="A289" s="106"/>
      <c r="B289" s="29" t="s">
        <v>624</v>
      </c>
      <c r="D289" s="19" t="s">
        <v>631</v>
      </c>
      <c r="F289" s="8">
        <f t="shared" si="17"/>
        <v>9.0909090909090912E-2</v>
      </c>
      <c r="G289" s="73" t="s">
        <v>925</v>
      </c>
    </row>
    <row r="290" spans="1:7">
      <c r="A290" s="106"/>
      <c r="B290" s="21" t="s">
        <v>625</v>
      </c>
      <c r="D290" s="19" t="s">
        <v>632</v>
      </c>
      <c r="F290" s="8">
        <f t="shared" si="17"/>
        <v>9.0909090909090912E-2</v>
      </c>
      <c r="G290" s="73" t="s">
        <v>925</v>
      </c>
    </row>
    <row r="291" spans="1:7">
      <c r="A291" s="106"/>
      <c r="B291" s="21" t="s">
        <v>626</v>
      </c>
      <c r="D291" s="19" t="s">
        <v>633</v>
      </c>
      <c r="F291" s="8">
        <f t="shared" si="17"/>
        <v>9.0909090909090912E-2</v>
      </c>
      <c r="G291" s="73" t="s">
        <v>925</v>
      </c>
    </row>
    <row r="292" spans="1:7">
      <c r="A292" s="106"/>
      <c r="B292" s="21" t="s">
        <v>627</v>
      </c>
      <c r="D292" s="19" t="s">
        <v>634</v>
      </c>
      <c r="F292" s="8">
        <f t="shared" si="17"/>
        <v>9.0909090909090912E-2</v>
      </c>
      <c r="G292" s="73" t="s">
        <v>925</v>
      </c>
    </row>
    <row r="293" spans="1:7">
      <c r="A293" s="106"/>
      <c r="B293" s="12" t="s">
        <v>302</v>
      </c>
      <c r="D293" s="19"/>
      <c r="F293" s="8">
        <f t="shared" si="17"/>
        <v>9.0909090909090912E-2</v>
      </c>
      <c r="G293" s="73" t="s">
        <v>925</v>
      </c>
    </row>
    <row r="294" spans="1:7">
      <c r="A294" s="106"/>
      <c r="B294" s="12" t="s">
        <v>301</v>
      </c>
      <c r="D294" s="19"/>
      <c r="F294" s="8">
        <f t="shared" si="17"/>
        <v>9.0909090909090912E-2</v>
      </c>
      <c r="G294" s="73" t="s">
        <v>925</v>
      </c>
    </row>
    <row r="295" spans="1:7">
      <c r="A295" s="106"/>
      <c r="B295" s="12" t="s">
        <v>300</v>
      </c>
      <c r="D295" s="19"/>
      <c r="F295" s="8">
        <f t="shared" si="17"/>
        <v>9.0909090909090912E-2</v>
      </c>
      <c r="G295" s="73" t="s">
        <v>925</v>
      </c>
    </row>
    <row r="296" spans="1:7">
      <c r="A296" s="106"/>
      <c r="B296" s="12" t="s">
        <v>296</v>
      </c>
      <c r="D296" s="19"/>
      <c r="F296" s="8">
        <f t="shared" si="17"/>
        <v>9.0909090909090912E-2</v>
      </c>
      <c r="G296" s="73" t="s">
        <v>925</v>
      </c>
    </row>
    <row r="297" spans="1:7">
      <c r="A297" s="106" t="s">
        <v>635</v>
      </c>
      <c r="B297" s="21" t="s">
        <v>305</v>
      </c>
      <c r="C297" s="20"/>
      <c r="D297" s="21" t="s">
        <v>636</v>
      </c>
      <c r="F297" s="8">
        <f t="shared" ref="F297:F303" si="18" xml:space="preserve"> 1/ROWS(B297:B303)</f>
        <v>0.14285714285714285</v>
      </c>
      <c r="G297" s="73" t="s">
        <v>925</v>
      </c>
    </row>
    <row r="298" spans="1:7">
      <c r="A298" s="106"/>
      <c r="B298" s="21" t="s">
        <v>307</v>
      </c>
      <c r="C298" s="20"/>
      <c r="D298" s="21" t="s">
        <v>637</v>
      </c>
      <c r="F298" s="8">
        <f t="shared" si="18"/>
        <v>0.14285714285714285</v>
      </c>
      <c r="G298" s="73" t="s">
        <v>925</v>
      </c>
    </row>
    <row r="299" spans="1:7">
      <c r="A299" s="106"/>
      <c r="B299" s="21" t="s">
        <v>309</v>
      </c>
      <c r="C299" s="20"/>
      <c r="D299" s="21" t="s">
        <v>638</v>
      </c>
      <c r="F299" s="8">
        <f t="shared" si="18"/>
        <v>0.14285714285714285</v>
      </c>
      <c r="G299" s="73" t="s">
        <v>925</v>
      </c>
    </row>
    <row r="300" spans="1:7">
      <c r="A300" s="106"/>
      <c r="B300" s="21" t="s">
        <v>303</v>
      </c>
      <c r="C300" s="20"/>
      <c r="D300" s="21" t="s">
        <v>639</v>
      </c>
      <c r="F300" s="8">
        <f t="shared" si="18"/>
        <v>0.14285714285714285</v>
      </c>
      <c r="G300" s="73" t="s">
        <v>925</v>
      </c>
    </row>
    <row r="301" spans="1:7">
      <c r="A301" s="106"/>
      <c r="B301" s="21" t="s">
        <v>308</v>
      </c>
      <c r="C301" s="20"/>
      <c r="D301" s="21" t="s">
        <v>640</v>
      </c>
      <c r="F301" s="8">
        <f t="shared" si="18"/>
        <v>0.14285714285714285</v>
      </c>
      <c r="G301" s="73" t="s">
        <v>925</v>
      </c>
    </row>
    <row r="302" spans="1:7">
      <c r="A302" s="106"/>
      <c r="B302" s="21" t="s">
        <v>304</v>
      </c>
      <c r="C302" s="20"/>
      <c r="D302" s="21" t="s">
        <v>641</v>
      </c>
      <c r="F302" s="8">
        <f t="shared" si="18"/>
        <v>0.14285714285714285</v>
      </c>
      <c r="G302" s="73" t="s">
        <v>925</v>
      </c>
    </row>
    <row r="303" spans="1:7">
      <c r="A303" s="106"/>
      <c r="B303" s="21" t="s">
        <v>306</v>
      </c>
      <c r="C303" s="20"/>
      <c r="D303" s="21" t="s">
        <v>642</v>
      </c>
      <c r="F303" s="8">
        <f t="shared" si="18"/>
        <v>0.14285714285714285</v>
      </c>
      <c r="G303" s="73" t="s">
        <v>925</v>
      </c>
    </row>
    <row r="304" spans="1:7">
      <c r="A304" s="26" t="s">
        <v>28</v>
      </c>
      <c r="B304" s="33" t="s">
        <v>310</v>
      </c>
      <c r="C304" s="34"/>
      <c r="D304" s="33" t="s">
        <v>643</v>
      </c>
      <c r="F304" s="8">
        <v>1</v>
      </c>
      <c r="G304" s="73" t="s">
        <v>925</v>
      </c>
    </row>
    <row r="305" spans="1:7">
      <c r="A305" s="24" t="s">
        <v>29</v>
      </c>
      <c r="B305" s="19" t="s">
        <v>311</v>
      </c>
      <c r="C305" s="16"/>
      <c r="D305" s="16" t="s">
        <v>644</v>
      </c>
      <c r="F305" s="8">
        <v>1</v>
      </c>
      <c r="G305" s="73" t="s">
        <v>925</v>
      </c>
    </row>
    <row r="306" spans="1:7">
      <c r="A306" s="106" t="s">
        <v>30</v>
      </c>
      <c r="B306" s="19" t="s">
        <v>33</v>
      </c>
      <c r="C306" s="16"/>
      <c r="D306" s="19" t="s">
        <v>645</v>
      </c>
      <c r="F306" s="8">
        <f xml:space="preserve"> 1/ROWS(B306:B308)</f>
        <v>0.33333333333333331</v>
      </c>
      <c r="G306" s="73" t="s">
        <v>925</v>
      </c>
    </row>
    <row r="307" spans="1:7">
      <c r="A307" s="106"/>
      <c r="B307" s="19" t="s">
        <v>34</v>
      </c>
      <c r="C307" s="16"/>
      <c r="D307" s="19" t="s">
        <v>646</v>
      </c>
      <c r="F307" s="8">
        <f xml:space="preserve"> 1/ROWS(B307:B309)</f>
        <v>0.33333333333333331</v>
      </c>
      <c r="G307" s="73" t="s">
        <v>925</v>
      </c>
    </row>
    <row r="308" spans="1:7">
      <c r="A308" s="106"/>
      <c r="B308" s="19" t="s">
        <v>35</v>
      </c>
      <c r="C308" s="16"/>
      <c r="D308" s="19" t="s">
        <v>647</v>
      </c>
      <c r="F308" s="8">
        <f xml:space="preserve"> 1/ROWS(B308:B310)</f>
        <v>0.33333333333333331</v>
      </c>
      <c r="G308" s="73" t="s">
        <v>925</v>
      </c>
    </row>
    <row r="309" spans="1:7">
      <c r="A309" s="106" t="s">
        <v>31</v>
      </c>
      <c r="B309" s="19" t="s">
        <v>315</v>
      </c>
      <c r="C309" s="16"/>
      <c r="D309" s="19" t="s">
        <v>648</v>
      </c>
      <c r="F309" s="8">
        <f xml:space="preserve"> 1/ROWS(B309:B312)</f>
        <v>0.25</v>
      </c>
      <c r="G309" s="73" t="s">
        <v>925</v>
      </c>
    </row>
    <row r="310" spans="1:7">
      <c r="A310" s="106"/>
      <c r="B310" s="19" t="s">
        <v>314</v>
      </c>
      <c r="C310" s="16" t="s">
        <v>725</v>
      </c>
      <c r="D310" s="19" t="s">
        <v>649</v>
      </c>
      <c r="F310" s="8">
        <f xml:space="preserve"> 1/ROWS(B310:B313)</f>
        <v>0.25</v>
      </c>
      <c r="G310" s="73" t="s">
        <v>925</v>
      </c>
    </row>
    <row r="311" spans="1:7" ht="29.25">
      <c r="A311" s="106"/>
      <c r="B311" s="19" t="s">
        <v>313</v>
      </c>
      <c r="C311" s="16"/>
      <c r="D311" s="16" t="s">
        <v>650</v>
      </c>
      <c r="F311" s="8">
        <f xml:space="preserve"> 1/ROWS(B311:B314)</f>
        <v>0.25</v>
      </c>
      <c r="G311" s="73" t="s">
        <v>925</v>
      </c>
    </row>
    <row r="312" spans="1:7">
      <c r="A312" s="106"/>
      <c r="B312" s="19" t="s">
        <v>312</v>
      </c>
      <c r="C312" s="16"/>
      <c r="D312" s="16" t="s">
        <v>651</v>
      </c>
      <c r="F312" s="8">
        <f xml:space="preserve"> 1/ROWS(B312:B315)</f>
        <v>0.25</v>
      </c>
      <c r="G312" s="73" t="s">
        <v>925</v>
      </c>
    </row>
    <row r="313" spans="1:7">
      <c r="A313" s="26" t="s">
        <v>32</v>
      </c>
      <c r="B313" s="19" t="s">
        <v>1015</v>
      </c>
      <c r="F313" s="8">
        <v>1</v>
      </c>
      <c r="G313" s="73" t="s">
        <v>925</v>
      </c>
    </row>
    <row r="314" spans="1:7">
      <c r="A314" s="26" t="s">
        <v>1026</v>
      </c>
      <c r="B314" s="19" t="s">
        <v>654</v>
      </c>
      <c r="D314" s="3" t="s">
        <v>1026</v>
      </c>
      <c r="F314" s="8">
        <v>1</v>
      </c>
      <c r="G314" s="73" t="s">
        <v>925</v>
      </c>
    </row>
    <row r="315" spans="1:7">
      <c r="A315" s="26" t="s">
        <v>933</v>
      </c>
      <c r="B315" s="19" t="s">
        <v>653</v>
      </c>
      <c r="D315" s="3" t="s">
        <v>652</v>
      </c>
      <c r="F315" s="8">
        <v>1</v>
      </c>
      <c r="G315" s="73" t="s">
        <v>925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5"/>
  <sheetViews>
    <sheetView topLeftCell="A8" workbookViewId="0"/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9.875" style="3" hidden="1" customWidth="1"/>
    <col min="4" max="4" width="18.875" style="44" bestFit="1" customWidth="1"/>
    <col min="5" max="5" width="11.625" style="59" bestFit="1" customWidth="1"/>
    <col min="6" max="6" width="24" style="3" bestFit="1" customWidth="1"/>
    <col min="7" max="7" width="16.875" style="3" bestFit="1" customWidth="1"/>
    <col min="8" max="8" width="20.625" style="3" bestFit="1" customWidth="1"/>
    <col min="9" max="16384" width="10.875" style="3"/>
  </cols>
  <sheetData>
    <row r="1" spans="1:10">
      <c r="A1" s="22" t="s">
        <v>0</v>
      </c>
      <c r="B1" s="22" t="s">
        <v>1</v>
      </c>
      <c r="C1" s="22" t="s">
        <v>655</v>
      </c>
      <c r="D1" s="84" t="s">
        <v>934</v>
      </c>
      <c r="E1" s="84" t="s">
        <v>935</v>
      </c>
      <c r="F1" s="85" t="s">
        <v>874</v>
      </c>
      <c r="G1" s="84" t="s">
        <v>927</v>
      </c>
      <c r="H1" s="2"/>
    </row>
    <row r="2" spans="1:10" ht="30">
      <c r="A2" s="106" t="s">
        <v>3</v>
      </c>
      <c r="B2" s="5" t="s">
        <v>36</v>
      </c>
      <c r="C2" s="7" t="s">
        <v>621</v>
      </c>
      <c r="D2">
        <v>0</v>
      </c>
      <c r="E2">
        <v>0</v>
      </c>
      <c r="F2" s="83">
        <v>0</v>
      </c>
      <c r="G2"/>
      <c r="H2" s="43"/>
      <c r="I2" s="43"/>
      <c r="J2" s="45"/>
    </row>
    <row r="3" spans="1:10" ht="15.75">
      <c r="A3" s="106"/>
      <c r="B3" s="5" t="s">
        <v>46</v>
      </c>
      <c r="C3" s="7" t="s">
        <v>316</v>
      </c>
      <c r="D3">
        <v>4.6326349999999996</v>
      </c>
      <c r="E3">
        <v>1.2868430555555549E-3</v>
      </c>
      <c r="F3" s="83">
        <v>1.7711509500031562E-2</v>
      </c>
      <c r="G3"/>
      <c r="H3" s="43"/>
      <c r="I3" s="43"/>
      <c r="J3" s="45"/>
    </row>
    <row r="4" spans="1:10" ht="15.75">
      <c r="A4" s="106"/>
      <c r="B4" s="5" t="s">
        <v>40</v>
      </c>
      <c r="C4" s="7" t="s">
        <v>317</v>
      </c>
      <c r="D4">
        <v>70.21884</v>
      </c>
      <c r="E4">
        <v>1.950523333333333E-2</v>
      </c>
      <c r="F4" s="83">
        <v>0.26846096265757963</v>
      </c>
      <c r="G4"/>
      <c r="H4" s="43"/>
      <c r="I4" s="43"/>
      <c r="J4" s="45"/>
    </row>
    <row r="5" spans="1:10" ht="15.75">
      <c r="A5" s="106"/>
      <c r="B5" s="5" t="s">
        <v>44</v>
      </c>
      <c r="C5" s="7" t="s">
        <v>318</v>
      </c>
      <c r="D5">
        <v>112.90458</v>
      </c>
      <c r="E5">
        <v>3.1362383333333327E-2</v>
      </c>
      <c r="F5" s="83">
        <v>0.43165726228530271</v>
      </c>
      <c r="G5"/>
      <c r="H5" s="43"/>
      <c r="I5" s="43"/>
      <c r="J5" s="45"/>
    </row>
    <row r="6" spans="1:10" ht="15.75">
      <c r="A6" s="106"/>
      <c r="B6" s="5" t="s">
        <v>45</v>
      </c>
      <c r="C6" s="7" t="s">
        <v>319</v>
      </c>
      <c r="D6">
        <v>4.8495000000000003E-2</v>
      </c>
      <c r="E6">
        <v>1.347083333333333E-5</v>
      </c>
      <c r="F6" s="83">
        <v>1.854062867469659E-4</v>
      </c>
      <c r="G6"/>
      <c r="I6" s="4"/>
    </row>
    <row r="7" spans="1:10" ht="15.75">
      <c r="A7" s="106"/>
      <c r="B7" s="5" t="s">
        <v>37</v>
      </c>
      <c r="C7" s="7" t="s">
        <v>320</v>
      </c>
      <c r="D7">
        <v>0</v>
      </c>
      <c r="E7">
        <v>0</v>
      </c>
      <c r="F7" s="83">
        <v>0</v>
      </c>
      <c r="G7"/>
      <c r="I7" s="4"/>
    </row>
    <row r="8" spans="1:10" ht="15.75">
      <c r="A8" s="106"/>
      <c r="B8" s="5" t="s">
        <v>43</v>
      </c>
      <c r="C8" s="7" t="s">
        <v>321</v>
      </c>
      <c r="D8">
        <v>14.977880000000001</v>
      </c>
      <c r="E8">
        <v>4.1605222222222222E-3</v>
      </c>
      <c r="F8" s="83">
        <v>5.7263493435233452E-2</v>
      </c>
      <c r="G8"/>
      <c r="I8" s="4"/>
    </row>
    <row r="9" spans="1:10" ht="15.75">
      <c r="A9" s="106"/>
      <c r="B9" s="5" t="s">
        <v>42</v>
      </c>
      <c r="C9" s="7" t="s">
        <v>322</v>
      </c>
      <c r="D9">
        <v>0</v>
      </c>
      <c r="E9">
        <v>0</v>
      </c>
      <c r="F9" s="83">
        <v>0</v>
      </c>
      <c r="G9"/>
      <c r="I9" s="4"/>
    </row>
    <row r="10" spans="1:10" ht="15.75">
      <c r="A10" s="106"/>
      <c r="B10" s="5" t="s">
        <v>41</v>
      </c>
      <c r="C10" s="7" t="s">
        <v>323</v>
      </c>
      <c r="D10">
        <v>10.58888</v>
      </c>
      <c r="E10">
        <v>2.9413555555555561E-3</v>
      </c>
      <c r="F10" s="83">
        <v>4.048345028578642E-2</v>
      </c>
      <c r="G10"/>
      <c r="I10" s="4"/>
    </row>
    <row r="11" spans="1:10" ht="15.75">
      <c r="A11" s="106"/>
      <c r="B11" s="5" t="s">
        <v>39</v>
      </c>
      <c r="C11" s="7" t="s">
        <v>324</v>
      </c>
      <c r="D11">
        <v>48.189399999999999</v>
      </c>
      <c r="E11">
        <v>1.338594444444444E-2</v>
      </c>
      <c r="F11" s="83">
        <v>0.18423791554931929</v>
      </c>
      <c r="G11"/>
      <c r="I11" s="4"/>
    </row>
    <row r="12" spans="1:10" ht="15.75">
      <c r="A12" s="106"/>
      <c r="B12" s="5" t="s">
        <v>38</v>
      </c>
      <c r="C12" s="7" t="s">
        <v>325</v>
      </c>
      <c r="D12">
        <v>0</v>
      </c>
      <c r="E12">
        <v>0</v>
      </c>
      <c r="F12" s="83">
        <v>0</v>
      </c>
      <c r="G12"/>
      <c r="I12" s="4"/>
    </row>
    <row r="13" spans="1:10" ht="15.75">
      <c r="A13" s="106" t="s">
        <v>4</v>
      </c>
      <c r="B13" s="5" t="s">
        <v>47</v>
      </c>
      <c r="C13" s="7" t="s">
        <v>326</v>
      </c>
      <c r="D13">
        <v>2.7932869400000002</v>
      </c>
      <c r="E13">
        <v>7.75913038888889E-4</v>
      </c>
      <c r="F13" s="83">
        <v>1.7994901036217519E-2</v>
      </c>
      <c r="G13"/>
      <c r="I13" s="4"/>
    </row>
    <row r="14" spans="1:10" ht="15.75">
      <c r="A14" s="106"/>
      <c r="B14" s="5" t="s">
        <v>49</v>
      </c>
      <c r="C14" s="7" t="s">
        <v>327</v>
      </c>
      <c r="D14">
        <v>72.756287384000004</v>
      </c>
      <c r="E14">
        <v>2.021007982888889E-2</v>
      </c>
      <c r="F14" s="83">
        <v>0.46871023971410569</v>
      </c>
      <c r="G14"/>
      <c r="I14" s="4"/>
    </row>
    <row r="15" spans="1:10" ht="15.75">
      <c r="A15" s="106"/>
      <c r="B15" s="5" t="s">
        <v>50</v>
      </c>
      <c r="C15" s="7" t="s">
        <v>328</v>
      </c>
      <c r="D15">
        <v>0</v>
      </c>
      <c r="E15">
        <v>0</v>
      </c>
      <c r="F15" s="83">
        <v>0</v>
      </c>
      <c r="G15"/>
      <c r="I15" s="4"/>
    </row>
    <row r="16" spans="1:10" ht="15.75">
      <c r="A16" s="106"/>
      <c r="B16" s="5" t="s">
        <v>51</v>
      </c>
      <c r="C16" s="7" t="s">
        <v>329</v>
      </c>
      <c r="D16">
        <v>0</v>
      </c>
      <c r="E16">
        <v>0</v>
      </c>
      <c r="F16" s="83">
        <v>0</v>
      </c>
      <c r="G16"/>
      <c r="I16" s="4"/>
    </row>
    <row r="17" spans="1:9" ht="15.75">
      <c r="A17" s="106"/>
      <c r="B17" s="5" t="s">
        <v>52</v>
      </c>
      <c r="C17" s="7" t="s">
        <v>330</v>
      </c>
      <c r="D17">
        <v>10.463119237000001</v>
      </c>
      <c r="E17">
        <v>2.906422010277777E-3</v>
      </c>
      <c r="F17" s="83">
        <v>6.7405461466826133E-2</v>
      </c>
      <c r="G17"/>
      <c r="I17" s="4"/>
    </row>
    <row r="18" spans="1:9" ht="15.75">
      <c r="A18" s="106"/>
      <c r="B18" s="5" t="s">
        <v>48</v>
      </c>
      <c r="C18" s="7" t="s">
        <v>331</v>
      </c>
      <c r="D18">
        <v>69.213886144999989</v>
      </c>
      <c r="E18">
        <v>1.9226079484722221E-2</v>
      </c>
      <c r="F18" s="83">
        <v>0.44588939778285058</v>
      </c>
      <c r="G18"/>
      <c r="I18" s="4"/>
    </row>
    <row r="19" spans="1:9" ht="15.75">
      <c r="A19" s="106" t="s">
        <v>5</v>
      </c>
      <c r="B19" s="5" t="s">
        <v>54</v>
      </c>
      <c r="C19" s="7" t="s">
        <v>332</v>
      </c>
      <c r="D19">
        <v>0</v>
      </c>
      <c r="E19">
        <v>0</v>
      </c>
      <c r="F19" s="83">
        <v>0</v>
      </c>
      <c r="I19" s="4"/>
    </row>
    <row r="20" spans="1:9" ht="15.75">
      <c r="A20" s="106"/>
      <c r="B20" s="5" t="s">
        <v>53</v>
      </c>
      <c r="C20" s="7" t="s">
        <v>333</v>
      </c>
      <c r="D20">
        <v>0.29311347900000001</v>
      </c>
      <c r="E20">
        <v>8.1420410833333339E-5</v>
      </c>
      <c r="F20" s="83">
        <v>6.9709468799223088E-4</v>
      </c>
      <c r="I20" s="4"/>
    </row>
    <row r="21" spans="1:9" ht="15.75">
      <c r="A21" s="106"/>
      <c r="B21" s="5" t="s">
        <v>60</v>
      </c>
      <c r="C21" s="7" t="s">
        <v>334</v>
      </c>
      <c r="D21">
        <v>0</v>
      </c>
      <c r="E21">
        <v>0</v>
      </c>
      <c r="F21" s="83">
        <v>0</v>
      </c>
      <c r="I21" s="4"/>
    </row>
    <row r="22" spans="1:9" ht="15.75">
      <c r="A22" s="106"/>
      <c r="B22" s="5" t="s">
        <v>58</v>
      </c>
      <c r="C22" s="7" t="s">
        <v>335</v>
      </c>
      <c r="D22">
        <v>265.78135350600002</v>
      </c>
      <c r="E22">
        <v>7.3828153751666653E-2</v>
      </c>
      <c r="F22" s="83">
        <v>0.63209228838097153</v>
      </c>
      <c r="I22" s="4"/>
    </row>
    <row r="23" spans="1:9" ht="15.75">
      <c r="A23" s="106"/>
      <c r="B23" s="5" t="s">
        <v>57</v>
      </c>
      <c r="C23" s="7" t="s">
        <v>336</v>
      </c>
      <c r="D23">
        <v>3.3677430240000001</v>
      </c>
      <c r="E23">
        <v>9.3548417333333335E-4</v>
      </c>
      <c r="F23" s="83">
        <v>8.0093067727987095E-3</v>
      </c>
      <c r="I23" s="4"/>
    </row>
    <row r="24" spans="1:9" ht="15.75">
      <c r="A24" s="106"/>
      <c r="B24" s="5" t="s">
        <v>59</v>
      </c>
      <c r="C24" s="7" t="s">
        <v>337</v>
      </c>
      <c r="D24">
        <v>1.569720872</v>
      </c>
      <c r="E24">
        <v>4.3603357555555548E-4</v>
      </c>
      <c r="F24" s="83">
        <v>3.7331755783968322E-3</v>
      </c>
      <c r="I24" s="4"/>
    </row>
    <row r="25" spans="1:9" ht="15.75">
      <c r="A25" s="106"/>
      <c r="B25" s="5" t="s">
        <v>55</v>
      </c>
      <c r="C25" s="7" t="s">
        <v>338</v>
      </c>
      <c r="D25">
        <v>17.330775014</v>
      </c>
      <c r="E25">
        <v>4.8141041705555554E-3</v>
      </c>
      <c r="F25" s="83">
        <v>4.1216771205011278E-2</v>
      </c>
      <c r="I25" s="4"/>
    </row>
    <row r="26" spans="1:9" ht="15.75">
      <c r="A26" s="106"/>
      <c r="B26" s="5" t="s">
        <v>56</v>
      </c>
      <c r="C26" s="7" t="s">
        <v>339</v>
      </c>
      <c r="D26">
        <v>132.136009621</v>
      </c>
      <c r="E26">
        <v>3.6704447116944441E-2</v>
      </c>
      <c r="F26" s="83">
        <v>0.31425136337482928</v>
      </c>
      <c r="I26" s="4"/>
    </row>
    <row r="27" spans="1:9" ht="15.75">
      <c r="A27" s="106" t="s">
        <v>6</v>
      </c>
      <c r="B27" s="5" t="s">
        <v>64</v>
      </c>
      <c r="C27" s="7" t="s">
        <v>340</v>
      </c>
      <c r="D27">
        <v>0</v>
      </c>
      <c r="E27">
        <v>0</v>
      </c>
      <c r="F27" s="83">
        <v>0</v>
      </c>
      <c r="I27" s="4"/>
    </row>
    <row r="28" spans="1:9" ht="15.75">
      <c r="A28" s="106"/>
      <c r="B28" s="5" t="s">
        <v>61</v>
      </c>
      <c r="C28" s="7" t="s">
        <v>341</v>
      </c>
      <c r="D28">
        <v>0</v>
      </c>
      <c r="E28">
        <v>0</v>
      </c>
      <c r="F28" s="83">
        <v>0</v>
      </c>
      <c r="I28" s="4"/>
    </row>
    <row r="29" spans="1:9" ht="15.75">
      <c r="A29" s="106"/>
      <c r="B29" s="5" t="s">
        <v>63</v>
      </c>
      <c r="C29" s="7" t="s">
        <v>342</v>
      </c>
      <c r="D29">
        <v>0</v>
      </c>
      <c r="E29">
        <v>0</v>
      </c>
      <c r="F29" s="83">
        <v>0</v>
      </c>
      <c r="I29" s="4"/>
    </row>
    <row r="30" spans="1:9" ht="15.75">
      <c r="A30" s="106"/>
      <c r="B30" s="5" t="s">
        <v>65</v>
      </c>
      <c r="C30" s="7" t="s">
        <v>343</v>
      </c>
      <c r="D30">
        <v>0.63043499999999997</v>
      </c>
      <c r="E30">
        <v>1.7512083333333329E-4</v>
      </c>
      <c r="F30" s="83">
        <v>1</v>
      </c>
      <c r="I30" s="4"/>
    </row>
    <row r="31" spans="1:9" ht="15.75">
      <c r="A31" s="106"/>
      <c r="B31" s="5" t="s">
        <v>62</v>
      </c>
      <c r="C31" s="7" t="s">
        <v>344</v>
      </c>
      <c r="D31">
        <v>0</v>
      </c>
      <c r="E31">
        <v>0</v>
      </c>
      <c r="F31" s="83">
        <v>0</v>
      </c>
      <c r="I31" s="4"/>
    </row>
    <row r="32" spans="1:9" ht="15.75">
      <c r="A32" s="106" t="s">
        <v>7</v>
      </c>
      <c r="B32" s="5" t="s">
        <v>101</v>
      </c>
      <c r="C32" s="7" t="s">
        <v>345</v>
      </c>
      <c r="D32">
        <v>67.539382692000004</v>
      </c>
      <c r="E32">
        <v>1.8760939636666672E-2</v>
      </c>
      <c r="F32" s="83">
        <v>1.9165630817218841E-2</v>
      </c>
      <c r="I32" s="4"/>
    </row>
    <row r="33" spans="1:9" ht="15.75">
      <c r="A33" s="106"/>
      <c r="B33" s="5" t="s">
        <v>102</v>
      </c>
      <c r="C33" s="7" t="s">
        <v>346</v>
      </c>
      <c r="D33">
        <v>248.581678885</v>
      </c>
      <c r="E33">
        <v>6.9050466356944437E-2</v>
      </c>
      <c r="F33" s="83">
        <v>7.0539950108230304E-2</v>
      </c>
      <c r="I33" s="4"/>
    </row>
    <row r="34" spans="1:9" ht="15.75">
      <c r="A34" s="106"/>
      <c r="B34" s="5" t="s">
        <v>103</v>
      </c>
      <c r="C34" s="7" t="s">
        <v>347</v>
      </c>
      <c r="D34">
        <v>69.677106237999979</v>
      </c>
      <c r="E34">
        <v>1.9354751732777769E-2</v>
      </c>
      <c r="F34" s="83">
        <v>1.9772252000873281E-2</v>
      </c>
      <c r="I34" s="4"/>
    </row>
    <row r="35" spans="1:9" ht="15.75">
      <c r="A35" s="106"/>
      <c r="B35" s="5" t="s">
        <v>100</v>
      </c>
      <c r="C35" s="7" t="s">
        <v>348</v>
      </c>
      <c r="D35">
        <v>126.566859873</v>
      </c>
      <c r="E35">
        <v>3.5157461075833327E-2</v>
      </c>
      <c r="F35" s="83">
        <v>3.5915840704121717E-2</v>
      </c>
      <c r="I35" s="4"/>
    </row>
    <row r="36" spans="1:9" ht="15.75">
      <c r="A36" s="106"/>
      <c r="B36" s="5" t="s">
        <v>97</v>
      </c>
      <c r="C36" s="7" t="s">
        <v>349</v>
      </c>
      <c r="D36">
        <v>161.71634127999999</v>
      </c>
      <c r="E36">
        <v>4.4921205911111109E-2</v>
      </c>
      <c r="F36" s="83">
        <v>4.5890198733648913E-2</v>
      </c>
      <c r="I36" s="4"/>
    </row>
    <row r="37" spans="1:9" ht="15.75">
      <c r="A37" s="106"/>
      <c r="B37" s="5" t="s">
        <v>98</v>
      </c>
      <c r="C37" s="7" t="s">
        <v>350</v>
      </c>
      <c r="D37">
        <v>124.340219373</v>
      </c>
      <c r="E37">
        <v>3.4538949825833339E-2</v>
      </c>
      <c r="F37" s="83">
        <v>3.5283987582510022E-2</v>
      </c>
      <c r="I37" s="4"/>
    </row>
    <row r="38" spans="1:9" ht="15.75">
      <c r="A38" s="106"/>
      <c r="B38" s="5" t="s">
        <v>95</v>
      </c>
      <c r="C38" s="7" t="s">
        <v>351</v>
      </c>
      <c r="D38">
        <v>0</v>
      </c>
      <c r="E38">
        <v>0</v>
      </c>
      <c r="F38" s="83">
        <v>0</v>
      </c>
      <c r="I38" s="4"/>
    </row>
    <row r="39" spans="1:9" ht="15.75">
      <c r="A39" s="106"/>
      <c r="B39" s="5" t="s">
        <v>96</v>
      </c>
      <c r="C39" s="7" t="s">
        <v>352</v>
      </c>
      <c r="D39">
        <v>2.144730171</v>
      </c>
      <c r="E39">
        <v>5.9575838083333334E-4</v>
      </c>
      <c r="F39" s="83">
        <v>6.0860945157565835E-4</v>
      </c>
      <c r="I39" s="4"/>
    </row>
    <row r="40" spans="1:9" ht="15.75">
      <c r="A40" s="106"/>
      <c r="B40" s="5" t="s">
        <v>99</v>
      </c>
      <c r="C40" s="7" t="s">
        <v>353</v>
      </c>
      <c r="D40">
        <v>0</v>
      </c>
      <c r="E40">
        <v>0</v>
      </c>
      <c r="F40" s="83">
        <v>0</v>
      </c>
      <c r="I40" s="4"/>
    </row>
    <row r="41" spans="1:9" ht="15.75">
      <c r="A41" s="106"/>
      <c r="B41" s="5" t="s">
        <v>93</v>
      </c>
      <c r="C41" s="7" t="s">
        <v>354</v>
      </c>
      <c r="D41">
        <v>272.21200990400001</v>
      </c>
      <c r="E41">
        <v>7.5614447195555559E-2</v>
      </c>
      <c r="F41" s="83">
        <v>7.7245522210719689E-2</v>
      </c>
      <c r="I41" s="4"/>
    </row>
    <row r="42" spans="1:9" ht="15.75">
      <c r="A42" s="106"/>
      <c r="B42" s="5" t="s">
        <v>94</v>
      </c>
      <c r="C42" s="7" t="s">
        <v>355</v>
      </c>
      <c r="D42">
        <v>146.20480278900001</v>
      </c>
      <c r="E42">
        <v>4.0612445219166668E-2</v>
      </c>
      <c r="F42" s="83">
        <v>4.1488494005589557E-2</v>
      </c>
      <c r="I42" s="4"/>
    </row>
    <row r="43" spans="1:9" ht="15.75">
      <c r="A43" s="106"/>
      <c r="B43" s="5" t="s">
        <v>92</v>
      </c>
      <c r="C43" s="7" t="s">
        <v>356</v>
      </c>
      <c r="D43">
        <v>2.3391000000000002</v>
      </c>
      <c r="E43">
        <v>6.4975000000000005E-4</v>
      </c>
      <c r="F43" s="83">
        <v>6.6376572094234909E-4</v>
      </c>
      <c r="I43" s="4"/>
    </row>
    <row r="44" spans="1:9" ht="15.75">
      <c r="A44" s="106"/>
      <c r="B44" s="5" t="s">
        <v>91</v>
      </c>
      <c r="C44" s="7" t="s">
        <v>357</v>
      </c>
      <c r="D44">
        <v>238.137396846</v>
      </c>
      <c r="E44">
        <v>6.6149276901666665E-2</v>
      </c>
      <c r="F44" s="83">
        <v>6.7576179257329519E-2</v>
      </c>
      <c r="I44" s="4"/>
    </row>
    <row r="45" spans="1:9" ht="15.75">
      <c r="A45" s="106"/>
      <c r="B45" s="5" t="s">
        <v>90</v>
      </c>
      <c r="C45" s="7" t="s">
        <v>358</v>
      </c>
      <c r="D45">
        <v>0</v>
      </c>
      <c r="E45">
        <v>0</v>
      </c>
      <c r="F45" s="83">
        <v>0</v>
      </c>
      <c r="I45" s="4"/>
    </row>
    <row r="46" spans="1:9" ht="15.75">
      <c r="A46" s="106"/>
      <c r="B46" s="5" t="s">
        <v>89</v>
      </c>
      <c r="C46" s="7" t="s">
        <v>359</v>
      </c>
      <c r="D46">
        <v>0</v>
      </c>
      <c r="E46">
        <v>0</v>
      </c>
      <c r="F46" s="83">
        <v>0</v>
      </c>
      <c r="I46" s="4"/>
    </row>
    <row r="47" spans="1:9" ht="15.75">
      <c r="A47" s="106"/>
      <c r="B47" s="5" t="s">
        <v>88</v>
      </c>
      <c r="C47" s="7" t="s">
        <v>360</v>
      </c>
      <c r="D47">
        <v>25.220698918</v>
      </c>
      <c r="E47">
        <v>7.0057496994444454E-3</v>
      </c>
      <c r="F47" s="83">
        <v>7.1568703347339542E-3</v>
      </c>
      <c r="I47" s="4"/>
    </row>
    <row r="48" spans="1:9" ht="15.75">
      <c r="A48" s="106"/>
      <c r="B48" s="5" t="s">
        <v>87</v>
      </c>
      <c r="C48" s="7" t="s">
        <v>361</v>
      </c>
      <c r="D48">
        <v>0</v>
      </c>
      <c r="E48">
        <v>0</v>
      </c>
      <c r="F48" s="83">
        <v>0</v>
      </c>
      <c r="I48" s="4"/>
    </row>
    <row r="49" spans="1:9" ht="15.75">
      <c r="A49" s="106"/>
      <c r="B49" s="5" t="s">
        <v>86</v>
      </c>
      <c r="C49" s="7" t="s">
        <v>362</v>
      </c>
      <c r="D49">
        <v>124.549423596</v>
      </c>
      <c r="E49">
        <v>3.459706211E-2</v>
      </c>
      <c r="F49" s="83">
        <v>3.5343353403511163E-2</v>
      </c>
      <c r="I49" s="4"/>
    </row>
    <row r="50" spans="1:9" ht="15.75">
      <c r="A50" s="106"/>
      <c r="B50" s="5" t="s">
        <v>85</v>
      </c>
      <c r="C50" s="7" t="s">
        <v>363</v>
      </c>
      <c r="D50">
        <v>0</v>
      </c>
      <c r="E50">
        <v>0</v>
      </c>
      <c r="F50" s="83">
        <v>0</v>
      </c>
      <c r="I50" s="4"/>
    </row>
    <row r="51" spans="1:9" ht="15.75">
      <c r="A51" s="106"/>
      <c r="B51" s="5" t="s">
        <v>84</v>
      </c>
      <c r="C51" s="7" t="s">
        <v>364</v>
      </c>
      <c r="D51">
        <v>8.5866727800000007</v>
      </c>
      <c r="E51">
        <v>2.3851868833333341E-3</v>
      </c>
      <c r="F51" s="83">
        <v>2.4366376163108649E-3</v>
      </c>
      <c r="I51" s="4"/>
    </row>
    <row r="52" spans="1:9" ht="15.75">
      <c r="A52" s="106"/>
      <c r="B52" s="5" t="s">
        <v>83</v>
      </c>
      <c r="C52" s="7" t="s">
        <v>365</v>
      </c>
      <c r="D52">
        <v>127.79257540899999</v>
      </c>
      <c r="E52">
        <v>3.5497937613611107E-2</v>
      </c>
      <c r="F52" s="83">
        <v>3.6263661642270267E-2</v>
      </c>
      <c r="I52" s="4"/>
    </row>
    <row r="53" spans="1:9" ht="15.75">
      <c r="A53" s="106"/>
      <c r="B53" s="5" t="s">
        <v>82</v>
      </c>
      <c r="C53" s="7" t="s">
        <v>366</v>
      </c>
      <c r="D53">
        <v>24.58914</v>
      </c>
      <c r="E53">
        <v>6.8303166666666667E-3</v>
      </c>
      <c r="F53" s="83">
        <v>6.9776530458092231E-3</v>
      </c>
      <c r="I53" s="4"/>
    </row>
    <row r="54" spans="1:9" ht="15.75">
      <c r="A54" s="106"/>
      <c r="B54" s="5" t="s">
        <v>81</v>
      </c>
      <c r="C54" s="7" t="s">
        <v>367</v>
      </c>
      <c r="D54">
        <v>329.01056433100001</v>
      </c>
      <c r="E54">
        <v>9.1391823425277782E-2</v>
      </c>
      <c r="F54" s="83">
        <v>9.3363231341462669E-2</v>
      </c>
      <c r="I54" s="4"/>
    </row>
    <row r="55" spans="1:9" ht="15.75">
      <c r="A55" s="106"/>
      <c r="B55" s="5" t="s">
        <v>78</v>
      </c>
      <c r="C55" s="7" t="s">
        <v>368</v>
      </c>
      <c r="D55">
        <v>74.551236248999999</v>
      </c>
      <c r="E55">
        <v>2.0708676735833331E-2</v>
      </c>
      <c r="F55" s="83">
        <v>2.1155382444513222E-2</v>
      </c>
      <c r="I55" s="4"/>
    </row>
    <row r="56" spans="1:9" ht="15.75">
      <c r="A56" s="106"/>
      <c r="B56" s="5" t="s">
        <v>77</v>
      </c>
      <c r="C56" s="7" t="s">
        <v>369</v>
      </c>
      <c r="D56">
        <v>229.28568073299999</v>
      </c>
      <c r="E56">
        <v>6.3690466870277782E-2</v>
      </c>
      <c r="F56" s="83">
        <v>6.5064330372150411E-2</v>
      </c>
      <c r="I56" s="4"/>
    </row>
    <row r="57" spans="1:9" ht="15.75">
      <c r="A57" s="106"/>
      <c r="B57" s="5" t="s">
        <v>76</v>
      </c>
      <c r="C57" s="7" t="s">
        <v>370</v>
      </c>
      <c r="D57">
        <v>27.579368351999999</v>
      </c>
      <c r="E57">
        <v>7.6609356533333334E-3</v>
      </c>
      <c r="F57" s="83">
        <v>7.8261892682227711E-3</v>
      </c>
      <c r="I57" s="4"/>
    </row>
    <row r="58" spans="1:9" ht="15.75">
      <c r="A58" s="106"/>
      <c r="B58" s="5" t="s">
        <v>79</v>
      </c>
      <c r="C58" s="7" t="s">
        <v>371</v>
      </c>
      <c r="D58">
        <v>23.623859855999999</v>
      </c>
      <c r="E58">
        <v>6.5621832933333334E-3</v>
      </c>
      <c r="F58" s="83">
        <v>6.7037357824628521E-3</v>
      </c>
      <c r="I58" s="4"/>
    </row>
    <row r="59" spans="1:9" ht="15.75">
      <c r="A59" s="106"/>
      <c r="B59" s="5" t="s">
        <v>80</v>
      </c>
      <c r="C59" s="7" t="s">
        <v>372</v>
      </c>
      <c r="D59">
        <v>131.03265969200001</v>
      </c>
      <c r="E59">
        <v>3.639796102555555E-2</v>
      </c>
      <c r="F59" s="83">
        <v>3.7183099408940982E-2</v>
      </c>
      <c r="I59" s="4"/>
    </row>
    <row r="60" spans="1:9" ht="15.75">
      <c r="A60" s="106"/>
      <c r="B60" s="5" t="s">
        <v>75</v>
      </c>
      <c r="C60" s="7" t="s">
        <v>373</v>
      </c>
      <c r="D60">
        <v>24.783299261</v>
      </c>
      <c r="E60">
        <v>6.8842497947222223E-3</v>
      </c>
      <c r="F60" s="83">
        <v>7.032749562356313E-3</v>
      </c>
      <c r="I60" s="4"/>
    </row>
    <row r="61" spans="1:9" ht="15.75">
      <c r="A61" s="106"/>
      <c r="B61" s="5" t="s">
        <v>73</v>
      </c>
      <c r="C61" s="7" t="s">
        <v>374</v>
      </c>
      <c r="D61">
        <v>0</v>
      </c>
      <c r="E61">
        <v>0</v>
      </c>
      <c r="F61" s="83">
        <v>0</v>
      </c>
      <c r="I61" s="4"/>
    </row>
    <row r="62" spans="1:9" ht="15.75">
      <c r="A62" s="106"/>
      <c r="B62" s="5" t="s">
        <v>74</v>
      </c>
      <c r="C62" s="7" t="s">
        <v>375</v>
      </c>
      <c r="D62">
        <v>92.914885185999992</v>
      </c>
      <c r="E62">
        <v>2.580969032944444E-2</v>
      </c>
      <c r="F62" s="83">
        <v>2.6366429717310451E-2</v>
      </c>
      <c r="I62" s="4"/>
    </row>
    <row r="63" spans="1:9" ht="15.75">
      <c r="A63" s="106"/>
      <c r="B63" s="5" t="s">
        <v>72</v>
      </c>
      <c r="C63" s="7" t="s">
        <v>376</v>
      </c>
      <c r="D63">
        <v>0</v>
      </c>
      <c r="E63">
        <v>0</v>
      </c>
      <c r="F63" s="83">
        <v>0</v>
      </c>
      <c r="I63" s="4"/>
    </row>
    <row r="64" spans="1:9" ht="15.75">
      <c r="A64" s="106"/>
      <c r="B64" s="5" t="s">
        <v>69</v>
      </c>
      <c r="C64" s="7" t="s">
        <v>377</v>
      </c>
      <c r="D64">
        <v>13.762925321999999</v>
      </c>
      <c r="E64">
        <v>3.8230348116666669E-3</v>
      </c>
      <c r="F64" s="83">
        <v>3.905501281960174E-3</v>
      </c>
      <c r="I64" s="4"/>
    </row>
    <row r="65" spans="1:9" ht="15.75">
      <c r="A65" s="106"/>
      <c r="B65" s="5" t="s">
        <v>70</v>
      </c>
      <c r="C65" s="7" t="s">
        <v>378</v>
      </c>
      <c r="D65">
        <v>53.763654541000022</v>
      </c>
      <c r="E65">
        <v>1.493434848361111E-2</v>
      </c>
      <c r="F65" s="83">
        <v>1.525649648022841E-2</v>
      </c>
      <c r="I65" s="4"/>
    </row>
    <row r="66" spans="1:9" ht="15.75">
      <c r="A66" s="106"/>
      <c r="B66" s="5" t="s">
        <v>68</v>
      </c>
      <c r="C66" s="7" t="s">
        <v>379</v>
      </c>
      <c r="D66">
        <v>65.413454521000006</v>
      </c>
      <c r="E66">
        <v>1.8170404033611112E-2</v>
      </c>
      <c r="F66" s="83">
        <v>1.8562356803668561E-2</v>
      </c>
      <c r="I66" s="4"/>
    </row>
    <row r="67" spans="1:9" ht="15.75">
      <c r="A67" s="106"/>
      <c r="B67" s="5" t="s">
        <v>71</v>
      </c>
      <c r="C67" s="7" t="s">
        <v>380</v>
      </c>
      <c r="D67">
        <v>366.97343416400003</v>
      </c>
      <c r="E67">
        <v>0.10193706504555559</v>
      </c>
      <c r="F67" s="83">
        <v>0.1041359437794695</v>
      </c>
      <c r="I67" s="4"/>
    </row>
    <row r="68" spans="1:9" ht="15.75">
      <c r="A68" s="106"/>
      <c r="B68" s="5" t="s">
        <v>67</v>
      </c>
      <c r="C68" s="7" t="s">
        <v>381</v>
      </c>
      <c r="D68">
        <v>80.829948322999996</v>
      </c>
      <c r="E68">
        <v>2.245276342305555E-2</v>
      </c>
      <c r="F68" s="83">
        <v>2.293709072820696E-2</v>
      </c>
      <c r="I68" s="4"/>
    </row>
    <row r="69" spans="1:9" ht="15.75">
      <c r="A69" s="106"/>
      <c r="B69" s="5" t="s">
        <v>66</v>
      </c>
      <c r="C69" s="7" t="s">
        <v>382</v>
      </c>
      <c r="D69">
        <v>240.26122163100001</v>
      </c>
      <c r="E69">
        <v>6.6739228230833322E-2</v>
      </c>
      <c r="F69" s="83">
        <v>6.8178856393651496E-2</v>
      </c>
      <c r="I69" s="4"/>
    </row>
    <row r="70" spans="1:9">
      <c r="A70" s="24" t="s">
        <v>622</v>
      </c>
      <c r="B70" s="5" t="s">
        <v>383</v>
      </c>
      <c r="C70" s="7" t="s">
        <v>384</v>
      </c>
      <c r="D70" s="89">
        <v>6.6173729999999997</v>
      </c>
      <c r="E70" s="59">
        <f>D70/3600</f>
        <v>1.8381591666666666E-3</v>
      </c>
      <c r="F70" s="59">
        <v>1</v>
      </c>
      <c r="I70" s="4"/>
    </row>
    <row r="71" spans="1:9">
      <c r="A71" s="106" t="s">
        <v>8</v>
      </c>
      <c r="B71" s="5" t="s">
        <v>106</v>
      </c>
      <c r="C71" s="7" t="s">
        <v>385</v>
      </c>
      <c r="F71" s="59">
        <f>1/ROWS(B71:B73)</f>
        <v>0.33333333333333331</v>
      </c>
      <c r="G71" s="3" t="s">
        <v>925</v>
      </c>
      <c r="I71" s="4"/>
    </row>
    <row r="72" spans="1:9">
      <c r="A72" s="106"/>
      <c r="B72" s="5" t="s">
        <v>105</v>
      </c>
      <c r="C72" s="7" t="s">
        <v>386</v>
      </c>
      <c r="F72" s="59">
        <f>1/ROWS(B72:B74)</f>
        <v>0.33333333333333331</v>
      </c>
      <c r="G72" s="3" t="s">
        <v>925</v>
      </c>
      <c r="I72" s="4"/>
    </row>
    <row r="73" spans="1:9">
      <c r="A73" s="106"/>
      <c r="B73" s="5" t="s">
        <v>104</v>
      </c>
      <c r="C73" s="7" t="s">
        <v>387</v>
      </c>
      <c r="F73" s="59">
        <f>1/ROWS(B73:B75)</f>
        <v>0.33333333333333331</v>
      </c>
      <c r="G73" s="3" t="s">
        <v>925</v>
      </c>
      <c r="I73" s="4"/>
    </row>
    <row r="74" spans="1:9" ht="15.75">
      <c r="A74" s="106" t="s">
        <v>9</v>
      </c>
      <c r="B74" s="5" t="s">
        <v>114</v>
      </c>
      <c r="C74" s="7" t="s">
        <v>388</v>
      </c>
      <c r="D74">
        <v>13.560666747000001</v>
      </c>
      <c r="E74">
        <v>3.766851874166666E-3</v>
      </c>
      <c r="F74" s="83">
        <v>0.27862255666974911</v>
      </c>
      <c r="I74" s="4"/>
    </row>
    <row r="75" spans="1:9">
      <c r="A75" s="106"/>
      <c r="B75" s="5" t="s">
        <v>389</v>
      </c>
      <c r="C75" s="7" t="s">
        <v>390</v>
      </c>
      <c r="I75" s="4"/>
    </row>
    <row r="76" spans="1:9">
      <c r="A76" s="106"/>
      <c r="B76" s="5" t="s">
        <v>391</v>
      </c>
      <c r="C76" s="7" t="s">
        <v>392</v>
      </c>
    </row>
    <row r="77" spans="1:9">
      <c r="A77" s="106"/>
      <c r="B77" s="5" t="s">
        <v>393</v>
      </c>
      <c r="C77" s="7" t="s">
        <v>394</v>
      </c>
    </row>
    <row r="78" spans="1:9" ht="15.75">
      <c r="A78" s="106"/>
      <c r="B78" s="5" t="s">
        <v>115</v>
      </c>
      <c r="C78" s="7" t="s">
        <v>395</v>
      </c>
      <c r="D78">
        <v>8.9835494120000003</v>
      </c>
      <c r="E78">
        <v>2.495430392222222E-3</v>
      </c>
      <c r="F78" s="83">
        <v>0.184579383288377</v>
      </c>
    </row>
    <row r="79" spans="1:9" ht="15.75">
      <c r="A79" s="106"/>
      <c r="B79" s="5" t="s">
        <v>110</v>
      </c>
      <c r="C79" s="7" t="s">
        <v>396</v>
      </c>
      <c r="D79">
        <v>11.55961797</v>
      </c>
      <c r="E79">
        <v>3.2110049916666671E-3</v>
      </c>
      <c r="F79" s="83">
        <v>0.2375082562691469</v>
      </c>
    </row>
    <row r="80" spans="1:9">
      <c r="A80" s="106"/>
      <c r="B80" s="5" t="s">
        <v>112</v>
      </c>
      <c r="C80" s="7" t="s">
        <v>397</v>
      </c>
    </row>
    <row r="81" spans="1:6">
      <c r="A81" s="106"/>
      <c r="B81" s="5" t="s">
        <v>111</v>
      </c>
      <c r="C81" s="7" t="s">
        <v>398</v>
      </c>
    </row>
    <row r="82" spans="1:6" ht="15.75">
      <c r="A82" s="106"/>
      <c r="B82" s="5" t="s">
        <v>107</v>
      </c>
      <c r="C82" s="7" t="s">
        <v>399</v>
      </c>
      <c r="D82">
        <v>2.3785115430000001</v>
      </c>
      <c r="E82">
        <v>6.6069765083333332E-4</v>
      </c>
      <c r="F82" s="83">
        <v>4.8869792285528971E-2</v>
      </c>
    </row>
    <row r="83" spans="1:6">
      <c r="A83" s="106"/>
      <c r="B83" s="5" t="s">
        <v>400</v>
      </c>
      <c r="C83" s="7" t="s">
        <v>401</v>
      </c>
    </row>
    <row r="84" spans="1:6" ht="15.75">
      <c r="A84" s="106"/>
      <c r="B84" s="5" t="s">
        <v>113</v>
      </c>
      <c r="C84" s="7" t="s">
        <v>402</v>
      </c>
      <c r="D84">
        <v>1.32361</v>
      </c>
      <c r="E84">
        <v>3.6766944444444451E-4</v>
      </c>
      <c r="F84" s="83">
        <v>2.719538862757119E-2</v>
      </c>
    </row>
    <row r="85" spans="1:6" ht="15.75">
      <c r="A85" s="106"/>
      <c r="B85" s="5" t="s">
        <v>108</v>
      </c>
      <c r="C85" s="7" t="s">
        <v>403</v>
      </c>
      <c r="D85">
        <v>9.9287880509999997</v>
      </c>
      <c r="E85">
        <v>2.7579966808333328E-3</v>
      </c>
      <c r="F85" s="83">
        <v>0.204000611696595</v>
      </c>
    </row>
    <row r="86" spans="1:6" ht="15.75">
      <c r="A86" s="106"/>
      <c r="B86" s="5" t="s">
        <v>109</v>
      </c>
      <c r="C86" s="7" t="s">
        <v>404</v>
      </c>
      <c r="D86">
        <v>0.93564000000000003</v>
      </c>
      <c r="E86">
        <v>2.5989999999999997E-4</v>
      </c>
      <c r="F86" s="83">
        <v>1.9224011163031941E-2</v>
      </c>
    </row>
    <row r="87" spans="1:6" ht="15.75">
      <c r="A87" s="106" t="s">
        <v>10</v>
      </c>
      <c r="B87" s="5" t="s">
        <v>120</v>
      </c>
      <c r="C87" s="7" t="s">
        <v>405</v>
      </c>
      <c r="D87">
        <v>217.3457445</v>
      </c>
      <c r="E87">
        <v>6.0373817916666662E-2</v>
      </c>
      <c r="F87" s="83">
        <v>0.14875079550195849</v>
      </c>
    </row>
    <row r="88" spans="1:6" ht="15.75">
      <c r="A88" s="106"/>
      <c r="B88" s="5" t="s">
        <v>117</v>
      </c>
      <c r="C88" s="7" t="s">
        <v>406</v>
      </c>
      <c r="D88">
        <v>243.66871144000001</v>
      </c>
      <c r="E88">
        <v>6.768575317777778E-2</v>
      </c>
      <c r="F88" s="83">
        <v>0.16676615752942511</v>
      </c>
    </row>
    <row r="89" spans="1:6" ht="15.75">
      <c r="A89" s="106"/>
      <c r="B89" s="5" t="s">
        <v>128</v>
      </c>
      <c r="C89" s="7" t="s">
        <v>407</v>
      </c>
      <c r="D89">
        <v>0</v>
      </c>
      <c r="E89">
        <v>0</v>
      </c>
      <c r="F89" s="83">
        <v>0</v>
      </c>
    </row>
    <row r="90" spans="1:6" ht="15.75">
      <c r="A90" s="106"/>
      <c r="B90" s="5" t="s">
        <v>118</v>
      </c>
      <c r="C90" s="7" t="s">
        <v>408</v>
      </c>
      <c r="D90">
        <v>286.26564231100002</v>
      </c>
      <c r="E90">
        <v>7.9518233975277783E-2</v>
      </c>
      <c r="F90" s="83">
        <v>0.19591937314714891</v>
      </c>
    </row>
    <row r="91" spans="1:6" ht="15.75">
      <c r="A91" s="106"/>
      <c r="B91" s="5" t="s">
        <v>123</v>
      </c>
      <c r="C91" s="7" t="s">
        <v>409</v>
      </c>
      <c r="D91">
        <v>78.881006487000008</v>
      </c>
      <c r="E91">
        <v>2.1911390690833331E-2</v>
      </c>
      <c r="F91" s="83">
        <v>5.398593145648823E-2</v>
      </c>
    </row>
    <row r="92" spans="1:6" ht="15.75">
      <c r="A92" s="106"/>
      <c r="B92" s="5" t="s">
        <v>119</v>
      </c>
      <c r="C92" s="7" t="s">
        <v>410</v>
      </c>
      <c r="D92">
        <v>0</v>
      </c>
      <c r="E92">
        <v>0</v>
      </c>
      <c r="F92" s="83">
        <v>0</v>
      </c>
    </row>
    <row r="93" spans="1:6" ht="15.75">
      <c r="A93" s="106"/>
      <c r="B93" s="5" t="s">
        <v>129</v>
      </c>
      <c r="C93" s="7" t="s">
        <v>411</v>
      </c>
      <c r="D93">
        <v>357.41027647099997</v>
      </c>
      <c r="E93">
        <v>9.9280632353055551E-2</v>
      </c>
      <c r="F93" s="83">
        <v>0.24461055388013911</v>
      </c>
    </row>
    <row r="94" spans="1:6" ht="15.75">
      <c r="A94" s="106"/>
      <c r="B94" s="5" t="s">
        <v>124</v>
      </c>
      <c r="C94" s="7" t="s">
        <v>412</v>
      </c>
      <c r="D94">
        <v>48.923460513000002</v>
      </c>
      <c r="E94">
        <v>1.35898501425E-2</v>
      </c>
      <c r="F94" s="83">
        <v>3.348307410738105E-2</v>
      </c>
    </row>
    <row r="95" spans="1:6" ht="15.75">
      <c r="A95" s="106"/>
      <c r="B95" s="5" t="s">
        <v>126</v>
      </c>
      <c r="C95" s="7" t="s">
        <v>413</v>
      </c>
      <c r="D95">
        <v>35.042797892000003</v>
      </c>
      <c r="E95">
        <v>9.7341105255555546E-3</v>
      </c>
      <c r="F95" s="83">
        <v>2.3983188974051231E-2</v>
      </c>
    </row>
    <row r="96" spans="1:6" ht="15.75">
      <c r="A96" s="106"/>
      <c r="B96" s="5" t="s">
        <v>127</v>
      </c>
      <c r="C96" s="7" t="s">
        <v>414</v>
      </c>
      <c r="D96">
        <v>0.92652699999999999</v>
      </c>
      <c r="E96">
        <v>2.573686111111111E-4</v>
      </c>
      <c r="F96" s="83">
        <v>6.3411238449181213E-4</v>
      </c>
    </row>
    <row r="97" spans="1:6" ht="15.75">
      <c r="A97" s="106"/>
      <c r="B97" s="5" t="s">
        <v>121</v>
      </c>
      <c r="C97" s="7" t="s">
        <v>415</v>
      </c>
      <c r="D97">
        <v>0</v>
      </c>
      <c r="E97">
        <v>0</v>
      </c>
      <c r="F97" s="83">
        <v>0</v>
      </c>
    </row>
    <row r="98" spans="1:6" ht="15.75">
      <c r="A98" s="106"/>
      <c r="B98" s="5" t="s">
        <v>125</v>
      </c>
      <c r="C98" s="7" t="s">
        <v>416</v>
      </c>
      <c r="D98">
        <v>124.120107992</v>
      </c>
      <c r="E98">
        <v>3.4477807775555563E-2</v>
      </c>
      <c r="F98" s="83">
        <v>8.4947440972781521E-2</v>
      </c>
    </row>
    <row r="99" spans="1:6" ht="15.75">
      <c r="A99" s="106"/>
      <c r="B99" s="5" t="s">
        <v>122</v>
      </c>
      <c r="C99" s="7" t="s">
        <v>417</v>
      </c>
      <c r="D99">
        <v>16.516786567</v>
      </c>
      <c r="E99">
        <v>4.5879962686111112E-3</v>
      </c>
      <c r="F99" s="83">
        <v>1.130404069621576E-2</v>
      </c>
    </row>
    <row r="100" spans="1:6">
      <c r="A100" s="106"/>
      <c r="B100" s="5" t="s">
        <v>418</v>
      </c>
      <c r="C100" s="7" t="s">
        <v>419</v>
      </c>
    </row>
    <row r="101" spans="1:6" ht="15.75">
      <c r="A101" s="106"/>
      <c r="B101" s="5" t="s">
        <v>130</v>
      </c>
      <c r="C101" s="7" t="s">
        <v>420</v>
      </c>
      <c r="D101">
        <v>52.038986962999999</v>
      </c>
      <c r="E101">
        <v>1.445527415638889E-2</v>
      </c>
      <c r="F101" s="83">
        <v>3.5615331349918837E-2</v>
      </c>
    </row>
    <row r="102" spans="1:6" ht="15.75">
      <c r="A102" s="106"/>
      <c r="B102" s="5" t="s">
        <v>116</v>
      </c>
      <c r="C102" s="7" t="s">
        <v>421</v>
      </c>
      <c r="D102">
        <v>0</v>
      </c>
      <c r="E102">
        <v>0</v>
      </c>
      <c r="F102" s="83">
        <v>0</v>
      </c>
    </row>
    <row r="103" spans="1:6">
      <c r="A103" s="106"/>
      <c r="B103" s="5" t="s">
        <v>422</v>
      </c>
      <c r="C103" s="7" t="s">
        <v>423</v>
      </c>
    </row>
    <row r="104" spans="1:6">
      <c r="A104" s="106"/>
      <c r="B104" s="5" t="s">
        <v>424</v>
      </c>
      <c r="C104" s="7" t="s">
        <v>425</v>
      </c>
    </row>
    <row r="105" spans="1:6">
      <c r="A105" s="106"/>
      <c r="B105" s="5" t="s">
        <v>426</v>
      </c>
      <c r="C105" s="7" t="s">
        <v>427</v>
      </c>
    </row>
    <row r="106" spans="1:6" ht="15.75">
      <c r="A106" s="106" t="s">
        <v>11</v>
      </c>
      <c r="B106" s="5" t="s">
        <v>132</v>
      </c>
      <c r="C106" s="7" t="s">
        <v>428</v>
      </c>
      <c r="D106">
        <v>0.84207600000000005</v>
      </c>
      <c r="E106">
        <v>2.3390999999999999E-4</v>
      </c>
      <c r="F106" s="83">
        <v>4.4085133596127261E-4</v>
      </c>
    </row>
    <row r="107" spans="1:6" ht="15.75">
      <c r="A107" s="106"/>
      <c r="B107" s="5" t="s">
        <v>143</v>
      </c>
      <c r="C107" s="7" t="s">
        <v>429</v>
      </c>
      <c r="D107">
        <v>57.372770813000002</v>
      </c>
      <c r="E107">
        <v>1.5936880781388892E-2</v>
      </c>
      <c r="F107" s="83">
        <v>3.0036318171650721E-2</v>
      </c>
    </row>
    <row r="108" spans="1:6" ht="15.75">
      <c r="A108" s="106"/>
      <c r="B108" s="5" t="s">
        <v>141</v>
      </c>
      <c r="C108" s="7" t="s">
        <v>430</v>
      </c>
      <c r="D108">
        <v>5.7593249999999996</v>
      </c>
      <c r="E108">
        <v>1.5998125000000001E-3</v>
      </c>
      <c r="F108" s="83">
        <v>3.015174545391575E-3</v>
      </c>
    </row>
    <row r="109" spans="1:6" ht="15.75">
      <c r="A109" s="106"/>
      <c r="B109" s="5" t="s">
        <v>138</v>
      </c>
      <c r="C109" s="7" t="s">
        <v>431</v>
      </c>
      <c r="D109">
        <v>13.851082473</v>
      </c>
      <c r="E109">
        <v>3.8475229091666668E-3</v>
      </c>
      <c r="F109" s="83">
        <v>7.2514454903498228E-3</v>
      </c>
    </row>
    <row r="110" spans="1:6" ht="15.75">
      <c r="A110" s="106"/>
      <c r="B110" s="10" t="s">
        <v>145</v>
      </c>
      <c r="C110" s="11" t="s">
        <v>432</v>
      </c>
      <c r="D110">
        <v>9.3480994600000002</v>
      </c>
      <c r="E110">
        <v>2.596694294444445E-3</v>
      </c>
      <c r="F110" s="83">
        <v>4.8940026026627658E-3</v>
      </c>
    </row>
    <row r="111" spans="1:6" ht="15.75">
      <c r="A111" s="106"/>
      <c r="B111" s="10" t="s">
        <v>137</v>
      </c>
      <c r="C111" s="11" t="s">
        <v>433</v>
      </c>
      <c r="D111">
        <v>135.74338281000001</v>
      </c>
      <c r="E111">
        <v>3.7706495224999997E-2</v>
      </c>
      <c r="F111" s="83">
        <v>7.1065618376121575E-2</v>
      </c>
    </row>
    <row r="112" spans="1:6" ht="15.75">
      <c r="A112" s="106"/>
      <c r="B112" s="5" t="s">
        <v>134</v>
      </c>
      <c r="C112" s="7" t="s">
        <v>434</v>
      </c>
      <c r="D112">
        <v>49.711063719000002</v>
      </c>
      <c r="E112">
        <v>1.3808628810833329E-2</v>
      </c>
      <c r="F112" s="83">
        <v>2.602519113782735E-2</v>
      </c>
    </row>
    <row r="113" spans="1:6" ht="15.75">
      <c r="A113" s="106"/>
      <c r="B113" s="5" t="s">
        <v>151</v>
      </c>
      <c r="C113" s="7" t="s">
        <v>435</v>
      </c>
      <c r="D113">
        <v>42.850471587999991</v>
      </c>
      <c r="E113">
        <v>1.1902908774444439E-2</v>
      </c>
      <c r="F113" s="83">
        <v>2.2433471142913879E-2</v>
      </c>
    </row>
    <row r="114" spans="1:6" ht="15.75">
      <c r="A114" s="106"/>
      <c r="B114" s="5" t="s">
        <v>133</v>
      </c>
      <c r="C114" s="7" t="s">
        <v>436</v>
      </c>
      <c r="D114">
        <v>52.567703184999999</v>
      </c>
      <c r="E114">
        <v>1.4602139773611109E-2</v>
      </c>
      <c r="F114" s="83">
        <v>2.7520725181008478E-2</v>
      </c>
    </row>
    <row r="115" spans="1:6" ht="15.75">
      <c r="A115" s="106"/>
      <c r="B115" s="5" t="s">
        <v>148</v>
      </c>
      <c r="C115" s="7" t="s">
        <v>437</v>
      </c>
      <c r="D115">
        <v>42.177463070000002</v>
      </c>
      <c r="E115">
        <v>1.1715961963888889E-2</v>
      </c>
      <c r="F115" s="83">
        <v>2.2081131562788559E-2</v>
      </c>
    </row>
    <row r="116" spans="1:6" ht="15.75">
      <c r="A116" s="106"/>
      <c r="B116" s="5" t="s">
        <v>135</v>
      </c>
      <c r="C116" s="7" t="s">
        <v>438</v>
      </c>
      <c r="D116">
        <v>181.46441833200001</v>
      </c>
      <c r="E116">
        <v>5.0406782870000007E-2</v>
      </c>
      <c r="F116" s="83">
        <v>9.5001913427169835E-2</v>
      </c>
    </row>
    <row r="117" spans="1:6" ht="15.75">
      <c r="A117" s="106"/>
      <c r="B117" s="5" t="s">
        <v>136</v>
      </c>
      <c r="C117" s="7" t="s">
        <v>439</v>
      </c>
      <c r="D117">
        <v>75.970430112000003</v>
      </c>
      <c r="E117">
        <v>2.1102897253333329E-2</v>
      </c>
      <c r="F117" s="83">
        <v>3.9772735012549583E-2</v>
      </c>
    </row>
    <row r="118" spans="1:6" ht="15.75">
      <c r="A118" s="106"/>
      <c r="B118" s="5" t="s">
        <v>140</v>
      </c>
      <c r="C118" s="7" t="s">
        <v>440</v>
      </c>
      <c r="D118">
        <v>0.280692</v>
      </c>
      <c r="E118">
        <v>7.7970000000000001E-5</v>
      </c>
      <c r="F118" s="83">
        <v>1.4695044532042419E-4</v>
      </c>
    </row>
    <row r="119" spans="1:6" ht="15.75">
      <c r="A119" s="106"/>
      <c r="B119" s="5" t="s">
        <v>139</v>
      </c>
      <c r="C119" s="7" t="s">
        <v>441</v>
      </c>
      <c r="D119">
        <v>489.56709755999998</v>
      </c>
      <c r="E119">
        <v>0.1359908604333333</v>
      </c>
      <c r="F119" s="83">
        <v>0.25630264845691919</v>
      </c>
    </row>
    <row r="120" spans="1:6" ht="15.75">
      <c r="A120" s="106"/>
      <c r="B120" s="5" t="s">
        <v>142</v>
      </c>
      <c r="C120" s="7" t="s">
        <v>442</v>
      </c>
      <c r="D120">
        <v>223.41089260499999</v>
      </c>
      <c r="E120">
        <v>6.205858127916667E-2</v>
      </c>
      <c r="F120" s="83">
        <v>0.1169621156204602</v>
      </c>
    </row>
    <row r="121" spans="1:6" ht="15.75">
      <c r="A121" s="106"/>
      <c r="B121" s="5" t="s">
        <v>144</v>
      </c>
      <c r="C121" s="7" t="s">
        <v>443</v>
      </c>
      <c r="D121">
        <v>3.980114376</v>
      </c>
      <c r="E121">
        <v>1.1055873266666669E-3</v>
      </c>
      <c r="F121" s="83">
        <v>2.0837059124571501E-3</v>
      </c>
    </row>
    <row r="122" spans="1:6" ht="15.75">
      <c r="A122" s="106"/>
      <c r="B122" s="5" t="s">
        <v>146</v>
      </c>
      <c r="C122" s="7" t="s">
        <v>444</v>
      </c>
      <c r="D122">
        <v>0</v>
      </c>
      <c r="E122">
        <v>0</v>
      </c>
      <c r="F122" s="83">
        <v>0</v>
      </c>
    </row>
    <row r="123" spans="1:6" ht="15.75">
      <c r="A123" s="106"/>
      <c r="B123" s="5" t="s">
        <v>147</v>
      </c>
      <c r="C123" s="7" t="s">
        <v>445</v>
      </c>
      <c r="D123">
        <v>296.91274734400002</v>
      </c>
      <c r="E123">
        <v>8.2475763151111117E-2</v>
      </c>
      <c r="F123" s="83">
        <v>0.15544247945617051</v>
      </c>
    </row>
    <row r="124" spans="1:6" ht="15.75">
      <c r="A124" s="106"/>
      <c r="B124" s="5" t="s">
        <v>150</v>
      </c>
      <c r="C124" s="7" t="s">
        <v>446</v>
      </c>
      <c r="D124">
        <v>2.9398918200000002</v>
      </c>
      <c r="E124">
        <v>8.1663661666666655E-4</v>
      </c>
      <c r="F124" s="83">
        <v>1.539119077646931E-3</v>
      </c>
    </row>
    <row r="125" spans="1:6" ht="15.75">
      <c r="A125" s="106"/>
      <c r="B125" s="5" t="s">
        <v>152</v>
      </c>
      <c r="C125" s="7" t="s">
        <v>447</v>
      </c>
      <c r="D125">
        <v>95.266835180000015</v>
      </c>
      <c r="E125">
        <v>2.646300977222223E-2</v>
      </c>
      <c r="F125" s="83">
        <v>4.9874965634818441E-2</v>
      </c>
    </row>
    <row r="126" spans="1:6" ht="15.75">
      <c r="A126" s="106"/>
      <c r="B126" s="5" t="s">
        <v>149</v>
      </c>
      <c r="C126" s="7" t="s">
        <v>448</v>
      </c>
      <c r="D126">
        <v>130.09674222999999</v>
      </c>
      <c r="E126">
        <v>3.6137983952777772E-2</v>
      </c>
      <c r="F126" s="83">
        <v>6.8109437409811943E-2</v>
      </c>
    </row>
    <row r="127" spans="1:6" ht="15.75">
      <c r="A127" s="106"/>
      <c r="B127" s="5" t="s">
        <v>131</v>
      </c>
      <c r="C127" s="7" t="s">
        <v>449</v>
      </c>
      <c r="D127">
        <v>0</v>
      </c>
      <c r="E127">
        <v>0</v>
      </c>
      <c r="F127" s="83">
        <v>0</v>
      </c>
    </row>
    <row r="128" spans="1:6">
      <c r="A128" s="106"/>
      <c r="B128" s="5" t="s">
        <v>450</v>
      </c>
      <c r="C128" s="7" t="s">
        <v>451</v>
      </c>
    </row>
    <row r="129" spans="1:7">
      <c r="A129" s="106"/>
      <c r="B129" s="5" t="s">
        <v>452</v>
      </c>
      <c r="C129" s="7" t="s">
        <v>453</v>
      </c>
    </row>
    <row r="130" spans="1:7">
      <c r="A130" s="106"/>
      <c r="B130" s="5" t="s">
        <v>454</v>
      </c>
      <c r="C130" s="7" t="s">
        <v>455</v>
      </c>
    </row>
    <row r="131" spans="1:7">
      <c r="A131" s="106"/>
      <c r="B131" s="5" t="s">
        <v>456</v>
      </c>
      <c r="C131" s="7" t="s">
        <v>457</v>
      </c>
    </row>
    <row r="132" spans="1:7">
      <c r="A132" s="106"/>
      <c r="B132" s="5" t="s">
        <v>458</v>
      </c>
      <c r="C132" s="7" t="s">
        <v>459</v>
      </c>
    </row>
    <row r="133" spans="1:7" ht="15.75">
      <c r="A133" s="106" t="s">
        <v>12</v>
      </c>
      <c r="B133" s="11" t="s">
        <v>460</v>
      </c>
      <c r="C133" s="11" t="s">
        <v>461</v>
      </c>
      <c r="D133">
        <v>53.961724308999997</v>
      </c>
      <c r="E133" s="59">
        <f>D133/3600</f>
        <v>1.498936786361111E-2</v>
      </c>
      <c r="F133" s="78">
        <f>D133/(D135+D134)</f>
        <v>0.75225572694202558</v>
      </c>
      <c r="G133" s="87" t="s">
        <v>153</v>
      </c>
    </row>
    <row r="134" spans="1:7">
      <c r="A134" s="106"/>
      <c r="B134" s="5" t="s">
        <v>154</v>
      </c>
      <c r="C134" s="7" t="s">
        <v>462</v>
      </c>
      <c r="D134" s="86">
        <v>1.8403709699999999</v>
      </c>
      <c r="E134" s="86">
        <v>5.1121415833333328E-4</v>
      </c>
      <c r="F134" s="78">
        <v>2.5655770263246599E-2</v>
      </c>
    </row>
    <row r="135" spans="1:7">
      <c r="A135" s="106"/>
      <c r="B135" s="5" t="s">
        <v>153</v>
      </c>
      <c r="C135" s="7"/>
      <c r="D135" s="86">
        <v>69.892847371000002</v>
      </c>
      <c r="E135" s="59">
        <f>D135/3600</f>
        <v>1.9414679825277777E-2</v>
      </c>
      <c r="F135" s="78">
        <v>0.9743442297367535</v>
      </c>
    </row>
    <row r="136" spans="1:7" ht="15.75">
      <c r="A136" s="106"/>
      <c r="B136" s="5" t="s">
        <v>463</v>
      </c>
      <c r="C136" s="7" t="s">
        <v>464</v>
      </c>
      <c r="D136">
        <v>15.931123061999999</v>
      </c>
      <c r="E136" s="59">
        <f>D136/3600</f>
        <v>4.4253119616666668E-3</v>
      </c>
      <c r="F136" s="78">
        <f>D136/(D135+D134)</f>
        <v>0.22208850279472783</v>
      </c>
      <c r="G136" s="87" t="s">
        <v>153</v>
      </c>
    </row>
    <row r="137" spans="1:7">
      <c r="A137" s="106"/>
      <c r="B137" s="5" t="s">
        <v>465</v>
      </c>
      <c r="C137" s="7" t="s">
        <v>466</v>
      </c>
      <c r="F137" s="78"/>
      <c r="G137" s="87" t="s">
        <v>153</v>
      </c>
    </row>
    <row r="138" spans="1:7" ht="15.75">
      <c r="A138" s="106" t="s">
        <v>13</v>
      </c>
      <c r="B138" s="5" t="s">
        <v>163</v>
      </c>
      <c r="C138" s="7" t="s">
        <v>467</v>
      </c>
      <c r="D138">
        <v>137.30567922200001</v>
      </c>
      <c r="E138">
        <v>3.8140466450555563E-2</v>
      </c>
      <c r="F138" s="83">
        <v>0.12530978486298991</v>
      </c>
    </row>
    <row r="139" spans="1:7" ht="15.75">
      <c r="A139" s="106"/>
      <c r="B139" s="5" t="s">
        <v>156</v>
      </c>
      <c r="C139" s="7" t="s">
        <v>468</v>
      </c>
      <c r="D139">
        <v>0</v>
      </c>
      <c r="E139">
        <v>0</v>
      </c>
      <c r="F139" s="83">
        <v>0</v>
      </c>
    </row>
    <row r="140" spans="1:7" ht="15.75">
      <c r="A140" s="106"/>
      <c r="B140" s="5" t="s">
        <v>167</v>
      </c>
      <c r="C140" s="7" t="s">
        <v>469</v>
      </c>
      <c r="D140">
        <v>7.8108009540000003</v>
      </c>
      <c r="E140">
        <v>2.1696669316666672E-3</v>
      </c>
      <c r="F140" s="83">
        <v>7.1283998790091646E-3</v>
      </c>
    </row>
    <row r="141" spans="1:7" ht="15.75">
      <c r="A141" s="106"/>
      <c r="B141" s="5" t="s">
        <v>166</v>
      </c>
      <c r="C141" s="7" t="s">
        <v>470</v>
      </c>
      <c r="D141">
        <v>45.872763452000008</v>
      </c>
      <c r="E141">
        <v>1.2742434292222221E-2</v>
      </c>
      <c r="F141" s="83">
        <v>4.1865028102347518E-2</v>
      </c>
    </row>
    <row r="142" spans="1:7" ht="15.75">
      <c r="A142" s="106"/>
      <c r="B142" s="5" t="s">
        <v>175</v>
      </c>
      <c r="C142" s="7" t="s">
        <v>471</v>
      </c>
      <c r="D142">
        <v>12.010210921000001</v>
      </c>
      <c r="E142">
        <v>3.336169700277778E-3</v>
      </c>
      <c r="F142" s="83">
        <v>1.096092277608063E-2</v>
      </c>
    </row>
    <row r="143" spans="1:7" ht="15.75">
      <c r="A143" s="106"/>
      <c r="B143" s="5" t="s">
        <v>164</v>
      </c>
      <c r="C143" s="7" t="s">
        <v>472</v>
      </c>
      <c r="D143">
        <v>0</v>
      </c>
      <c r="E143">
        <v>0</v>
      </c>
      <c r="F143" s="83">
        <v>0</v>
      </c>
    </row>
    <row r="144" spans="1:7" ht="15.75">
      <c r="A144" s="106"/>
      <c r="B144" s="5" t="s">
        <v>171</v>
      </c>
      <c r="C144" s="7" t="s">
        <v>473</v>
      </c>
      <c r="D144">
        <v>29.169660343</v>
      </c>
      <c r="E144">
        <v>8.1026834286111113E-3</v>
      </c>
      <c r="F144" s="83">
        <v>2.6621213942636029E-2</v>
      </c>
    </row>
    <row r="145" spans="1:7" ht="15.75">
      <c r="A145" s="106"/>
      <c r="B145" s="5" t="s">
        <v>174</v>
      </c>
      <c r="C145" s="7" t="s">
        <v>474</v>
      </c>
      <c r="D145">
        <v>4.8064036989999996</v>
      </c>
      <c r="E145">
        <v>1.3351121386111109E-3</v>
      </c>
      <c r="F145" s="83">
        <v>4.3864858096114784E-3</v>
      </c>
    </row>
    <row r="146" spans="1:7" ht="15.75">
      <c r="A146" s="106"/>
      <c r="B146" s="5" t="s">
        <v>173</v>
      </c>
      <c r="C146" s="7" t="s">
        <v>475</v>
      </c>
      <c r="D146">
        <v>0</v>
      </c>
      <c r="E146">
        <v>0</v>
      </c>
      <c r="F146" s="83">
        <v>0</v>
      </c>
    </row>
    <row r="147" spans="1:7" ht="15.75">
      <c r="A147" s="106"/>
      <c r="B147" s="5" t="s">
        <v>172</v>
      </c>
      <c r="C147" s="7" t="s">
        <v>476</v>
      </c>
      <c r="D147">
        <v>0</v>
      </c>
      <c r="E147">
        <v>0</v>
      </c>
      <c r="F147" s="83">
        <v>0</v>
      </c>
    </row>
    <row r="148" spans="1:7" ht="15.75">
      <c r="A148" s="106"/>
      <c r="B148" s="5" t="s">
        <v>161</v>
      </c>
      <c r="C148" s="7" t="s">
        <v>477</v>
      </c>
      <c r="D148">
        <v>5.6669817480000004</v>
      </c>
      <c r="E148">
        <v>1.5741615966666669E-3</v>
      </c>
      <c r="F148" s="83">
        <v>5.1718783060401546E-3</v>
      </c>
    </row>
    <row r="149" spans="1:7" ht="15.75">
      <c r="A149" s="106"/>
      <c r="B149" s="5" t="s">
        <v>162</v>
      </c>
      <c r="C149" s="7" t="s">
        <v>478</v>
      </c>
      <c r="D149">
        <v>3.56315691</v>
      </c>
      <c r="E149">
        <v>9.897658083333333E-4</v>
      </c>
      <c r="F149" s="83">
        <v>3.2518569396045409E-3</v>
      </c>
    </row>
    <row r="150" spans="1:7" ht="30">
      <c r="A150" s="106"/>
      <c r="B150" s="5" t="s">
        <v>158</v>
      </c>
      <c r="C150" s="7" t="s">
        <v>479</v>
      </c>
      <c r="D150">
        <v>0</v>
      </c>
      <c r="E150">
        <v>0</v>
      </c>
      <c r="F150" s="83">
        <v>0</v>
      </c>
    </row>
    <row r="151" spans="1:7" ht="15.75">
      <c r="A151" s="106"/>
      <c r="B151" s="5" t="s">
        <v>159</v>
      </c>
      <c r="C151" s="7" t="s">
        <v>480</v>
      </c>
      <c r="D151">
        <v>108.902099693</v>
      </c>
      <c r="E151">
        <v>3.025058324805556E-2</v>
      </c>
      <c r="F151" s="83">
        <v>9.9387722059140982E-2</v>
      </c>
    </row>
    <row r="152" spans="1:7" ht="15.75">
      <c r="A152" s="106"/>
      <c r="B152" s="5" t="s">
        <v>155</v>
      </c>
      <c r="C152" s="7" t="s">
        <v>481</v>
      </c>
      <c r="D152">
        <v>175.038833856</v>
      </c>
      <c r="E152">
        <v>4.8621898293333327E-2</v>
      </c>
      <c r="F152" s="83">
        <v>0.1597463319612607</v>
      </c>
    </row>
    <row r="153" spans="1:7" ht="15.75">
      <c r="A153" s="106"/>
      <c r="B153" s="5" t="s">
        <v>169</v>
      </c>
      <c r="C153" s="7" t="s">
        <v>482</v>
      </c>
      <c r="D153">
        <v>101.35410699800001</v>
      </c>
      <c r="E153">
        <v>2.8153918610555551E-2</v>
      </c>
      <c r="F153" s="83">
        <v>9.2499169843987428E-2</v>
      </c>
    </row>
    <row r="154" spans="1:7" ht="15.75">
      <c r="A154" s="106"/>
      <c r="B154" s="5" t="s">
        <v>170</v>
      </c>
      <c r="C154" s="7" t="s">
        <v>483</v>
      </c>
      <c r="D154">
        <v>20.569100571</v>
      </c>
      <c r="E154">
        <v>5.7136390475E-3</v>
      </c>
      <c r="F154" s="83">
        <v>1.8772053581336691E-2</v>
      </c>
    </row>
    <row r="155" spans="1:7" ht="15.75">
      <c r="A155" s="106"/>
      <c r="B155" s="5" t="s">
        <v>160</v>
      </c>
      <c r="C155" s="7" t="s">
        <v>484</v>
      </c>
      <c r="D155">
        <v>289.32229050399991</v>
      </c>
      <c r="E155">
        <v>8.0367302917777758E-2</v>
      </c>
      <c r="F155" s="83">
        <v>0.26404526152560398</v>
      </c>
    </row>
    <row r="156" spans="1:7" ht="15.75">
      <c r="A156" s="106"/>
      <c r="B156" s="5" t="s">
        <v>157</v>
      </c>
      <c r="C156" s="7" t="s">
        <v>485</v>
      </c>
      <c r="D156">
        <v>0</v>
      </c>
      <c r="E156">
        <v>0</v>
      </c>
      <c r="F156" s="83">
        <v>0</v>
      </c>
    </row>
    <row r="157" spans="1:7" ht="15.75">
      <c r="A157" s="106"/>
      <c r="B157" s="5" t="s">
        <v>165</v>
      </c>
      <c r="C157" s="7" t="s">
        <v>486</v>
      </c>
      <c r="D157">
        <v>45.965358595999987</v>
      </c>
      <c r="E157">
        <v>1.276815516555555E-2</v>
      </c>
      <c r="F157" s="83">
        <v>4.1949533547713962E-2</v>
      </c>
    </row>
    <row r="158" spans="1:7" ht="15.75">
      <c r="A158" s="106"/>
      <c r="B158" s="5" t="s">
        <v>168</v>
      </c>
      <c r="C158" s="7" t="s">
        <v>487</v>
      </c>
      <c r="D158">
        <v>108.37246199000001</v>
      </c>
      <c r="E158">
        <v>3.010346166388889E-2</v>
      </c>
      <c r="F158" s="83">
        <v>9.8904356862636947E-2</v>
      </c>
    </row>
    <row r="159" spans="1:7">
      <c r="A159" s="26" t="s">
        <v>623</v>
      </c>
      <c r="B159" s="5" t="s">
        <v>488</v>
      </c>
      <c r="C159" s="7" t="s">
        <v>489</v>
      </c>
      <c r="F159" s="59">
        <v>1</v>
      </c>
      <c r="G159" s="3" t="s">
        <v>925</v>
      </c>
    </row>
    <row r="160" spans="1:7">
      <c r="A160" s="26" t="s">
        <v>14</v>
      </c>
      <c r="B160" s="5" t="s">
        <v>176</v>
      </c>
      <c r="C160" s="7" t="s">
        <v>490</v>
      </c>
      <c r="F160" s="59">
        <v>1</v>
      </c>
      <c r="G160" s="3" t="s">
        <v>925</v>
      </c>
    </row>
    <row r="161" spans="1:7" ht="15.75">
      <c r="A161" s="106" t="s">
        <v>1164</v>
      </c>
      <c r="B161" s="5" t="s">
        <v>491</v>
      </c>
      <c r="C161" s="7" t="s">
        <v>492</v>
      </c>
      <c r="D161">
        <v>3.3090250000000001</v>
      </c>
      <c r="E161" s="90">
        <f>D161/3600</f>
        <v>9.1917361111111117E-4</v>
      </c>
      <c r="F161" s="59">
        <f>D161/SUM(D$161:D$162)</f>
        <v>0.25644051413942948</v>
      </c>
    </row>
    <row r="162" spans="1:7">
      <c r="A162" s="106"/>
      <c r="B162" s="5" t="s">
        <v>493</v>
      </c>
      <c r="C162" s="7" t="s">
        <v>494</v>
      </c>
      <c r="D162" s="90">
        <v>9.5946498000000009</v>
      </c>
      <c r="E162" s="90">
        <f t="shared" ref="E162" si="0">D162/3600</f>
        <v>2.6651805000000002E-3</v>
      </c>
      <c r="F162" s="59">
        <f>D162/SUM(D$161:D$162)</f>
        <v>0.74355948586057052</v>
      </c>
    </row>
    <row r="163" spans="1:7">
      <c r="A163" s="26" t="s">
        <v>15</v>
      </c>
      <c r="B163" s="5" t="s">
        <v>177</v>
      </c>
      <c r="C163" s="7" t="s">
        <v>15</v>
      </c>
      <c r="F163" s="59">
        <v>1</v>
      </c>
      <c r="G163" s="3" t="s">
        <v>925</v>
      </c>
    </row>
    <row r="164" spans="1:7" ht="15.75">
      <c r="A164" s="106" t="s">
        <v>16</v>
      </c>
      <c r="B164" s="5" t="s">
        <v>182</v>
      </c>
      <c r="C164" s="7" t="s">
        <v>495</v>
      </c>
      <c r="D164">
        <v>0</v>
      </c>
      <c r="E164">
        <v>0</v>
      </c>
      <c r="F164" s="83">
        <v>0</v>
      </c>
    </row>
    <row r="165" spans="1:7" ht="15.75">
      <c r="A165" s="106"/>
      <c r="B165" s="5" t="s">
        <v>181</v>
      </c>
      <c r="C165" s="7" t="s">
        <v>496</v>
      </c>
      <c r="D165">
        <v>0</v>
      </c>
      <c r="E165">
        <v>0</v>
      </c>
      <c r="F165" s="83">
        <v>0</v>
      </c>
    </row>
    <row r="166" spans="1:7" ht="15.75">
      <c r="A166" s="106"/>
      <c r="B166" s="5" t="s">
        <v>180</v>
      </c>
      <c r="C166" s="7" t="s">
        <v>497</v>
      </c>
      <c r="D166">
        <v>64.559160000000006</v>
      </c>
      <c r="E166">
        <v>1.79331E-2</v>
      </c>
      <c r="F166" s="83">
        <v>0.94016814957209704</v>
      </c>
    </row>
    <row r="167" spans="1:7" ht="15.75">
      <c r="A167" s="106"/>
      <c r="B167" s="5" t="s">
        <v>179</v>
      </c>
      <c r="C167" s="7" t="s">
        <v>498</v>
      </c>
      <c r="D167">
        <v>0</v>
      </c>
      <c r="E167">
        <v>0</v>
      </c>
      <c r="F167" s="83">
        <v>0</v>
      </c>
    </row>
    <row r="168" spans="1:7" ht="15.75">
      <c r="A168" s="106"/>
      <c r="B168" s="5" t="s">
        <v>184</v>
      </c>
      <c r="C168" s="7" t="s">
        <v>499</v>
      </c>
      <c r="D168">
        <v>0</v>
      </c>
      <c r="E168">
        <v>0</v>
      </c>
      <c r="F168" s="83">
        <v>0</v>
      </c>
    </row>
    <row r="169" spans="1:7" ht="15.75">
      <c r="A169" s="106"/>
      <c r="B169" s="5" t="s">
        <v>183</v>
      </c>
      <c r="C169" s="7" t="s">
        <v>500</v>
      </c>
      <c r="D169">
        <v>0.137684</v>
      </c>
      <c r="E169">
        <v>3.8245555555555563E-5</v>
      </c>
      <c r="F169" s="83">
        <v>2.0050773818259811E-3</v>
      </c>
    </row>
    <row r="170" spans="1:7" ht="15.75">
      <c r="A170" s="106"/>
      <c r="B170" s="5" t="s">
        <v>178</v>
      </c>
      <c r="C170" s="7" t="s">
        <v>501</v>
      </c>
      <c r="D170">
        <v>3.9708299999999999</v>
      </c>
      <c r="E170">
        <v>1.1030083333333331E-3</v>
      </c>
      <c r="F170" s="83">
        <v>5.782677304607696E-2</v>
      </c>
    </row>
    <row r="171" spans="1:7" ht="15.75">
      <c r="A171" s="106"/>
      <c r="B171" s="5" t="s">
        <v>185</v>
      </c>
      <c r="C171" s="7" t="s">
        <v>502</v>
      </c>
      <c r="D171">
        <v>0</v>
      </c>
      <c r="E171">
        <v>0</v>
      </c>
      <c r="F171" s="83">
        <v>0</v>
      </c>
    </row>
    <row r="172" spans="1:7">
      <c r="A172" s="26" t="s">
        <v>504</v>
      </c>
      <c r="B172" s="5" t="s">
        <v>503</v>
      </c>
      <c r="C172" s="7" t="s">
        <v>504</v>
      </c>
      <c r="F172" s="59">
        <v>1</v>
      </c>
      <c r="G172" s="3" t="s">
        <v>925</v>
      </c>
    </row>
    <row r="173" spans="1:7" ht="15.75">
      <c r="A173" s="106" t="s">
        <v>17</v>
      </c>
      <c r="B173" s="5" t="s">
        <v>193</v>
      </c>
      <c r="C173" s="7" t="s">
        <v>505</v>
      </c>
      <c r="D173">
        <v>6.3043500000000003</v>
      </c>
      <c r="E173">
        <v>1.7512083333333329E-3</v>
      </c>
      <c r="F173" s="83">
        <v>2.5549542726873129E-2</v>
      </c>
    </row>
    <row r="174" spans="1:7" ht="15.75">
      <c r="A174" s="106"/>
      <c r="B174" s="5" t="s">
        <v>195</v>
      </c>
      <c r="C174" s="7" t="s">
        <v>506</v>
      </c>
      <c r="D174">
        <v>0</v>
      </c>
      <c r="E174">
        <v>0</v>
      </c>
      <c r="F174" s="83">
        <v>0</v>
      </c>
    </row>
    <row r="175" spans="1:7" ht="15.75">
      <c r="A175" s="106"/>
      <c r="B175" s="5" t="s">
        <v>197</v>
      </c>
      <c r="C175" s="7" t="s">
        <v>507</v>
      </c>
      <c r="D175">
        <v>0.96989999999999998</v>
      </c>
      <c r="E175">
        <v>2.6941666666666672E-4</v>
      </c>
      <c r="F175" s="83">
        <v>3.9306988810574048E-3</v>
      </c>
    </row>
    <row r="176" spans="1:7" ht="15.75">
      <c r="A176" s="106"/>
      <c r="B176" s="5" t="s">
        <v>188</v>
      </c>
      <c r="C176" s="7" t="s">
        <v>508</v>
      </c>
      <c r="D176">
        <v>0</v>
      </c>
      <c r="E176">
        <v>0</v>
      </c>
      <c r="F176" s="83">
        <v>0</v>
      </c>
    </row>
    <row r="177" spans="1:6" ht="15.75">
      <c r="A177" s="106"/>
      <c r="B177" s="5" t="s">
        <v>194</v>
      </c>
      <c r="C177" s="7" t="s">
        <v>509</v>
      </c>
      <c r="D177">
        <v>94.499029999999991</v>
      </c>
      <c r="E177">
        <v>2.6249730555555548E-2</v>
      </c>
      <c r="F177" s="83">
        <v>0.3829747721229097</v>
      </c>
    </row>
    <row r="178" spans="1:6" ht="15.75">
      <c r="A178" s="106"/>
      <c r="B178" s="5" t="s">
        <v>196</v>
      </c>
      <c r="C178" s="7" t="s">
        <v>510</v>
      </c>
      <c r="D178">
        <v>0</v>
      </c>
      <c r="E178">
        <v>0</v>
      </c>
      <c r="F178" s="83">
        <v>0</v>
      </c>
    </row>
    <row r="179" spans="1:6" ht="15.75">
      <c r="A179" s="106"/>
      <c r="B179" s="5" t="s">
        <v>190</v>
      </c>
      <c r="C179" s="7" t="s">
        <v>511</v>
      </c>
      <c r="D179">
        <v>0</v>
      </c>
      <c r="E179">
        <v>0</v>
      </c>
      <c r="F179" s="83">
        <v>0</v>
      </c>
    </row>
    <row r="180" spans="1:6" ht="15.75">
      <c r="A180" s="106"/>
      <c r="B180" s="5" t="s">
        <v>189</v>
      </c>
      <c r="C180" s="7" t="s">
        <v>512</v>
      </c>
      <c r="D180">
        <v>30.978899999999999</v>
      </c>
      <c r="E180">
        <v>8.6052500000000001E-3</v>
      </c>
      <c r="F180" s="83">
        <v>0.1255477137502724</v>
      </c>
    </row>
    <row r="181" spans="1:6" ht="15.75">
      <c r="A181" s="106"/>
      <c r="B181" s="5" t="s">
        <v>186</v>
      </c>
      <c r="C181" s="7" t="s">
        <v>513</v>
      </c>
      <c r="D181">
        <v>0</v>
      </c>
      <c r="E181">
        <v>0</v>
      </c>
      <c r="F181" s="83">
        <v>0</v>
      </c>
    </row>
    <row r="182" spans="1:6" ht="15.75">
      <c r="A182" s="106"/>
      <c r="B182" s="5" t="s">
        <v>187</v>
      </c>
      <c r="C182" s="7" t="s">
        <v>514</v>
      </c>
      <c r="D182">
        <v>0</v>
      </c>
      <c r="E182">
        <v>0</v>
      </c>
      <c r="F182" s="83">
        <v>0</v>
      </c>
    </row>
    <row r="183" spans="1:6" ht="15.75">
      <c r="A183" s="106"/>
      <c r="B183" s="5" t="s">
        <v>191</v>
      </c>
      <c r="C183" s="7" t="s">
        <v>515</v>
      </c>
      <c r="D183">
        <v>8.6034649999999999</v>
      </c>
      <c r="E183">
        <v>2.3898513888888891E-3</v>
      </c>
      <c r="F183" s="83">
        <v>3.486713088845917E-2</v>
      </c>
    </row>
    <row r="184" spans="1:6" ht="15.75">
      <c r="A184" s="106"/>
      <c r="B184" s="5" t="s">
        <v>192</v>
      </c>
      <c r="C184" s="7" t="s">
        <v>516</v>
      </c>
      <c r="D184">
        <v>105.394368</v>
      </c>
      <c r="E184">
        <v>2.9276213333333329E-2</v>
      </c>
      <c r="F184" s="83">
        <v>0.42713014163042828</v>
      </c>
    </row>
    <row r="185" spans="1:6" ht="15.75">
      <c r="A185" s="106" t="s">
        <v>18</v>
      </c>
      <c r="B185" s="5" t="s">
        <v>206</v>
      </c>
      <c r="C185" s="7" t="s">
        <v>517</v>
      </c>
      <c r="D185">
        <v>0</v>
      </c>
      <c r="E185">
        <v>0</v>
      </c>
      <c r="F185" s="83">
        <v>0</v>
      </c>
    </row>
    <row r="186" spans="1:6" ht="15.75">
      <c r="A186" s="106"/>
      <c r="B186" s="5" t="s">
        <v>204</v>
      </c>
      <c r="C186" s="7" t="s">
        <v>518</v>
      </c>
      <c r="D186">
        <v>133.766948394</v>
      </c>
      <c r="E186">
        <v>3.7157485664999997E-2</v>
      </c>
      <c r="F186" s="83">
        <v>9.2497921623671736E-2</v>
      </c>
    </row>
    <row r="187" spans="1:6" ht="15.75">
      <c r="A187" s="106"/>
      <c r="B187" s="5" t="s">
        <v>203</v>
      </c>
      <c r="C187" s="7" t="s">
        <v>519</v>
      </c>
      <c r="D187">
        <v>0</v>
      </c>
      <c r="E187">
        <v>0</v>
      </c>
      <c r="F187" s="83">
        <v>0</v>
      </c>
    </row>
    <row r="188" spans="1:6" ht="15.75">
      <c r="A188" s="106"/>
      <c r="B188" s="5" t="s">
        <v>205</v>
      </c>
      <c r="C188" s="7" t="s">
        <v>520</v>
      </c>
      <c r="D188">
        <v>203.35305435199999</v>
      </c>
      <c r="E188">
        <v>5.6486959542222222E-2</v>
      </c>
      <c r="F188" s="83">
        <v>0.1406157134420303</v>
      </c>
    </row>
    <row r="189" spans="1:6" ht="15.75">
      <c r="A189" s="106"/>
      <c r="B189" s="5" t="s">
        <v>200</v>
      </c>
      <c r="C189" s="7" t="s">
        <v>521</v>
      </c>
      <c r="D189">
        <v>541.66815629299992</v>
      </c>
      <c r="E189">
        <v>0.15046337674805549</v>
      </c>
      <c r="F189" s="83">
        <v>0.37455574241892492</v>
      </c>
    </row>
    <row r="190" spans="1:6" ht="15.75">
      <c r="A190" s="106"/>
      <c r="B190" s="5" t="s">
        <v>202</v>
      </c>
      <c r="C190" s="7" t="s">
        <v>522</v>
      </c>
      <c r="D190">
        <v>478.34732213099988</v>
      </c>
      <c r="E190">
        <v>0.13287425614750001</v>
      </c>
      <c r="F190" s="83">
        <v>0.33077029597059349</v>
      </c>
    </row>
    <row r="191" spans="1:6" ht="15.75">
      <c r="A191" s="106"/>
      <c r="B191" s="5" t="s">
        <v>201</v>
      </c>
      <c r="C191" s="7" t="s">
        <v>523</v>
      </c>
      <c r="D191">
        <v>71.046263640000006</v>
      </c>
      <c r="E191">
        <v>1.9735073233333331E-2</v>
      </c>
      <c r="F191" s="83">
        <v>4.9127469862519528E-2</v>
      </c>
    </row>
    <row r="192" spans="1:6" ht="15.75">
      <c r="A192" s="106"/>
      <c r="B192" s="5" t="s">
        <v>199</v>
      </c>
      <c r="C192" s="7" t="s">
        <v>524</v>
      </c>
      <c r="D192">
        <v>5.6138399999999997</v>
      </c>
      <c r="E192">
        <v>1.5594000000000001E-3</v>
      </c>
      <c r="F192" s="83">
        <v>3.8818896488418712E-3</v>
      </c>
    </row>
    <row r="193" spans="1:6" ht="15.75">
      <c r="A193" s="106"/>
      <c r="B193" s="5" t="s">
        <v>198</v>
      </c>
      <c r="C193" s="7" t="s">
        <v>525</v>
      </c>
      <c r="D193">
        <v>12.366080727</v>
      </c>
      <c r="E193">
        <v>3.435022424166666E-3</v>
      </c>
      <c r="F193" s="83">
        <v>8.5509670334181706E-3</v>
      </c>
    </row>
    <row r="194" spans="1:6" ht="15.75">
      <c r="A194" s="106" t="s">
        <v>19</v>
      </c>
      <c r="B194" s="5" t="s">
        <v>219</v>
      </c>
      <c r="C194" s="7" t="s">
        <v>526</v>
      </c>
      <c r="D194">
        <v>9.8588151970000002</v>
      </c>
      <c r="E194">
        <v>2.7385597769444439E-3</v>
      </c>
      <c r="F194" s="83">
        <v>1.0201727352470141E-2</v>
      </c>
    </row>
    <row r="195" spans="1:6" ht="15.75">
      <c r="A195" s="106"/>
      <c r="B195" s="5" t="s">
        <v>210</v>
      </c>
      <c r="C195" s="7" t="s">
        <v>527</v>
      </c>
      <c r="D195">
        <v>21.726278886999999</v>
      </c>
      <c r="E195">
        <v>6.0350774686111107E-3</v>
      </c>
      <c r="F195" s="83">
        <v>2.2481968589526679E-2</v>
      </c>
    </row>
    <row r="196" spans="1:6" ht="15.75">
      <c r="A196" s="106"/>
      <c r="B196" s="5" t="s">
        <v>221</v>
      </c>
      <c r="C196" s="7" t="s">
        <v>528</v>
      </c>
      <c r="D196">
        <v>14.379097748</v>
      </c>
      <c r="E196">
        <v>3.994193818888889E-3</v>
      </c>
      <c r="F196" s="83">
        <v>1.487923567572816E-2</v>
      </c>
    </row>
    <row r="197" spans="1:6" ht="15.75">
      <c r="A197" s="106"/>
      <c r="B197" s="5" t="s">
        <v>207</v>
      </c>
      <c r="C197" s="7" t="s">
        <v>529</v>
      </c>
      <c r="D197">
        <v>0</v>
      </c>
      <c r="E197">
        <v>0</v>
      </c>
      <c r="F197" s="83">
        <v>0</v>
      </c>
    </row>
    <row r="198" spans="1:6" ht="15.75">
      <c r="A198" s="106"/>
      <c r="B198" s="5" t="s">
        <v>216</v>
      </c>
      <c r="C198" s="7" t="s">
        <v>530</v>
      </c>
      <c r="D198">
        <v>62.068485920999997</v>
      </c>
      <c r="E198">
        <v>1.7241246089166669E-2</v>
      </c>
      <c r="F198" s="83">
        <v>6.4227369911483409E-2</v>
      </c>
    </row>
    <row r="199" spans="1:6" ht="15.75">
      <c r="A199" s="106"/>
      <c r="B199" s="5" t="s">
        <v>218</v>
      </c>
      <c r="C199" s="7" t="s">
        <v>531</v>
      </c>
      <c r="D199">
        <v>11.085769497999999</v>
      </c>
      <c r="E199">
        <v>3.07938041611111E-3</v>
      </c>
      <c r="F199" s="83">
        <v>1.1471357932070761E-2</v>
      </c>
    </row>
    <row r="200" spans="1:6" ht="15.75">
      <c r="A200" s="106"/>
      <c r="B200" s="5" t="s">
        <v>213</v>
      </c>
      <c r="C200" s="7" t="s">
        <v>532</v>
      </c>
      <c r="D200">
        <v>20.495868854000001</v>
      </c>
      <c r="E200">
        <v>5.6932969038888904E-3</v>
      </c>
      <c r="F200" s="83">
        <v>2.12087620796583E-2</v>
      </c>
    </row>
    <row r="201" spans="1:6" ht="15.75">
      <c r="A201" s="106"/>
      <c r="B201" s="5" t="s">
        <v>220</v>
      </c>
      <c r="C201" s="7" t="s">
        <v>533</v>
      </c>
      <c r="D201">
        <v>414.43303873999997</v>
      </c>
      <c r="E201">
        <v>0.11512028853888891</v>
      </c>
      <c r="F201" s="83">
        <v>0.42884796830025951</v>
      </c>
    </row>
    <row r="202" spans="1:6" ht="15.75">
      <c r="A202" s="106"/>
      <c r="B202" s="5" t="s">
        <v>208</v>
      </c>
      <c r="C202" s="7" t="s">
        <v>534</v>
      </c>
      <c r="D202">
        <v>0</v>
      </c>
      <c r="E202">
        <v>0</v>
      </c>
      <c r="F202" s="83">
        <v>0</v>
      </c>
    </row>
    <row r="203" spans="1:6" ht="15.75">
      <c r="A203" s="106"/>
      <c r="B203" s="5" t="s">
        <v>211</v>
      </c>
      <c r="C203" s="7" t="s">
        <v>535</v>
      </c>
      <c r="D203">
        <v>293.13390704</v>
      </c>
      <c r="E203">
        <v>8.1426085288888894E-2</v>
      </c>
      <c r="F203" s="83">
        <v>0.30332977519412219</v>
      </c>
    </row>
    <row r="204" spans="1:6" ht="15.75">
      <c r="A204" s="106"/>
      <c r="B204" s="5" t="s">
        <v>223</v>
      </c>
      <c r="C204" s="7" t="s">
        <v>536</v>
      </c>
      <c r="D204">
        <v>0.24635460000000001</v>
      </c>
      <c r="E204">
        <v>6.8431833333333338E-5</v>
      </c>
      <c r="F204" s="83">
        <v>2.5492337679598748E-4</v>
      </c>
    </row>
    <row r="205" spans="1:6" ht="15.75">
      <c r="A205" s="106"/>
      <c r="B205" s="5" t="s">
        <v>222</v>
      </c>
      <c r="C205" s="7" t="s">
        <v>537</v>
      </c>
      <c r="D205">
        <v>0</v>
      </c>
      <c r="E205">
        <v>0</v>
      </c>
      <c r="F205" s="83">
        <v>0</v>
      </c>
    </row>
    <row r="206" spans="1:6" ht="15.75">
      <c r="A206" s="106"/>
      <c r="B206" s="5" t="s">
        <v>217</v>
      </c>
      <c r="C206" s="7" t="s">
        <v>538</v>
      </c>
      <c r="D206">
        <v>0.85612321199999997</v>
      </c>
      <c r="E206">
        <v>2.3781200333333329E-4</v>
      </c>
      <c r="F206" s="83">
        <v>8.859011366398968E-4</v>
      </c>
    </row>
    <row r="207" spans="1:6" ht="15.75">
      <c r="A207" s="106"/>
      <c r="B207" s="5" t="s">
        <v>209</v>
      </c>
      <c r="C207" s="7" t="s">
        <v>539</v>
      </c>
      <c r="D207">
        <v>0</v>
      </c>
      <c r="E207">
        <v>0</v>
      </c>
      <c r="F207" s="83">
        <v>0</v>
      </c>
    </row>
    <row r="208" spans="1:6" ht="15.75">
      <c r="A208" s="106"/>
      <c r="B208" s="5" t="s">
        <v>212</v>
      </c>
      <c r="C208" s="7" t="s">
        <v>540</v>
      </c>
      <c r="D208">
        <v>0</v>
      </c>
      <c r="E208">
        <v>0</v>
      </c>
      <c r="F208" s="83">
        <v>0</v>
      </c>
    </row>
    <row r="209" spans="1:6" ht="15.75">
      <c r="A209" s="106"/>
      <c r="B209" s="5" t="s">
        <v>214</v>
      </c>
      <c r="C209" s="7" t="s">
        <v>541</v>
      </c>
      <c r="D209">
        <v>0</v>
      </c>
      <c r="E209">
        <v>0</v>
      </c>
      <c r="F209" s="83">
        <v>0</v>
      </c>
    </row>
    <row r="210" spans="1:6" ht="15.75">
      <c r="A210" s="106"/>
      <c r="B210" s="5" t="s">
        <v>215</v>
      </c>
      <c r="C210" s="7" t="s">
        <v>542</v>
      </c>
      <c r="D210">
        <v>118.10311385999999</v>
      </c>
      <c r="E210">
        <v>3.2806420516666657E-2</v>
      </c>
      <c r="F210" s="83">
        <v>0.1222110104512447</v>
      </c>
    </row>
    <row r="211" spans="1:6" ht="15.75">
      <c r="A211" s="106" t="s">
        <v>20</v>
      </c>
      <c r="B211" s="5" t="s">
        <v>226</v>
      </c>
      <c r="C211" s="7" t="s">
        <v>543</v>
      </c>
      <c r="D211">
        <v>153.83139575199999</v>
      </c>
      <c r="E211">
        <v>4.2730943264444439E-2</v>
      </c>
      <c r="F211" s="83">
        <v>9.8861906355812684E-2</v>
      </c>
    </row>
    <row r="212" spans="1:6" ht="15.75">
      <c r="A212" s="106"/>
      <c r="B212" s="5" t="s">
        <v>225</v>
      </c>
      <c r="C212" s="7" t="s">
        <v>544</v>
      </c>
      <c r="D212">
        <v>0</v>
      </c>
      <c r="E212">
        <v>0</v>
      </c>
      <c r="F212" s="83">
        <v>0</v>
      </c>
    </row>
    <row r="213" spans="1:6" ht="15.75">
      <c r="A213" s="106"/>
      <c r="B213" s="5" t="s">
        <v>228</v>
      </c>
      <c r="C213" s="7" t="s">
        <v>545</v>
      </c>
      <c r="D213">
        <v>1031.761729889</v>
      </c>
      <c r="E213">
        <v>0.2866004805247222</v>
      </c>
      <c r="F213" s="83">
        <v>0.66307616220449894</v>
      </c>
    </row>
    <row r="214" spans="1:6" ht="15.75">
      <c r="A214" s="106"/>
      <c r="B214" s="5" t="s">
        <v>224</v>
      </c>
      <c r="C214" s="7" t="s">
        <v>546</v>
      </c>
      <c r="D214">
        <v>370.42983024199998</v>
      </c>
      <c r="E214">
        <v>0.10289717506722219</v>
      </c>
      <c r="F214" s="83">
        <v>0.2380619314396884</v>
      </c>
    </row>
    <row r="215" spans="1:6" ht="15.75">
      <c r="A215" s="106"/>
      <c r="B215" s="5" t="s">
        <v>227</v>
      </c>
      <c r="C215" s="7" t="s">
        <v>547</v>
      </c>
      <c r="D215">
        <v>0</v>
      </c>
      <c r="E215">
        <v>0</v>
      </c>
      <c r="F215" s="83">
        <v>0</v>
      </c>
    </row>
    <row r="216" spans="1:6">
      <c r="A216" s="106"/>
      <c r="B216" s="5" t="s">
        <v>548</v>
      </c>
      <c r="C216" s="7" t="s">
        <v>549</v>
      </c>
    </row>
    <row r="217" spans="1:6">
      <c r="A217" s="106"/>
      <c r="B217" s="5" t="s">
        <v>550</v>
      </c>
      <c r="C217" s="7" t="s">
        <v>551</v>
      </c>
    </row>
    <row r="218" spans="1:6" ht="15.75">
      <c r="A218" s="106" t="s">
        <v>21</v>
      </c>
      <c r="B218" s="5" t="s">
        <v>231</v>
      </c>
      <c r="C218" s="7" t="s">
        <v>552</v>
      </c>
      <c r="D218">
        <v>4.6782000000000004</v>
      </c>
      <c r="E218">
        <v>1.2995000000000001E-3</v>
      </c>
      <c r="F218" s="83">
        <v>9.2079077548014199E-2</v>
      </c>
    </row>
    <row r="219" spans="1:6" ht="15.75">
      <c r="A219" s="106"/>
      <c r="B219" s="5" t="s">
        <v>236</v>
      </c>
      <c r="C219" s="7" t="s">
        <v>553</v>
      </c>
      <c r="D219">
        <v>15.029697000000001</v>
      </c>
      <c r="E219">
        <v>4.1749158333333333E-3</v>
      </c>
      <c r="F219" s="83">
        <v>0.29582331571676213</v>
      </c>
    </row>
    <row r="220" spans="1:6" ht="15.75">
      <c r="A220" s="106"/>
      <c r="B220" s="5" t="s">
        <v>232</v>
      </c>
      <c r="C220" s="7" t="s">
        <v>554</v>
      </c>
      <c r="D220">
        <v>17.343624999999999</v>
      </c>
      <c r="E220">
        <v>4.8176736111111111E-3</v>
      </c>
      <c r="F220" s="83">
        <v>0.34136740441594582</v>
      </c>
    </row>
    <row r="221" spans="1:6" ht="15.75">
      <c r="A221" s="106"/>
      <c r="B221" s="5" t="s">
        <v>230</v>
      </c>
      <c r="C221" s="7" t="s">
        <v>555</v>
      </c>
      <c r="D221">
        <v>7.9309240000000001</v>
      </c>
      <c r="E221">
        <v>2.2030344444444439E-3</v>
      </c>
      <c r="F221" s="83">
        <v>0.15610110000072819</v>
      </c>
    </row>
    <row r="222" spans="1:6" ht="15.75">
      <c r="A222" s="106"/>
      <c r="B222" s="5" t="s">
        <v>234</v>
      </c>
      <c r="C222" s="7" t="s">
        <v>556</v>
      </c>
      <c r="D222">
        <v>5.8238840000000014</v>
      </c>
      <c r="E222">
        <v>1.6177455555555561E-3</v>
      </c>
      <c r="F222" s="83">
        <v>0.1146291023185497</v>
      </c>
    </row>
    <row r="223" spans="1:6" ht="15.75">
      <c r="A223" s="106"/>
      <c r="B223" s="5" t="s">
        <v>233</v>
      </c>
      <c r="C223" s="7" t="s">
        <v>557</v>
      </c>
      <c r="D223">
        <v>0</v>
      </c>
      <c r="E223">
        <v>0</v>
      </c>
      <c r="F223" s="83">
        <v>0</v>
      </c>
    </row>
    <row r="224" spans="1:6" ht="15.75">
      <c r="A224" s="106"/>
      <c r="B224" s="5" t="s">
        <v>229</v>
      </c>
      <c r="C224" s="7" t="s">
        <v>558</v>
      </c>
      <c r="D224">
        <v>0</v>
      </c>
      <c r="E224">
        <v>0</v>
      </c>
      <c r="F224" s="83">
        <v>0</v>
      </c>
    </row>
    <row r="225" spans="1:6" ht="15.75">
      <c r="A225" s="106"/>
      <c r="B225" s="5" t="s">
        <v>235</v>
      </c>
      <c r="C225" s="7" t="s">
        <v>559</v>
      </c>
      <c r="D225">
        <v>0</v>
      </c>
      <c r="E225">
        <v>0</v>
      </c>
      <c r="F225" s="83">
        <v>0</v>
      </c>
    </row>
    <row r="226" spans="1:6" ht="15.75">
      <c r="A226" s="106" t="s">
        <v>22</v>
      </c>
      <c r="B226" s="5" t="s">
        <v>237</v>
      </c>
      <c r="C226" s="7" t="s">
        <v>560</v>
      </c>
      <c r="D226">
        <v>44.650060999999987</v>
      </c>
      <c r="E226">
        <v>1.240279472222222E-2</v>
      </c>
      <c r="F226" s="83">
        <v>0.54175113797006724</v>
      </c>
    </row>
    <row r="227" spans="1:6" ht="15.75">
      <c r="A227" s="106"/>
      <c r="B227" s="5" t="s">
        <v>238</v>
      </c>
      <c r="C227" s="7" t="s">
        <v>561</v>
      </c>
      <c r="D227">
        <v>37.767968000000003</v>
      </c>
      <c r="E227">
        <v>1.049110222222222E-2</v>
      </c>
      <c r="F227" s="83">
        <v>0.45824886202993292</v>
      </c>
    </row>
    <row r="228" spans="1:6" ht="15.75">
      <c r="A228" s="106" t="s">
        <v>23</v>
      </c>
      <c r="B228" s="5" t="s">
        <v>241</v>
      </c>
      <c r="C228" s="7" t="s">
        <v>562</v>
      </c>
      <c r="D228">
        <v>0</v>
      </c>
      <c r="E228">
        <v>0</v>
      </c>
      <c r="F228" s="83">
        <v>0</v>
      </c>
    </row>
    <row r="229" spans="1:6" ht="15.75">
      <c r="A229" s="106"/>
      <c r="B229" s="5" t="s">
        <v>239</v>
      </c>
      <c r="C229" s="7" t="s">
        <v>563</v>
      </c>
      <c r="D229">
        <v>0</v>
      </c>
      <c r="E229">
        <v>0</v>
      </c>
      <c r="F229" s="83">
        <v>0</v>
      </c>
    </row>
    <row r="230" spans="1:6" ht="15.75">
      <c r="A230" s="106"/>
      <c r="B230" s="5" t="s">
        <v>242</v>
      </c>
      <c r="C230" s="7" t="s">
        <v>564</v>
      </c>
      <c r="D230">
        <v>372.99822004299989</v>
      </c>
      <c r="E230">
        <v>0.1036106166786111</v>
      </c>
      <c r="F230" s="83">
        <v>0.82736530627020866</v>
      </c>
    </row>
    <row r="231" spans="1:6" ht="15.75">
      <c r="A231" s="106"/>
      <c r="B231" s="5" t="s">
        <v>240</v>
      </c>
      <c r="C231" s="7" t="s">
        <v>565</v>
      </c>
      <c r="D231">
        <v>77.828297840000005</v>
      </c>
      <c r="E231">
        <v>2.1618971622222219E-2</v>
      </c>
      <c r="F231" s="83">
        <v>0.1726346937297914</v>
      </c>
    </row>
    <row r="232" spans="1:6" ht="15.75">
      <c r="A232" s="106" t="s">
        <v>24</v>
      </c>
      <c r="B232" s="5" t="s">
        <v>243</v>
      </c>
      <c r="C232" s="7" t="s">
        <v>566</v>
      </c>
      <c r="D232">
        <v>1456.2343863030001</v>
      </c>
      <c r="E232">
        <v>0.40450955175083342</v>
      </c>
      <c r="F232" s="83">
        <v>0.28655302056221588</v>
      </c>
    </row>
    <row r="233" spans="1:6" ht="15.75">
      <c r="A233" s="106"/>
      <c r="B233" s="5" t="s">
        <v>245</v>
      </c>
      <c r="C233" s="7" t="s">
        <v>567</v>
      </c>
      <c r="D233">
        <v>118.279421325</v>
      </c>
      <c r="E233">
        <v>3.2855394812500001E-2</v>
      </c>
      <c r="F233" s="83">
        <v>2.3274636123018669E-2</v>
      </c>
    </row>
    <row r="234" spans="1:6" ht="15.75">
      <c r="A234" s="106"/>
      <c r="B234" s="5" t="s">
        <v>244</v>
      </c>
      <c r="C234" s="7" t="s">
        <v>568</v>
      </c>
      <c r="D234">
        <v>2000.951237218</v>
      </c>
      <c r="E234">
        <v>0.55581978811611099</v>
      </c>
      <c r="F234" s="83">
        <v>0.39374061374706298</v>
      </c>
    </row>
    <row r="235" spans="1:6" ht="15.75">
      <c r="A235" s="106"/>
      <c r="B235" s="5" t="s">
        <v>246</v>
      </c>
      <c r="C235" s="7" t="s">
        <v>569</v>
      </c>
      <c r="D235">
        <v>1506.4370179760001</v>
      </c>
      <c r="E235">
        <v>0.41845472721555549</v>
      </c>
      <c r="F235" s="83">
        <v>0.29643172956770242</v>
      </c>
    </row>
    <row r="236" spans="1:6">
      <c r="A236" s="106"/>
      <c r="B236" s="5" t="s">
        <v>570</v>
      </c>
      <c r="C236" s="7" t="s">
        <v>571</v>
      </c>
    </row>
    <row r="237" spans="1:6" ht="15.75">
      <c r="A237" s="106" t="s">
        <v>25</v>
      </c>
      <c r="B237" s="5" t="s">
        <v>247</v>
      </c>
      <c r="C237" s="7" t="s">
        <v>572</v>
      </c>
      <c r="D237">
        <v>95.674917009999987</v>
      </c>
      <c r="E237">
        <v>2.6576365836111109E-2</v>
      </c>
      <c r="F237" s="83">
        <v>1.5411661658184909E-2</v>
      </c>
    </row>
    <row r="238" spans="1:6" ht="15.75">
      <c r="A238" s="106"/>
      <c r="B238" s="5" t="s">
        <v>248</v>
      </c>
      <c r="C238" s="7" t="s">
        <v>573</v>
      </c>
      <c r="D238">
        <v>1260.1725494550001</v>
      </c>
      <c r="E238">
        <v>0.35004793040416671</v>
      </c>
      <c r="F238" s="83">
        <v>0.20299315191569831</v>
      </c>
    </row>
    <row r="239" spans="1:6" ht="15.75">
      <c r="A239" s="106"/>
      <c r="B239" s="5" t="s">
        <v>252</v>
      </c>
      <c r="C239" s="7" t="s">
        <v>574</v>
      </c>
      <c r="D239">
        <v>774.77157726700011</v>
      </c>
      <c r="E239">
        <v>0.21521432701861121</v>
      </c>
      <c r="F239" s="83">
        <v>0.1248030077723427</v>
      </c>
    </row>
    <row r="240" spans="1:6" ht="15.75">
      <c r="A240" s="106"/>
      <c r="B240" s="5" t="s">
        <v>254</v>
      </c>
      <c r="C240" s="7" t="s">
        <v>575</v>
      </c>
      <c r="D240">
        <v>446.13967096800002</v>
      </c>
      <c r="E240">
        <v>0.12392768638</v>
      </c>
      <c r="F240" s="83">
        <v>7.1865791747006177E-2</v>
      </c>
    </row>
    <row r="241" spans="1:6" ht="15.75">
      <c r="A241" s="106"/>
      <c r="B241" s="5" t="s">
        <v>251</v>
      </c>
      <c r="C241" s="7" t="s">
        <v>576</v>
      </c>
      <c r="D241">
        <v>383.97735099699997</v>
      </c>
      <c r="E241">
        <v>0.1066603752769444</v>
      </c>
      <c r="F241" s="83">
        <v>6.1852460424432362E-2</v>
      </c>
    </row>
    <row r="242" spans="1:6" ht="15.75">
      <c r="A242" s="106"/>
      <c r="B242" s="5" t="s">
        <v>253</v>
      </c>
      <c r="C242" s="7" t="s">
        <v>577</v>
      </c>
      <c r="D242">
        <v>1632.9846137320001</v>
      </c>
      <c r="E242">
        <v>0.45360683714777772</v>
      </c>
      <c r="F242" s="83">
        <v>0.26304706757392737</v>
      </c>
    </row>
    <row r="243" spans="1:6" ht="15.75">
      <c r="A243" s="106"/>
      <c r="B243" s="5" t="s">
        <v>250</v>
      </c>
      <c r="C243" s="7" t="s">
        <v>578</v>
      </c>
      <c r="D243">
        <v>914.07068124</v>
      </c>
      <c r="E243">
        <v>0.25390852256666668</v>
      </c>
      <c r="F243" s="83">
        <v>0.14724181124155089</v>
      </c>
    </row>
    <row r="244" spans="1:6" ht="15.75">
      <c r="A244" s="106"/>
      <c r="B244" s="5" t="s">
        <v>249</v>
      </c>
      <c r="C244" s="7" t="s">
        <v>579</v>
      </c>
      <c r="D244">
        <v>700.16461007400005</v>
      </c>
      <c r="E244">
        <v>0.194490169465</v>
      </c>
      <c r="F244" s="83">
        <v>0.11278504766685719</v>
      </c>
    </row>
    <row r="245" spans="1:6" ht="15.75">
      <c r="A245" s="106" t="s">
        <v>26</v>
      </c>
      <c r="B245" s="5" t="s">
        <v>294</v>
      </c>
      <c r="C245" s="7" t="s">
        <v>580</v>
      </c>
      <c r="D245">
        <v>0</v>
      </c>
      <c r="E245">
        <v>0</v>
      </c>
      <c r="F245" s="83">
        <v>0</v>
      </c>
    </row>
    <row r="246" spans="1:6" ht="15.75">
      <c r="A246" s="106"/>
      <c r="B246" s="5" t="s">
        <v>268</v>
      </c>
      <c r="C246" s="7" t="s">
        <v>581</v>
      </c>
      <c r="D246">
        <v>0.97676781999999995</v>
      </c>
      <c r="E246">
        <v>2.7132439444444443E-4</v>
      </c>
      <c r="F246" s="83">
        <v>1.943847130204065E-3</v>
      </c>
    </row>
    <row r="247" spans="1:6" ht="15.75">
      <c r="A247" s="106"/>
      <c r="B247" s="5" t="s">
        <v>280</v>
      </c>
      <c r="C247" s="7" t="s">
        <v>582</v>
      </c>
      <c r="D247">
        <v>51.177986967999999</v>
      </c>
      <c r="E247">
        <v>1.4216107491111111E-2</v>
      </c>
      <c r="F247" s="83">
        <v>0.10184834211406329</v>
      </c>
    </row>
    <row r="248" spans="1:6" ht="15.75">
      <c r="A248" s="106"/>
      <c r="B248" s="5" t="s">
        <v>270</v>
      </c>
      <c r="C248" s="7" t="s">
        <v>583</v>
      </c>
      <c r="D248">
        <v>56.362873202999992</v>
      </c>
      <c r="E248">
        <v>1.5656353667500001E-2</v>
      </c>
      <c r="F248" s="83">
        <v>0.1121666859640269</v>
      </c>
    </row>
    <row r="249" spans="1:6" ht="15.75">
      <c r="A249" s="106"/>
      <c r="B249" s="5" t="s">
        <v>285</v>
      </c>
      <c r="C249" s="7" t="s">
        <v>584</v>
      </c>
      <c r="D249">
        <v>34.869612901000004</v>
      </c>
      <c r="E249">
        <v>9.6860035836111094E-3</v>
      </c>
      <c r="F249" s="83">
        <v>6.9393355904103685E-2</v>
      </c>
    </row>
    <row r="250" spans="1:6" ht="15.75">
      <c r="A250" s="106"/>
      <c r="B250" s="5" t="s">
        <v>264</v>
      </c>
      <c r="C250" s="7" t="s">
        <v>585</v>
      </c>
      <c r="D250">
        <v>0</v>
      </c>
      <c r="E250">
        <v>0</v>
      </c>
      <c r="F250" s="83">
        <v>0</v>
      </c>
    </row>
    <row r="251" spans="1:6" ht="15.75">
      <c r="A251" s="106"/>
      <c r="B251" s="5" t="s">
        <v>269</v>
      </c>
      <c r="C251" s="7" t="s">
        <v>586</v>
      </c>
      <c r="D251">
        <v>0</v>
      </c>
      <c r="E251">
        <v>0</v>
      </c>
      <c r="F251" s="83">
        <v>0</v>
      </c>
    </row>
    <row r="252" spans="1:6" ht="30">
      <c r="A252" s="106"/>
      <c r="B252" s="5" t="s">
        <v>277</v>
      </c>
      <c r="C252" s="7" t="s">
        <v>587</v>
      </c>
      <c r="D252">
        <v>0</v>
      </c>
      <c r="E252">
        <v>0</v>
      </c>
      <c r="F252" s="83">
        <v>0</v>
      </c>
    </row>
    <row r="253" spans="1:6" ht="15.75">
      <c r="A253" s="106"/>
      <c r="B253" s="5" t="s">
        <v>295</v>
      </c>
      <c r="C253" s="7" t="s">
        <v>588</v>
      </c>
      <c r="D253">
        <v>0</v>
      </c>
      <c r="E253">
        <v>0</v>
      </c>
      <c r="F253" s="83">
        <v>0</v>
      </c>
    </row>
    <row r="254" spans="1:6" ht="15.75">
      <c r="A254" s="106"/>
      <c r="B254" s="5" t="s">
        <v>266</v>
      </c>
      <c r="C254" s="7" t="s">
        <v>589</v>
      </c>
      <c r="D254">
        <v>0</v>
      </c>
      <c r="E254">
        <v>0</v>
      </c>
      <c r="F254" s="83">
        <v>0</v>
      </c>
    </row>
    <row r="255" spans="1:6" ht="15.75">
      <c r="A255" s="106"/>
      <c r="B255" s="5" t="s">
        <v>263</v>
      </c>
      <c r="C255" s="7" t="s">
        <v>590</v>
      </c>
      <c r="D255">
        <v>1.3988479739999999</v>
      </c>
      <c r="E255">
        <v>3.885688816666667E-4</v>
      </c>
      <c r="F255" s="83">
        <v>2.783820846853525E-3</v>
      </c>
    </row>
    <row r="256" spans="1:6" ht="15.75">
      <c r="A256" s="106"/>
      <c r="B256" s="5" t="s">
        <v>279</v>
      </c>
      <c r="C256" s="7" t="s">
        <v>591</v>
      </c>
      <c r="D256">
        <v>4.4240436189999999</v>
      </c>
      <c r="E256">
        <v>1.2289010052777779E-3</v>
      </c>
      <c r="F256" s="83">
        <v>8.8042053767606269E-3</v>
      </c>
    </row>
    <row r="257" spans="1:6" ht="30">
      <c r="A257" s="106"/>
      <c r="B257" s="5" t="s">
        <v>272</v>
      </c>
      <c r="C257" s="7" t="s">
        <v>592</v>
      </c>
      <c r="D257">
        <v>9.9270750000000003</v>
      </c>
      <c r="E257">
        <v>2.757520833333334E-3</v>
      </c>
      <c r="F257" s="83">
        <v>1.9755683853375231E-2</v>
      </c>
    </row>
    <row r="258" spans="1:6" ht="15.75">
      <c r="A258" s="106"/>
      <c r="B258" s="5" t="s">
        <v>271</v>
      </c>
      <c r="C258" s="7" t="s">
        <v>593</v>
      </c>
      <c r="D258">
        <v>0</v>
      </c>
      <c r="E258">
        <v>0</v>
      </c>
      <c r="F258" s="83">
        <v>0</v>
      </c>
    </row>
    <row r="259" spans="1:6" ht="30">
      <c r="A259" s="106"/>
      <c r="B259" s="5" t="s">
        <v>275</v>
      </c>
      <c r="C259" s="7" t="s">
        <v>594</v>
      </c>
      <c r="D259">
        <v>0</v>
      </c>
      <c r="E259">
        <v>0</v>
      </c>
      <c r="F259" s="83">
        <v>0</v>
      </c>
    </row>
    <row r="260" spans="1:6" ht="15.75">
      <c r="A260" s="106"/>
      <c r="B260" s="5" t="s">
        <v>267</v>
      </c>
      <c r="C260" s="7" t="s">
        <v>595</v>
      </c>
      <c r="D260">
        <v>0</v>
      </c>
      <c r="E260">
        <v>0</v>
      </c>
      <c r="F260" s="83">
        <v>0</v>
      </c>
    </row>
    <row r="261" spans="1:6" ht="15.75">
      <c r="A261" s="106"/>
      <c r="B261" s="5" t="s">
        <v>274</v>
      </c>
      <c r="C261" s="7" t="s">
        <v>596</v>
      </c>
      <c r="D261">
        <v>20.666440473000002</v>
      </c>
      <c r="E261">
        <v>5.7406779091666669E-3</v>
      </c>
      <c r="F261" s="83">
        <v>4.1127891585304471E-2</v>
      </c>
    </row>
    <row r="262" spans="1:6" ht="15.75">
      <c r="A262" s="106"/>
      <c r="B262" s="5" t="s">
        <v>282</v>
      </c>
      <c r="C262" s="7" t="s">
        <v>597</v>
      </c>
      <c r="D262">
        <v>66.471704900999995</v>
      </c>
      <c r="E262">
        <v>1.8464362472499999E-2</v>
      </c>
      <c r="F262" s="83">
        <v>0.13228408037805781</v>
      </c>
    </row>
    <row r="263" spans="1:6" ht="15.75">
      <c r="A263" s="106"/>
      <c r="B263" s="5" t="s">
        <v>287</v>
      </c>
      <c r="C263" s="7" t="s">
        <v>598</v>
      </c>
      <c r="D263">
        <v>0</v>
      </c>
      <c r="E263">
        <v>0</v>
      </c>
      <c r="F263" s="83">
        <v>0</v>
      </c>
    </row>
    <row r="264" spans="1:6" ht="15.75">
      <c r="A264" s="106"/>
      <c r="B264" s="5" t="s">
        <v>265</v>
      </c>
      <c r="C264" s="7" t="s">
        <v>599</v>
      </c>
      <c r="D264">
        <v>0</v>
      </c>
      <c r="E264">
        <v>0</v>
      </c>
      <c r="F264" s="83">
        <v>0</v>
      </c>
    </row>
    <row r="265" spans="1:6" ht="15.75">
      <c r="A265" s="106"/>
      <c r="B265" s="5" t="s">
        <v>293</v>
      </c>
      <c r="C265" s="7" t="s">
        <v>600</v>
      </c>
      <c r="D265">
        <v>0</v>
      </c>
      <c r="E265">
        <v>0</v>
      </c>
      <c r="F265" s="83">
        <v>0</v>
      </c>
    </row>
    <row r="266" spans="1:6" ht="15.75">
      <c r="A266" s="106"/>
      <c r="B266" s="5" t="s">
        <v>292</v>
      </c>
      <c r="C266" s="7" t="s">
        <v>601</v>
      </c>
      <c r="D266">
        <v>0</v>
      </c>
      <c r="E266">
        <v>0</v>
      </c>
      <c r="F266" s="83">
        <v>0</v>
      </c>
    </row>
    <row r="267" spans="1:6" ht="15.75">
      <c r="A267" s="106"/>
      <c r="B267" s="5" t="s">
        <v>291</v>
      </c>
      <c r="C267" s="7" t="s">
        <v>602</v>
      </c>
      <c r="D267">
        <v>0</v>
      </c>
      <c r="E267">
        <v>0</v>
      </c>
      <c r="F267" s="83">
        <v>0</v>
      </c>
    </row>
    <row r="268" spans="1:6" ht="15.75">
      <c r="A268" s="106"/>
      <c r="B268" s="5" t="s">
        <v>290</v>
      </c>
      <c r="C268" s="7" t="s">
        <v>603</v>
      </c>
      <c r="D268">
        <v>0</v>
      </c>
      <c r="E268">
        <v>0</v>
      </c>
      <c r="F268" s="83">
        <v>0</v>
      </c>
    </row>
    <row r="269" spans="1:6" ht="30">
      <c r="A269" s="106"/>
      <c r="B269" s="5" t="s">
        <v>289</v>
      </c>
      <c r="C269" s="7" t="s">
        <v>604</v>
      </c>
      <c r="D269">
        <v>0</v>
      </c>
      <c r="E269">
        <v>0</v>
      </c>
      <c r="F269" s="83">
        <v>0</v>
      </c>
    </row>
    <row r="270" spans="1:6" ht="30">
      <c r="A270" s="106"/>
      <c r="B270" s="5" t="s">
        <v>286</v>
      </c>
      <c r="C270" s="7" t="s">
        <v>605</v>
      </c>
      <c r="D270">
        <v>0</v>
      </c>
      <c r="E270">
        <v>0</v>
      </c>
      <c r="F270" s="83">
        <v>0</v>
      </c>
    </row>
    <row r="271" spans="1:6" ht="15.75">
      <c r="A271" s="106"/>
      <c r="B271" s="5" t="s">
        <v>283</v>
      </c>
      <c r="C271" s="7" t="s">
        <v>606</v>
      </c>
      <c r="D271">
        <v>0</v>
      </c>
      <c r="E271">
        <v>0</v>
      </c>
      <c r="F271" s="83">
        <v>0</v>
      </c>
    </row>
    <row r="272" spans="1:6" ht="15.75">
      <c r="A272" s="106"/>
      <c r="B272" s="5" t="s">
        <v>276</v>
      </c>
      <c r="C272" s="7" t="s">
        <v>607</v>
      </c>
      <c r="D272">
        <v>0.81400680000000003</v>
      </c>
      <c r="E272">
        <v>2.2611300000000001E-4</v>
      </c>
      <c r="F272" s="83">
        <v>1.6199395083947321E-3</v>
      </c>
    </row>
    <row r="273" spans="1:7" ht="15.75">
      <c r="A273" s="106"/>
      <c r="B273" s="5" t="s">
        <v>273</v>
      </c>
      <c r="C273" s="7" t="s">
        <v>608</v>
      </c>
      <c r="D273">
        <v>109.99233630400001</v>
      </c>
      <c r="E273">
        <v>3.0553426751111119E-2</v>
      </c>
      <c r="F273" s="83">
        <v>0.21889366427834489</v>
      </c>
    </row>
    <row r="274" spans="1:7" ht="19.5" customHeight="1">
      <c r="A274" s="106"/>
      <c r="B274" s="5" t="s">
        <v>288</v>
      </c>
      <c r="C274" s="7" t="s">
        <v>609</v>
      </c>
      <c r="D274">
        <v>4.2916379999999998</v>
      </c>
      <c r="E274">
        <v>1.1921216666666669E-3</v>
      </c>
      <c r="F274" s="83">
        <v>8.5407074632891915E-3</v>
      </c>
    </row>
    <row r="275" spans="1:7" ht="15.75">
      <c r="A275" s="106"/>
      <c r="B275" s="5" t="s">
        <v>284</v>
      </c>
      <c r="C275" s="7" t="s">
        <v>610</v>
      </c>
      <c r="D275">
        <v>9.5462290840000001</v>
      </c>
      <c r="E275">
        <v>2.651730301111111E-3</v>
      </c>
      <c r="F275" s="83">
        <v>1.8997769612438691E-2</v>
      </c>
    </row>
    <row r="276" spans="1:7" ht="15.75">
      <c r="A276" s="106"/>
      <c r="B276" s="5" t="s">
        <v>281</v>
      </c>
      <c r="C276" s="7" t="s">
        <v>611</v>
      </c>
      <c r="D276">
        <v>0</v>
      </c>
      <c r="E276">
        <v>0</v>
      </c>
      <c r="F276" s="83">
        <v>0</v>
      </c>
    </row>
    <row r="277" spans="1:7" ht="15.75">
      <c r="A277" s="106"/>
      <c r="B277" s="5" t="s">
        <v>278</v>
      </c>
      <c r="C277" s="7" t="s">
        <v>612</v>
      </c>
      <c r="D277">
        <v>8.3524172829999994</v>
      </c>
      <c r="E277">
        <v>2.3201159119444442E-3</v>
      </c>
      <c r="F277" s="83">
        <v>1.6621987368325038E-2</v>
      </c>
    </row>
    <row r="278" spans="1:7" ht="15.75">
      <c r="A278" s="106"/>
      <c r="B278" s="5" t="s">
        <v>255</v>
      </c>
      <c r="C278" s="7" t="s">
        <v>613</v>
      </c>
      <c r="D278">
        <v>15.221515</v>
      </c>
      <c r="E278">
        <v>4.2281986111111112E-3</v>
      </c>
      <c r="F278" s="83">
        <v>3.029204857517535E-2</v>
      </c>
    </row>
    <row r="279" spans="1:7" ht="15.75">
      <c r="A279" s="106"/>
      <c r="B279" s="5" t="s">
        <v>256</v>
      </c>
      <c r="C279" s="7" t="s">
        <v>614</v>
      </c>
      <c r="D279">
        <v>53.776273244000002</v>
      </c>
      <c r="E279">
        <v>1.493785367888889E-2</v>
      </c>
      <c r="F279" s="83">
        <v>0.10701914239805629</v>
      </c>
    </row>
    <row r="280" spans="1:7" ht="15.75">
      <c r="A280" s="106"/>
      <c r="B280" s="5" t="s">
        <v>261</v>
      </c>
      <c r="C280" s="7" t="s">
        <v>615</v>
      </c>
      <c r="D280">
        <v>8.2610399999999995</v>
      </c>
      <c r="E280">
        <v>2.2947333333333329E-3</v>
      </c>
      <c r="F280" s="83">
        <v>1.6440139168897871E-2</v>
      </c>
    </row>
    <row r="281" spans="1:7" ht="15.75">
      <c r="A281" s="106"/>
      <c r="B281" s="5" t="s">
        <v>259</v>
      </c>
      <c r="C281" s="7" t="s">
        <v>616</v>
      </c>
      <c r="D281">
        <v>0</v>
      </c>
      <c r="E281">
        <v>0</v>
      </c>
      <c r="F281" s="83">
        <v>0</v>
      </c>
    </row>
    <row r="282" spans="1:7" ht="15.75">
      <c r="A282" s="106"/>
      <c r="B282" s="5" t="s">
        <v>260</v>
      </c>
      <c r="C282" s="7" t="s">
        <v>617</v>
      </c>
      <c r="D282">
        <v>2.0635501440000001</v>
      </c>
      <c r="E282">
        <v>5.732083733333334E-4</v>
      </c>
      <c r="F282" s="83">
        <v>4.1066320401982387E-3</v>
      </c>
    </row>
    <row r="283" spans="1:7" ht="15.75">
      <c r="A283" s="106"/>
      <c r="B283" s="5" t="s">
        <v>258</v>
      </c>
      <c r="C283" s="7" t="s">
        <v>618</v>
      </c>
      <c r="D283">
        <v>0</v>
      </c>
      <c r="E283">
        <v>0</v>
      </c>
      <c r="F283" s="83">
        <v>0</v>
      </c>
    </row>
    <row r="284" spans="1:7" ht="15.75">
      <c r="A284" s="106"/>
      <c r="B284" s="5" t="s">
        <v>257</v>
      </c>
      <c r="C284" s="7" t="s">
        <v>619</v>
      </c>
      <c r="D284">
        <v>43.897737919999997</v>
      </c>
      <c r="E284">
        <v>1.2193816088888891E-2</v>
      </c>
      <c r="F284" s="83">
        <v>8.7360056434130029E-2</v>
      </c>
    </row>
    <row r="285" spans="1:7" ht="15.75">
      <c r="A285" s="106"/>
      <c r="B285" s="5" t="s">
        <v>262</v>
      </c>
      <c r="C285" s="7" t="s">
        <v>620</v>
      </c>
      <c r="D285">
        <v>0</v>
      </c>
      <c r="E285">
        <v>0</v>
      </c>
      <c r="F285" s="83">
        <v>0</v>
      </c>
    </row>
    <row r="286" spans="1:7">
      <c r="A286" s="106" t="s">
        <v>27</v>
      </c>
      <c r="B286" s="12" t="s">
        <v>298</v>
      </c>
      <c r="C286" s="11" t="s">
        <v>628</v>
      </c>
      <c r="F286" s="81">
        <f t="shared" ref="F286:F303" si="1">1/ROWS(B286:B292)</f>
        <v>0.14285714285714285</v>
      </c>
      <c r="G286" s="3" t="s">
        <v>925</v>
      </c>
    </row>
    <row r="287" spans="1:7">
      <c r="A287" s="106"/>
      <c r="B287" s="11" t="s">
        <v>297</v>
      </c>
      <c r="C287" s="11" t="s">
        <v>629</v>
      </c>
      <c r="F287" s="81">
        <f t="shared" si="1"/>
        <v>0.14285714285714285</v>
      </c>
      <c r="G287" s="3" t="s">
        <v>925</v>
      </c>
    </row>
    <row r="288" spans="1:7">
      <c r="A288" s="106"/>
      <c r="B288" s="11" t="s">
        <v>299</v>
      </c>
      <c r="C288" s="11" t="s">
        <v>630</v>
      </c>
      <c r="F288" s="81">
        <f t="shared" si="1"/>
        <v>0.14285714285714285</v>
      </c>
      <c r="G288" s="3" t="s">
        <v>925</v>
      </c>
    </row>
    <row r="289" spans="1:7">
      <c r="A289" s="106"/>
      <c r="B289" s="5" t="s">
        <v>624</v>
      </c>
      <c r="C289" s="11" t="s">
        <v>631</v>
      </c>
      <c r="F289" s="81">
        <f t="shared" si="1"/>
        <v>0.14285714285714285</v>
      </c>
      <c r="G289" s="3" t="s">
        <v>925</v>
      </c>
    </row>
    <row r="290" spans="1:7">
      <c r="A290" s="106"/>
      <c r="B290" s="12" t="s">
        <v>625</v>
      </c>
      <c r="C290" s="11" t="s">
        <v>632</v>
      </c>
      <c r="F290" s="81">
        <f t="shared" si="1"/>
        <v>0.14285714285714285</v>
      </c>
      <c r="G290" s="3" t="s">
        <v>925</v>
      </c>
    </row>
    <row r="291" spans="1:7">
      <c r="A291" s="106"/>
      <c r="B291" s="12" t="s">
        <v>626</v>
      </c>
      <c r="C291" s="11" t="s">
        <v>633</v>
      </c>
      <c r="F291" s="81">
        <f t="shared" si="1"/>
        <v>0.14285714285714285</v>
      </c>
      <c r="G291" s="3" t="s">
        <v>925</v>
      </c>
    </row>
    <row r="292" spans="1:7">
      <c r="A292" s="106"/>
      <c r="B292" s="12" t="s">
        <v>627</v>
      </c>
      <c r="C292" s="11" t="s">
        <v>634</v>
      </c>
      <c r="F292" s="81">
        <f t="shared" si="1"/>
        <v>0.14285714285714285</v>
      </c>
      <c r="G292" s="3" t="s">
        <v>925</v>
      </c>
    </row>
    <row r="293" spans="1:7">
      <c r="A293" s="106"/>
      <c r="B293" s="12" t="s">
        <v>302</v>
      </c>
      <c r="C293" s="11"/>
      <c r="F293" s="8">
        <f>F289*1.3/2.3</f>
        <v>8.0745341614906846E-2</v>
      </c>
    </row>
    <row r="294" spans="1:7">
      <c r="A294" s="106"/>
      <c r="B294" s="12" t="s">
        <v>301</v>
      </c>
      <c r="C294" s="11"/>
      <c r="F294" s="8">
        <f>F289*1/2.3</f>
        <v>6.2111801242236024E-2</v>
      </c>
    </row>
    <row r="295" spans="1:7">
      <c r="A295" s="106"/>
      <c r="B295" s="12" t="s">
        <v>300</v>
      </c>
      <c r="C295" s="11"/>
      <c r="F295" s="8">
        <f>F290</f>
        <v>0.14285714285714285</v>
      </c>
    </row>
    <row r="296" spans="1:7">
      <c r="A296" s="106"/>
      <c r="B296" s="12" t="s">
        <v>296</v>
      </c>
      <c r="C296" s="11"/>
      <c r="F296" s="8">
        <f>F291</f>
        <v>0.14285714285714285</v>
      </c>
    </row>
    <row r="297" spans="1:7">
      <c r="A297" s="106" t="s">
        <v>635</v>
      </c>
      <c r="B297" s="12" t="s">
        <v>305</v>
      </c>
      <c r="C297" s="12" t="s">
        <v>636</v>
      </c>
      <c r="F297" s="81">
        <f t="shared" si="1"/>
        <v>0.14285714285714285</v>
      </c>
      <c r="G297" s="3" t="s">
        <v>925</v>
      </c>
    </row>
    <row r="298" spans="1:7">
      <c r="A298" s="106"/>
      <c r="B298" s="12" t="s">
        <v>307</v>
      </c>
      <c r="C298" s="12" t="s">
        <v>637</v>
      </c>
      <c r="F298" s="81">
        <f t="shared" si="1"/>
        <v>0.14285714285714285</v>
      </c>
      <c r="G298" s="3" t="s">
        <v>925</v>
      </c>
    </row>
    <row r="299" spans="1:7">
      <c r="A299" s="106"/>
      <c r="B299" s="12" t="s">
        <v>309</v>
      </c>
      <c r="C299" s="12" t="s">
        <v>638</v>
      </c>
      <c r="F299" s="81">
        <f t="shared" si="1"/>
        <v>0.14285714285714285</v>
      </c>
      <c r="G299" s="3" t="s">
        <v>925</v>
      </c>
    </row>
    <row r="300" spans="1:7">
      <c r="A300" s="106"/>
      <c r="B300" s="12" t="s">
        <v>303</v>
      </c>
      <c r="C300" s="12" t="s">
        <v>639</v>
      </c>
      <c r="F300" s="81">
        <f t="shared" si="1"/>
        <v>0.14285714285714285</v>
      </c>
      <c r="G300" s="3" t="s">
        <v>925</v>
      </c>
    </row>
    <row r="301" spans="1:7">
      <c r="A301" s="106"/>
      <c r="B301" s="12" t="s">
        <v>308</v>
      </c>
      <c r="C301" s="12" t="s">
        <v>640</v>
      </c>
      <c r="F301" s="81">
        <f t="shared" si="1"/>
        <v>0.14285714285714285</v>
      </c>
      <c r="G301" s="3" t="s">
        <v>925</v>
      </c>
    </row>
    <row r="302" spans="1:7">
      <c r="A302" s="106"/>
      <c r="B302" s="12" t="s">
        <v>304</v>
      </c>
      <c r="C302" s="12" t="s">
        <v>641</v>
      </c>
      <c r="F302" s="81">
        <f t="shared" si="1"/>
        <v>0.14285714285714285</v>
      </c>
      <c r="G302" s="3" t="s">
        <v>925</v>
      </c>
    </row>
    <row r="303" spans="1:7">
      <c r="A303" s="106"/>
      <c r="B303" s="12" t="s">
        <v>306</v>
      </c>
      <c r="C303" s="12" t="s">
        <v>642</v>
      </c>
      <c r="F303" s="81">
        <f t="shared" si="1"/>
        <v>0.14285714285714285</v>
      </c>
      <c r="G303" s="3" t="s">
        <v>925</v>
      </c>
    </row>
    <row r="304" spans="1:7">
      <c r="A304" s="26" t="s">
        <v>28</v>
      </c>
      <c r="B304" s="28" t="s">
        <v>310</v>
      </c>
      <c r="C304" s="28" t="s">
        <v>643</v>
      </c>
      <c r="F304" s="81">
        <v>1</v>
      </c>
      <c r="G304" s="3" t="s">
        <v>925</v>
      </c>
    </row>
    <row r="305" spans="1:7">
      <c r="A305" s="24" t="s">
        <v>29</v>
      </c>
      <c r="B305" s="11" t="s">
        <v>311</v>
      </c>
      <c r="C305" s="7" t="s">
        <v>644</v>
      </c>
      <c r="F305" s="81">
        <v>1</v>
      </c>
      <c r="G305" s="3" t="s">
        <v>925</v>
      </c>
    </row>
    <row r="306" spans="1:7">
      <c r="A306" s="106" t="s">
        <v>30</v>
      </c>
      <c r="B306" s="11" t="s">
        <v>33</v>
      </c>
      <c r="C306" s="11" t="s">
        <v>645</v>
      </c>
      <c r="F306" s="81">
        <f>1/ROWS(B306:B308)</f>
        <v>0.33333333333333331</v>
      </c>
      <c r="G306" s="3" t="s">
        <v>925</v>
      </c>
    </row>
    <row r="307" spans="1:7">
      <c r="A307" s="106"/>
      <c r="B307" s="11" t="s">
        <v>34</v>
      </c>
      <c r="C307" s="11" t="s">
        <v>646</v>
      </c>
      <c r="F307" s="81">
        <f>1/ROWS(B307:B309)</f>
        <v>0.33333333333333331</v>
      </c>
      <c r="G307" s="3" t="s">
        <v>925</v>
      </c>
    </row>
    <row r="308" spans="1:7">
      <c r="A308" s="106"/>
      <c r="B308" s="11" t="s">
        <v>35</v>
      </c>
      <c r="C308" s="11" t="s">
        <v>647</v>
      </c>
      <c r="F308" s="81">
        <f>1/ROWS(B308:B310)</f>
        <v>0.33333333333333331</v>
      </c>
      <c r="G308" s="3" t="s">
        <v>925</v>
      </c>
    </row>
    <row r="309" spans="1:7">
      <c r="A309" s="106" t="s">
        <v>31</v>
      </c>
      <c r="B309" s="11" t="s">
        <v>315</v>
      </c>
      <c r="C309" s="11" t="s">
        <v>648</v>
      </c>
      <c r="F309" s="81">
        <f>1/ROWS(B309:B312)</f>
        <v>0.25</v>
      </c>
      <c r="G309" s="3" t="s">
        <v>925</v>
      </c>
    </row>
    <row r="310" spans="1:7">
      <c r="A310" s="106"/>
      <c r="B310" s="11" t="s">
        <v>314</v>
      </c>
      <c r="C310" s="11" t="s">
        <v>649</v>
      </c>
      <c r="F310" s="81">
        <f>1/ROWS(B310:B313)</f>
        <v>0.25</v>
      </c>
      <c r="G310" s="3" t="s">
        <v>925</v>
      </c>
    </row>
    <row r="311" spans="1:7">
      <c r="A311" s="106"/>
      <c r="B311" s="11" t="s">
        <v>313</v>
      </c>
      <c r="C311" s="7" t="s">
        <v>650</v>
      </c>
      <c r="F311" s="81">
        <f>1/ROWS(B311:B314)</f>
        <v>0.25</v>
      </c>
      <c r="G311" s="3" t="s">
        <v>925</v>
      </c>
    </row>
    <row r="312" spans="1:7">
      <c r="A312" s="106"/>
      <c r="B312" s="11" t="s">
        <v>312</v>
      </c>
      <c r="C312" s="7" t="s">
        <v>651</v>
      </c>
      <c r="F312" s="81">
        <f>1/ROWS(B312:B315)</f>
        <v>0.25</v>
      </c>
      <c r="G312" s="3" t="s">
        <v>925</v>
      </c>
    </row>
    <row r="313" spans="1:7">
      <c r="A313" s="26" t="s">
        <v>32</v>
      </c>
      <c r="B313" s="11" t="s">
        <v>1015</v>
      </c>
      <c r="F313" s="81">
        <v>1</v>
      </c>
      <c r="G313" s="3" t="s">
        <v>925</v>
      </c>
    </row>
    <row r="314" spans="1:7">
      <c r="A314" s="26" t="s">
        <v>1026</v>
      </c>
      <c r="B314" s="11" t="s">
        <v>654</v>
      </c>
      <c r="C314" s="3" t="s">
        <v>1026</v>
      </c>
      <c r="F314" s="81">
        <v>1</v>
      </c>
      <c r="G314" s="3" t="s">
        <v>925</v>
      </c>
    </row>
    <row r="315" spans="1:7">
      <c r="A315" s="88" t="s">
        <v>933</v>
      </c>
      <c r="B315" s="11" t="s">
        <v>653</v>
      </c>
      <c r="C315" s="3" t="s">
        <v>652</v>
      </c>
      <c r="F315" s="81">
        <v>1</v>
      </c>
      <c r="G315" s="3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5"/>
  <sheetViews>
    <sheetView topLeftCell="A9" workbookViewId="0">
      <selection activeCell="H16" sqref="H16"/>
    </sheetView>
    <sheetView workbookViewId="1"/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4.125" style="3" hidden="1" customWidth="1"/>
    <col min="4" max="4" width="29.875" style="3" hidden="1" customWidth="1"/>
    <col min="5" max="5" width="21" style="3" bestFit="1" customWidth="1"/>
    <col min="6" max="6" width="21" style="3" customWidth="1"/>
    <col min="7" max="7" width="22.5" style="8" customWidth="1"/>
    <col min="8" max="8" width="24" style="8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655</v>
      </c>
      <c r="E1" s="22" t="s">
        <v>880</v>
      </c>
      <c r="F1" s="22" t="s">
        <v>882</v>
      </c>
      <c r="G1" s="23" t="s">
        <v>883</v>
      </c>
      <c r="H1" s="61" t="s">
        <v>884</v>
      </c>
      <c r="I1" s="1" t="s">
        <v>928</v>
      </c>
      <c r="J1" s="1"/>
    </row>
    <row r="2" spans="1:11" ht="29.25">
      <c r="A2" s="106" t="s">
        <v>3</v>
      </c>
      <c r="B2" s="29" t="s">
        <v>36</v>
      </c>
      <c r="C2" s="15"/>
      <c r="D2" s="16" t="s">
        <v>621</v>
      </c>
      <c r="G2" s="8">
        <f>E2/SUM(E$2:E$12)</f>
        <v>0</v>
      </c>
      <c r="H2" s="8">
        <f>F2/SUM(F$2:F$12)</f>
        <v>0</v>
      </c>
      <c r="I2" s="8">
        <f>H2</f>
        <v>0</v>
      </c>
      <c r="K2" s="14"/>
    </row>
    <row r="3" spans="1:11">
      <c r="A3" s="106"/>
      <c r="B3" s="29" t="s">
        <v>46</v>
      </c>
      <c r="C3" s="15"/>
      <c r="D3" s="16" t="s">
        <v>316</v>
      </c>
      <c r="G3" s="8">
        <f t="shared" ref="G3:H12" si="0">E3/SUM(E$2:E$12)</f>
        <v>0</v>
      </c>
      <c r="H3" s="8">
        <f t="shared" si="0"/>
        <v>0</v>
      </c>
      <c r="I3" s="8">
        <f t="shared" ref="I3:I66" si="1">H3</f>
        <v>0</v>
      </c>
      <c r="K3" s="14"/>
    </row>
    <row r="4" spans="1:11">
      <c r="A4" s="106"/>
      <c r="B4" s="29" t="s">
        <v>40</v>
      </c>
      <c r="C4" s="15"/>
      <c r="D4" s="16" t="s">
        <v>317</v>
      </c>
      <c r="G4" s="8">
        <f t="shared" si="0"/>
        <v>0</v>
      </c>
      <c r="H4" s="8">
        <f t="shared" si="0"/>
        <v>0</v>
      </c>
      <c r="I4" s="8">
        <f t="shared" si="1"/>
        <v>0</v>
      </c>
      <c r="K4" s="14"/>
    </row>
    <row r="5" spans="1:11">
      <c r="A5" s="106"/>
      <c r="B5" s="29" t="s">
        <v>44</v>
      </c>
      <c r="C5" s="15"/>
      <c r="D5" s="16" t="s">
        <v>318</v>
      </c>
      <c r="G5" s="8">
        <f t="shared" si="0"/>
        <v>0</v>
      </c>
      <c r="H5" s="8">
        <f t="shared" si="0"/>
        <v>0</v>
      </c>
      <c r="I5" s="8">
        <f t="shared" si="1"/>
        <v>0</v>
      </c>
      <c r="K5" s="14"/>
    </row>
    <row r="6" spans="1:11">
      <c r="A6" s="106"/>
      <c r="B6" s="29" t="s">
        <v>45</v>
      </c>
      <c r="C6" s="15"/>
      <c r="D6" s="16" t="s">
        <v>319</v>
      </c>
      <c r="G6" s="8">
        <f t="shared" si="0"/>
        <v>0</v>
      </c>
      <c r="H6" s="8">
        <f t="shared" si="0"/>
        <v>0</v>
      </c>
      <c r="I6" s="8">
        <f t="shared" si="1"/>
        <v>0</v>
      </c>
      <c r="K6" s="14"/>
    </row>
    <row r="7" spans="1:11">
      <c r="A7" s="106"/>
      <c r="B7" s="29" t="s">
        <v>37</v>
      </c>
      <c r="C7" s="15"/>
      <c r="D7" s="16" t="s">
        <v>320</v>
      </c>
      <c r="G7" s="8">
        <f t="shared" si="0"/>
        <v>0</v>
      </c>
      <c r="H7" s="8">
        <f t="shared" si="0"/>
        <v>0</v>
      </c>
      <c r="I7" s="8">
        <f t="shared" si="1"/>
        <v>0</v>
      </c>
      <c r="K7" s="14"/>
    </row>
    <row r="8" spans="1:11">
      <c r="A8" s="106"/>
      <c r="B8" s="29" t="s">
        <v>43</v>
      </c>
      <c r="C8" s="15"/>
      <c r="D8" s="16" t="s">
        <v>321</v>
      </c>
      <c r="G8" s="8">
        <f t="shared" si="0"/>
        <v>0</v>
      </c>
      <c r="H8" s="8">
        <f t="shared" si="0"/>
        <v>0</v>
      </c>
      <c r="I8" s="8">
        <f t="shared" si="1"/>
        <v>0</v>
      </c>
      <c r="K8" s="14"/>
    </row>
    <row r="9" spans="1:11" ht="15.75">
      <c r="A9" s="106"/>
      <c r="B9" s="29" t="s">
        <v>42</v>
      </c>
      <c r="C9" s="15"/>
      <c r="D9" s="16" t="s">
        <v>322</v>
      </c>
      <c r="E9" s="60">
        <f>764.222460718619+1584.273359</f>
        <v>2348.4958197186188</v>
      </c>
      <c r="F9" s="60">
        <f>2936.732187+11425.82465</f>
        <v>14362.556837</v>
      </c>
      <c r="G9" s="8">
        <f t="shared" si="0"/>
        <v>0.65003506590265381</v>
      </c>
      <c r="H9" s="8">
        <f t="shared" si="0"/>
        <v>0.74722169587631349</v>
      </c>
      <c r="I9" s="8">
        <f>H9</f>
        <v>0.74722169587631349</v>
      </c>
      <c r="K9" s="14"/>
    </row>
    <row r="10" spans="1:11" ht="15.75">
      <c r="A10" s="106"/>
      <c r="B10" s="29" t="s">
        <v>41</v>
      </c>
      <c r="C10" s="15"/>
      <c r="D10" s="16" t="s">
        <v>323</v>
      </c>
      <c r="E10" s="60">
        <v>1264.37976639679</v>
      </c>
      <c r="F10" s="60">
        <v>4858.722358</v>
      </c>
      <c r="G10" s="8">
        <f t="shared" si="0"/>
        <v>0.34996493409734619</v>
      </c>
      <c r="H10" s="8">
        <f t="shared" si="0"/>
        <v>0.25277830412368663</v>
      </c>
      <c r="I10" s="8">
        <f t="shared" si="1"/>
        <v>0.25277830412368663</v>
      </c>
      <c r="K10" s="14"/>
    </row>
    <row r="11" spans="1:11">
      <c r="A11" s="106"/>
      <c r="B11" s="29" t="s">
        <v>39</v>
      </c>
      <c r="C11" s="15"/>
      <c r="D11" s="16" t="s">
        <v>324</v>
      </c>
      <c r="G11" s="8">
        <f t="shared" si="0"/>
        <v>0</v>
      </c>
      <c r="H11" s="8">
        <f t="shared" si="0"/>
        <v>0</v>
      </c>
      <c r="I11" s="8">
        <f t="shared" si="1"/>
        <v>0</v>
      </c>
      <c r="K11" s="14"/>
    </row>
    <row r="12" spans="1:11">
      <c r="A12" s="106"/>
      <c r="B12" s="29" t="s">
        <v>38</v>
      </c>
      <c r="C12" s="15"/>
      <c r="D12" s="16" t="s">
        <v>325</v>
      </c>
      <c r="G12" s="8">
        <f t="shared" si="0"/>
        <v>0</v>
      </c>
      <c r="H12" s="8">
        <f t="shared" si="0"/>
        <v>0</v>
      </c>
      <c r="I12" s="8">
        <f t="shared" si="1"/>
        <v>0</v>
      </c>
      <c r="K12" s="14"/>
    </row>
    <row r="13" spans="1:11" ht="15.75">
      <c r="A13" s="106" t="s">
        <v>4</v>
      </c>
      <c r="B13" s="29" t="s">
        <v>47</v>
      </c>
      <c r="C13" s="15"/>
      <c r="D13" s="16" t="s">
        <v>326</v>
      </c>
      <c r="E13" s="60">
        <f>505.751906649795+546.0330319</f>
        <v>1051.784938549795</v>
      </c>
      <c r="F13" s="60">
        <f>1943.488944+2098.280098</f>
        <v>4041.7690419999999</v>
      </c>
      <c r="G13" s="8">
        <f>E13/SUM(E$13:E$18)</f>
        <v>0.64686567956387098</v>
      </c>
      <c r="H13" s="8">
        <f>F13/SUM(F$13:F$18)</f>
        <v>0.47840096335640819</v>
      </c>
      <c r="I13" s="8">
        <f t="shared" si="1"/>
        <v>0.47840096335640819</v>
      </c>
      <c r="K13" s="14"/>
    </row>
    <row r="14" spans="1:11">
      <c r="A14" s="106"/>
      <c r="B14" s="29" t="s">
        <v>49</v>
      </c>
      <c r="C14" s="15"/>
      <c r="D14" s="16" t="s">
        <v>327</v>
      </c>
      <c r="G14" s="8">
        <f t="shared" ref="G14:H18" si="2">E14/SUM(E$13:E$18)</f>
        <v>0</v>
      </c>
      <c r="H14" s="8">
        <f t="shared" si="2"/>
        <v>0</v>
      </c>
      <c r="I14" s="8">
        <f t="shared" si="1"/>
        <v>0</v>
      </c>
      <c r="K14" s="14"/>
    </row>
    <row r="15" spans="1:11" ht="15.75">
      <c r="A15" s="106"/>
      <c r="B15" s="29" t="s">
        <v>50</v>
      </c>
      <c r="C15" s="15"/>
      <c r="D15" s="16" t="s">
        <v>328</v>
      </c>
      <c r="E15" s="60">
        <v>574.18622019049894</v>
      </c>
      <c r="F15" s="60">
        <v>4406.7278290000004</v>
      </c>
      <c r="G15" s="8">
        <f t="shared" si="2"/>
        <v>0.35313432043612902</v>
      </c>
      <c r="H15" s="8">
        <f t="shared" si="2"/>
        <v>0.52159903664359197</v>
      </c>
      <c r="I15" s="8">
        <f t="shared" si="1"/>
        <v>0.52159903664359197</v>
      </c>
      <c r="K15" s="14"/>
    </row>
    <row r="16" spans="1:11">
      <c r="A16" s="106"/>
      <c r="B16" s="29" t="s">
        <v>51</v>
      </c>
      <c r="C16" s="15"/>
      <c r="D16" s="16" t="s">
        <v>329</v>
      </c>
      <c r="G16" s="8">
        <f t="shared" si="2"/>
        <v>0</v>
      </c>
      <c r="H16" s="8">
        <f t="shared" si="2"/>
        <v>0</v>
      </c>
      <c r="I16" s="8">
        <f t="shared" si="1"/>
        <v>0</v>
      </c>
      <c r="K16" s="14"/>
    </row>
    <row r="17" spans="1:11">
      <c r="A17" s="106"/>
      <c r="B17" s="29" t="s">
        <v>52</v>
      </c>
      <c r="C17" s="15"/>
      <c r="D17" s="16" t="s">
        <v>330</v>
      </c>
      <c r="G17" s="8">
        <f t="shared" si="2"/>
        <v>0</v>
      </c>
      <c r="H17" s="8">
        <f t="shared" si="2"/>
        <v>0</v>
      </c>
      <c r="I17" s="8">
        <f t="shared" si="1"/>
        <v>0</v>
      </c>
      <c r="K17" s="14"/>
    </row>
    <row r="18" spans="1:11">
      <c r="A18" s="106"/>
      <c r="B18" s="29" t="s">
        <v>48</v>
      </c>
      <c r="C18" s="15"/>
      <c r="D18" s="16" t="s">
        <v>331</v>
      </c>
      <c r="G18" s="8">
        <f t="shared" si="2"/>
        <v>0</v>
      </c>
      <c r="H18" s="8">
        <f t="shared" si="2"/>
        <v>0</v>
      </c>
      <c r="I18" s="8">
        <f t="shared" si="1"/>
        <v>0</v>
      </c>
      <c r="K18" s="14"/>
    </row>
    <row r="19" spans="1:11" ht="15.75">
      <c r="A19" s="106" t="s">
        <v>5</v>
      </c>
      <c r="B19" s="29" t="s">
        <v>54</v>
      </c>
      <c r="C19" s="15"/>
      <c r="D19" s="16" t="s">
        <v>332</v>
      </c>
      <c r="E19" s="60">
        <v>544.91411181173805</v>
      </c>
      <c r="F19" s="60">
        <v>2093.9803440000001</v>
      </c>
      <c r="G19" s="8">
        <f>E19/SUM(E$19:E$26)</f>
        <v>0.19143081761686717</v>
      </c>
      <c r="H19" s="8">
        <f>F19/SUM(F$19:F$26)</f>
        <v>0.19143081760442107</v>
      </c>
      <c r="I19" s="8">
        <f t="shared" si="1"/>
        <v>0.19143081760442107</v>
      </c>
      <c r="K19" s="14"/>
    </row>
    <row r="20" spans="1:11">
      <c r="A20" s="106"/>
      <c r="B20" s="29" t="s">
        <v>53</v>
      </c>
      <c r="C20" s="15"/>
      <c r="D20" s="16" t="s">
        <v>333</v>
      </c>
      <c r="G20" s="8">
        <f t="shared" ref="G20:H26" si="3">E20/SUM(E$19:E$26)</f>
        <v>0</v>
      </c>
      <c r="H20" s="8">
        <f t="shared" si="3"/>
        <v>0</v>
      </c>
      <c r="I20" s="8">
        <f t="shared" si="1"/>
        <v>0</v>
      </c>
      <c r="K20" s="14"/>
    </row>
    <row r="21" spans="1:11">
      <c r="A21" s="106"/>
      <c r="B21" s="29" t="s">
        <v>60</v>
      </c>
      <c r="C21" s="15"/>
      <c r="D21" s="16" t="s">
        <v>334</v>
      </c>
      <c r="G21" s="8">
        <f t="shared" si="3"/>
        <v>0</v>
      </c>
      <c r="H21" s="8">
        <f t="shared" si="3"/>
        <v>0</v>
      </c>
      <c r="I21" s="8">
        <f t="shared" si="1"/>
        <v>0</v>
      </c>
      <c r="K21" s="14"/>
    </row>
    <row r="22" spans="1:11" ht="15.75">
      <c r="A22" s="106"/>
      <c r="B22" s="29" t="s">
        <v>58</v>
      </c>
      <c r="C22" s="18"/>
      <c r="D22" s="16" t="s">
        <v>335</v>
      </c>
      <c r="E22" s="60">
        <v>452.04373954453598</v>
      </c>
      <c r="F22" s="60">
        <v>1737.100737</v>
      </c>
      <c r="G22" s="8">
        <f t="shared" si="3"/>
        <v>0.15880503144226446</v>
      </c>
      <c r="H22" s="8">
        <f t="shared" si="3"/>
        <v>0.15880503143116056</v>
      </c>
      <c r="I22" s="8">
        <f t="shared" si="1"/>
        <v>0.15880503143116056</v>
      </c>
      <c r="K22" s="14"/>
    </row>
    <row r="23" spans="1:11" ht="15.75">
      <c r="A23" s="106"/>
      <c r="B23" s="29" t="s">
        <v>57</v>
      </c>
      <c r="C23" s="15"/>
      <c r="D23" s="16" t="s">
        <v>336</v>
      </c>
      <c r="E23" s="60">
        <v>580.71955651821804</v>
      </c>
      <c r="F23" s="60">
        <v>2231.572482</v>
      </c>
      <c r="G23" s="8">
        <f t="shared" si="3"/>
        <v>0.20400943396524515</v>
      </c>
      <c r="H23" s="8">
        <f t="shared" si="3"/>
        <v>0.20400943399342014</v>
      </c>
      <c r="I23" s="8">
        <f t="shared" si="1"/>
        <v>0.20400943399342014</v>
      </c>
      <c r="K23" s="14"/>
    </row>
    <row r="24" spans="1:11" ht="15.75">
      <c r="A24" s="106"/>
      <c r="B24" s="29" t="s">
        <v>59</v>
      </c>
      <c r="C24" s="15"/>
      <c r="D24" s="16" t="s">
        <v>337</v>
      </c>
      <c r="E24" s="60">
        <v>676.94668914980298</v>
      </c>
      <c r="F24" s="60">
        <v>2601.3513509999998</v>
      </c>
      <c r="G24" s="8">
        <f t="shared" si="3"/>
        <v>0.23781446539551068</v>
      </c>
      <c r="H24" s="8">
        <f t="shared" si="3"/>
        <v>0.23781446536744344</v>
      </c>
      <c r="I24" s="8">
        <f t="shared" si="1"/>
        <v>0.23781446536744344</v>
      </c>
      <c r="K24" s="14"/>
    </row>
    <row r="25" spans="1:11" ht="15.75">
      <c r="A25" s="106"/>
      <c r="B25" s="29" t="s">
        <v>55</v>
      </c>
      <c r="C25" s="15"/>
      <c r="D25" s="16" t="s">
        <v>338</v>
      </c>
      <c r="E25" s="60">
        <v>591.90875800607</v>
      </c>
      <c r="F25" s="60">
        <v>2274.570025</v>
      </c>
      <c r="G25" s="8">
        <f t="shared" si="3"/>
        <v>0.20794025158011248</v>
      </c>
      <c r="H25" s="8">
        <f t="shared" si="3"/>
        <v>0.20794025160355492</v>
      </c>
      <c r="I25" s="8">
        <f t="shared" si="1"/>
        <v>0.20794025160355492</v>
      </c>
      <c r="K25" s="14"/>
    </row>
    <row r="26" spans="1:11">
      <c r="A26" s="106"/>
      <c r="B26" s="29" t="s">
        <v>56</v>
      </c>
      <c r="C26" s="15"/>
      <c r="D26" s="16" t="s">
        <v>339</v>
      </c>
      <c r="G26" s="8">
        <f t="shared" si="3"/>
        <v>0</v>
      </c>
      <c r="H26" s="8">
        <f t="shared" si="3"/>
        <v>0</v>
      </c>
      <c r="I26" s="8">
        <f t="shared" si="1"/>
        <v>0</v>
      </c>
      <c r="K26" s="14"/>
    </row>
    <row r="27" spans="1:11">
      <c r="A27" s="106" t="s">
        <v>6</v>
      </c>
      <c r="B27" s="29" t="s">
        <v>64</v>
      </c>
      <c r="C27" s="15"/>
      <c r="D27" s="16" t="s">
        <v>340</v>
      </c>
      <c r="G27" s="8">
        <f t="shared" ref="G27:H30" si="4">E27/SUM(E$27:E$31)</f>
        <v>0</v>
      </c>
      <c r="H27" s="8">
        <f t="shared" si="4"/>
        <v>0</v>
      </c>
      <c r="I27" s="8">
        <f t="shared" si="1"/>
        <v>0</v>
      </c>
      <c r="K27" s="14"/>
    </row>
    <row r="28" spans="1:11">
      <c r="A28" s="106"/>
      <c r="B28" s="29" t="s">
        <v>61</v>
      </c>
      <c r="C28" s="15"/>
      <c r="D28" s="16" t="s">
        <v>341</v>
      </c>
      <c r="G28" s="8">
        <f t="shared" si="4"/>
        <v>0</v>
      </c>
      <c r="H28" s="8">
        <f t="shared" si="4"/>
        <v>0</v>
      </c>
      <c r="I28" s="8">
        <f t="shared" si="1"/>
        <v>0</v>
      </c>
      <c r="K28" s="14"/>
    </row>
    <row r="29" spans="1:11">
      <c r="A29" s="106"/>
      <c r="B29" s="29" t="s">
        <v>63</v>
      </c>
      <c r="C29" s="15"/>
      <c r="D29" s="16" t="s">
        <v>342</v>
      </c>
      <c r="G29" s="8">
        <f t="shared" si="4"/>
        <v>0</v>
      </c>
      <c r="H29" s="8">
        <f t="shared" si="4"/>
        <v>0</v>
      </c>
      <c r="I29" s="8">
        <f t="shared" si="1"/>
        <v>0</v>
      </c>
      <c r="K29" s="14"/>
    </row>
    <row r="30" spans="1:11">
      <c r="A30" s="106"/>
      <c r="B30" s="29" t="s">
        <v>65</v>
      </c>
      <c r="C30" s="15"/>
      <c r="D30" s="16" t="s">
        <v>343</v>
      </c>
      <c r="G30" s="8">
        <f t="shared" si="4"/>
        <v>0</v>
      </c>
      <c r="H30" s="8">
        <f t="shared" si="4"/>
        <v>0</v>
      </c>
      <c r="I30" s="8">
        <f t="shared" si="1"/>
        <v>0</v>
      </c>
      <c r="K30" s="14"/>
    </row>
    <row r="31" spans="1:11" ht="15.75">
      <c r="A31" s="106"/>
      <c r="B31" s="29" t="s">
        <v>62</v>
      </c>
      <c r="C31" s="15"/>
      <c r="D31" s="16" t="s">
        <v>344</v>
      </c>
      <c r="E31" s="60">
        <v>1907.92878988198</v>
      </c>
      <c r="F31" s="60">
        <v>8379.1247039999998</v>
      </c>
      <c r="G31" s="8">
        <f>E31/SUM(E$27:E$31)</f>
        <v>1</v>
      </c>
      <c r="H31" s="8">
        <f>F31/SUM(F$27:F$31)</f>
        <v>1</v>
      </c>
      <c r="I31" s="8">
        <f t="shared" si="1"/>
        <v>1</v>
      </c>
      <c r="K31" s="14"/>
    </row>
    <row r="32" spans="1:11" ht="15.75">
      <c r="A32" s="106" t="s">
        <v>7</v>
      </c>
      <c r="B32" s="29" t="s">
        <v>101</v>
      </c>
      <c r="C32" s="15"/>
      <c r="D32" s="16" t="s">
        <v>345</v>
      </c>
      <c r="E32" s="60">
        <v>513.58434768218399</v>
      </c>
      <c r="F32" s="60">
        <v>1973.5872240000001</v>
      </c>
      <c r="G32" s="8">
        <f>E32/SUM(E$32:E$69)</f>
        <v>2.404086174127722E-2</v>
      </c>
      <c r="H32" s="8">
        <f>F32/SUM(F$32:F$69)</f>
        <v>2.2839260427462892E-2</v>
      </c>
      <c r="I32" s="8">
        <f t="shared" si="1"/>
        <v>2.2839260427462892E-2</v>
      </c>
      <c r="K32" s="14"/>
    </row>
    <row r="33" spans="1:11" ht="15.75">
      <c r="A33" s="106"/>
      <c r="B33" s="29" t="s">
        <v>102</v>
      </c>
      <c r="C33" s="15"/>
      <c r="D33" s="16" t="s">
        <v>346</v>
      </c>
      <c r="E33" s="60">
        <f>501.27622607287+561.697914</f>
        <v>1062.9741400728699</v>
      </c>
      <c r="F33" s="60">
        <f>1926.289926+2158.476658</f>
        <v>4084.766584</v>
      </c>
      <c r="G33" s="8">
        <f t="shared" ref="G33:H69" si="5">E33/SUM(E$32:E$69)</f>
        <v>4.9757774845308814E-2</v>
      </c>
      <c r="H33" s="8">
        <f t="shared" si="5"/>
        <v>4.727080043023929E-2</v>
      </c>
      <c r="I33" s="8">
        <f t="shared" si="1"/>
        <v>4.727080043023929E-2</v>
      </c>
      <c r="K33" s="14"/>
    </row>
    <row r="34" spans="1:11">
      <c r="A34" s="106"/>
      <c r="B34" s="29" t="s">
        <v>103</v>
      </c>
      <c r="C34" s="15"/>
      <c r="D34" s="16" t="s">
        <v>347</v>
      </c>
      <c r="G34" s="8">
        <f t="shared" si="5"/>
        <v>0</v>
      </c>
      <c r="H34" s="8">
        <f t="shared" si="5"/>
        <v>0</v>
      </c>
      <c r="I34" s="8">
        <f t="shared" si="1"/>
        <v>0</v>
      </c>
      <c r="K34" s="14"/>
    </row>
    <row r="35" spans="1:11" ht="15.75">
      <c r="A35" s="106"/>
      <c r="B35" s="29" t="s">
        <v>100</v>
      </c>
      <c r="C35" s="15"/>
      <c r="D35" s="16" t="s">
        <v>348</v>
      </c>
      <c r="E35" s="60">
        <f>572.887115485829+898.4928784+571.7681954</f>
        <v>2043.1481892858289</v>
      </c>
      <c r="F35" s="60">
        <f>2201.474202+3452.702703+2197.174447</f>
        <v>7851.3513519999997</v>
      </c>
      <c r="G35" s="8">
        <f t="shared" si="5"/>
        <v>9.5639680915582212E-2</v>
      </c>
      <c r="H35" s="8">
        <f t="shared" si="5"/>
        <v>9.0859454325207395E-2</v>
      </c>
      <c r="I35" s="8">
        <f t="shared" si="1"/>
        <v>9.0859454325207395E-2</v>
      </c>
      <c r="K35" s="14"/>
    </row>
    <row r="36" spans="1:11" ht="15.75">
      <c r="A36" s="106"/>
      <c r="B36" s="29" t="s">
        <v>97</v>
      </c>
      <c r="C36" s="31"/>
      <c r="D36" s="16" t="s">
        <v>349</v>
      </c>
      <c r="E36" s="60">
        <v>843.66579116396599</v>
      </c>
      <c r="F36" s="60">
        <v>3242.0147419999998</v>
      </c>
      <c r="G36" s="8">
        <f t="shared" si="5"/>
        <v>3.9491960245192956E-2</v>
      </c>
      <c r="H36" s="8">
        <f t="shared" si="5"/>
        <v>3.7518087927291888E-2</v>
      </c>
      <c r="I36" s="8">
        <f t="shared" si="1"/>
        <v>3.7518087927291888E-2</v>
      </c>
      <c r="K36" s="14"/>
    </row>
    <row r="37" spans="1:11">
      <c r="A37" s="106"/>
      <c r="B37" s="29" t="s">
        <v>98</v>
      </c>
      <c r="C37" s="15"/>
      <c r="D37" s="16" t="s">
        <v>350</v>
      </c>
      <c r="G37" s="8">
        <f t="shared" si="5"/>
        <v>0</v>
      </c>
      <c r="H37" s="8">
        <f t="shared" si="5"/>
        <v>0</v>
      </c>
      <c r="I37" s="8">
        <f t="shared" si="1"/>
        <v>0</v>
      </c>
      <c r="K37" s="14"/>
    </row>
    <row r="38" spans="1:11" ht="15.75">
      <c r="A38" s="106"/>
      <c r="B38" s="29" t="s">
        <v>95</v>
      </c>
      <c r="C38" s="15"/>
      <c r="D38" s="16" t="s">
        <v>351</v>
      </c>
      <c r="E38" s="60">
        <v>975.69836831987095</v>
      </c>
      <c r="F38" s="60">
        <v>3749.385749</v>
      </c>
      <c r="G38" s="8">
        <f t="shared" si="5"/>
        <v>4.5672399635674286E-2</v>
      </c>
      <c r="H38" s="8">
        <f t="shared" si="5"/>
        <v>4.3389618924908994E-2</v>
      </c>
      <c r="I38" s="8">
        <f t="shared" si="1"/>
        <v>4.3389618924908994E-2</v>
      </c>
      <c r="K38" s="14"/>
    </row>
    <row r="39" spans="1:11">
      <c r="A39" s="106"/>
      <c r="B39" s="29" t="s">
        <v>96</v>
      </c>
      <c r="C39" s="15"/>
      <c r="D39" s="16" t="s">
        <v>352</v>
      </c>
      <c r="G39" s="8">
        <f t="shared" si="5"/>
        <v>0</v>
      </c>
      <c r="H39" s="8">
        <f t="shared" si="5"/>
        <v>0</v>
      </c>
      <c r="I39" s="8">
        <f t="shared" si="1"/>
        <v>0</v>
      </c>
      <c r="K39" s="14"/>
    </row>
    <row r="40" spans="1:11" ht="15.75">
      <c r="A40" s="106"/>
      <c r="B40" s="29" t="s">
        <v>99</v>
      </c>
      <c r="C40" s="15"/>
      <c r="D40" s="16" t="s">
        <v>353</v>
      </c>
      <c r="E40" s="60">
        <v>297.63275923076702</v>
      </c>
      <c r="F40" s="60">
        <v>1143.7346439999999</v>
      </c>
      <c r="G40" s="8">
        <f t="shared" si="5"/>
        <v>1.3932176957171581E-2</v>
      </c>
      <c r="H40" s="8">
        <f t="shared" si="5"/>
        <v>1.3235824126021782E-2</v>
      </c>
      <c r="I40" s="8">
        <f t="shared" si="1"/>
        <v>1.3235824126021782E-2</v>
      </c>
      <c r="K40" s="14"/>
    </row>
    <row r="41" spans="1:11" ht="15.75">
      <c r="A41" s="106"/>
      <c r="B41" s="29" t="s">
        <v>93</v>
      </c>
      <c r="C41" s="15"/>
      <c r="D41" s="16" t="s">
        <v>354</v>
      </c>
      <c r="E41" s="60">
        <f>693.730491427122+676.9466891</f>
        <v>1370.6771805271219</v>
      </c>
      <c r="F41" s="60">
        <f>2665.847666+2601.351351</f>
        <v>5267.1990169999999</v>
      </c>
      <c r="G41" s="8">
        <f t="shared" si="5"/>
        <v>6.4161341243537492E-2</v>
      </c>
      <c r="H41" s="8">
        <f t="shared" si="5"/>
        <v>6.0954453195497346E-2</v>
      </c>
      <c r="I41" s="8">
        <f t="shared" si="1"/>
        <v>6.0954453195497346E-2</v>
      </c>
      <c r="K41" s="14"/>
    </row>
    <row r="42" spans="1:11" ht="15.75">
      <c r="A42" s="106"/>
      <c r="B42" s="29" t="s">
        <v>94</v>
      </c>
      <c r="C42" s="15"/>
      <c r="D42" s="16" t="s">
        <v>355</v>
      </c>
      <c r="E42" s="60">
        <v>763.10354050607805</v>
      </c>
      <c r="F42" s="60">
        <v>2932.4324320000001</v>
      </c>
      <c r="G42" s="8">
        <f t="shared" si="5"/>
        <v>3.5720844676011075E-2</v>
      </c>
      <c r="H42" s="8">
        <f t="shared" si="5"/>
        <v>3.3935458836546646E-2</v>
      </c>
      <c r="I42" s="8">
        <f t="shared" si="1"/>
        <v>3.3935458836546646E-2</v>
      </c>
      <c r="K42" s="14"/>
    </row>
    <row r="43" spans="1:11">
      <c r="A43" s="106"/>
      <c r="B43" s="29" t="s">
        <v>92</v>
      </c>
      <c r="C43" s="15"/>
      <c r="D43" s="16" t="s">
        <v>356</v>
      </c>
      <c r="G43" s="8">
        <f t="shared" si="5"/>
        <v>0</v>
      </c>
      <c r="H43" s="8">
        <f t="shared" si="5"/>
        <v>0</v>
      </c>
      <c r="I43" s="8">
        <f t="shared" si="1"/>
        <v>0</v>
      </c>
      <c r="K43" s="14"/>
    </row>
    <row r="44" spans="1:11" ht="15.75">
      <c r="A44" s="106"/>
      <c r="B44" s="29" t="s">
        <v>91</v>
      </c>
      <c r="C44" s="15"/>
      <c r="D44" s="16" t="s">
        <v>357</v>
      </c>
      <c r="E44" s="60">
        <v>1656.0018180162201</v>
      </c>
      <c r="F44" s="60">
        <v>6363.6363629999996</v>
      </c>
      <c r="G44" s="8">
        <f t="shared" si="5"/>
        <v>7.7517375538998956E-2</v>
      </c>
      <c r="H44" s="8">
        <f t="shared" si="5"/>
        <v>7.3642931203039538E-2</v>
      </c>
      <c r="I44" s="8">
        <f t="shared" si="1"/>
        <v>7.3642931203039538E-2</v>
      </c>
      <c r="K44" s="14"/>
    </row>
    <row r="45" spans="1:11">
      <c r="A45" s="106"/>
      <c r="B45" s="29" t="s">
        <v>90</v>
      </c>
      <c r="C45" s="15"/>
      <c r="D45" s="16" t="s">
        <v>358</v>
      </c>
      <c r="G45" s="8">
        <f t="shared" si="5"/>
        <v>0</v>
      </c>
      <c r="H45" s="8">
        <f t="shared" si="5"/>
        <v>0</v>
      </c>
      <c r="I45" s="8">
        <f t="shared" si="1"/>
        <v>0</v>
      </c>
      <c r="K45" s="14"/>
    </row>
    <row r="46" spans="1:11">
      <c r="A46" s="106"/>
      <c r="B46" s="29" t="s">
        <v>89</v>
      </c>
      <c r="C46" s="15"/>
      <c r="D46" s="16" t="s">
        <v>359</v>
      </c>
      <c r="G46" s="8">
        <f t="shared" si="5"/>
        <v>0</v>
      </c>
      <c r="H46" s="8">
        <f t="shared" si="5"/>
        <v>0</v>
      </c>
      <c r="I46" s="8">
        <f t="shared" si="1"/>
        <v>0</v>
      </c>
      <c r="K46" s="14"/>
    </row>
    <row r="47" spans="1:11">
      <c r="A47" s="106"/>
      <c r="B47" s="29" t="s">
        <v>88</v>
      </c>
      <c r="C47" s="15"/>
      <c r="D47" s="16" t="s">
        <v>360</v>
      </c>
      <c r="E47" s="63">
        <v>218.18942878542001</v>
      </c>
      <c r="F47" s="63">
        <v>838.45208860000002</v>
      </c>
      <c r="G47" s="8">
        <f t="shared" si="5"/>
        <v>1.0213437996137158E-2</v>
      </c>
      <c r="H47" s="8">
        <f t="shared" si="5"/>
        <v>9.7029537760554493E-3</v>
      </c>
      <c r="I47" s="8">
        <f t="shared" si="1"/>
        <v>9.7029537760554493E-3</v>
      </c>
      <c r="K47" s="14"/>
    </row>
    <row r="48" spans="1:11">
      <c r="A48" s="106"/>
      <c r="B48" s="29" t="s">
        <v>87</v>
      </c>
      <c r="C48" s="15"/>
      <c r="D48" s="16" t="s">
        <v>361</v>
      </c>
      <c r="G48" s="8">
        <f t="shared" si="5"/>
        <v>0</v>
      </c>
      <c r="H48" s="8">
        <f t="shared" si="5"/>
        <v>0</v>
      </c>
      <c r="I48" s="8">
        <f t="shared" si="1"/>
        <v>0</v>
      </c>
      <c r="K48" s="14"/>
    </row>
    <row r="49" spans="1:11">
      <c r="A49" s="106"/>
      <c r="B49" s="29" t="s">
        <v>86</v>
      </c>
      <c r="C49" s="15"/>
      <c r="D49" s="16" t="s">
        <v>362</v>
      </c>
      <c r="E49" s="64">
        <v>228.25971010000001</v>
      </c>
      <c r="F49" s="64">
        <v>877.14987710000003</v>
      </c>
      <c r="G49" s="8">
        <f t="shared" si="5"/>
        <v>1.0684827441458416E-2</v>
      </c>
      <c r="H49" s="8">
        <f t="shared" si="5"/>
        <v>1.0150782409505489E-2</v>
      </c>
      <c r="I49" s="8">
        <f t="shared" si="1"/>
        <v>1.0150782409505489E-2</v>
      </c>
      <c r="K49" s="14"/>
    </row>
    <row r="50" spans="1:11">
      <c r="A50" s="106"/>
      <c r="B50" s="29" t="s">
        <v>85</v>
      </c>
      <c r="C50" s="15"/>
      <c r="D50" s="16" t="s">
        <v>363</v>
      </c>
      <c r="G50" s="8">
        <f t="shared" si="5"/>
        <v>0</v>
      </c>
      <c r="H50" s="8">
        <f t="shared" si="5"/>
        <v>0</v>
      </c>
      <c r="I50" s="8">
        <f t="shared" si="1"/>
        <v>0</v>
      </c>
      <c r="K50" s="14"/>
    </row>
    <row r="51" spans="1:11">
      <c r="A51" s="106"/>
      <c r="B51" s="29" t="s">
        <v>84</v>
      </c>
      <c r="C51" s="15"/>
      <c r="D51" s="16" t="s">
        <v>364</v>
      </c>
      <c r="G51" s="8">
        <f t="shared" si="5"/>
        <v>0</v>
      </c>
      <c r="H51" s="8">
        <f t="shared" si="5"/>
        <v>0</v>
      </c>
      <c r="I51" s="8">
        <f t="shared" si="1"/>
        <v>0</v>
      </c>
      <c r="K51" s="14"/>
    </row>
    <row r="52" spans="1:11" ht="15.75">
      <c r="A52" s="106"/>
      <c r="B52" s="29" t="s">
        <v>83</v>
      </c>
      <c r="C52" s="15"/>
      <c r="D52" s="16" t="s">
        <v>365</v>
      </c>
      <c r="E52" s="60">
        <f>690.373730971658+357.638191</f>
        <v>1048.011921971658</v>
      </c>
      <c r="F52" s="60">
        <f>2652.948403+2418.137848</f>
        <v>5071.0862509999997</v>
      </c>
      <c r="G52" s="8">
        <f t="shared" si="5"/>
        <v>4.905739404449698E-2</v>
      </c>
      <c r="H52" s="8">
        <f t="shared" si="5"/>
        <v>5.8684945934122767E-2</v>
      </c>
      <c r="I52" s="8">
        <f t="shared" si="1"/>
        <v>5.8684945934122767E-2</v>
      </c>
      <c r="K52" s="14"/>
    </row>
    <row r="53" spans="1:11">
      <c r="A53" s="106"/>
      <c r="B53" s="29" t="s">
        <v>82</v>
      </c>
      <c r="C53" s="15"/>
      <c r="D53" s="16" t="s">
        <v>366</v>
      </c>
      <c r="G53" s="8">
        <f t="shared" si="5"/>
        <v>0</v>
      </c>
      <c r="H53" s="8">
        <f t="shared" si="5"/>
        <v>0</v>
      </c>
      <c r="I53" s="8">
        <f t="shared" si="1"/>
        <v>0</v>
      </c>
      <c r="K53" s="14"/>
    </row>
    <row r="54" spans="1:11">
      <c r="A54" s="106"/>
      <c r="B54" s="29" t="s">
        <v>81</v>
      </c>
      <c r="C54" s="15"/>
      <c r="D54" s="16" t="s">
        <v>367</v>
      </c>
      <c r="G54" s="8">
        <f t="shared" si="5"/>
        <v>0</v>
      </c>
      <c r="H54" s="8">
        <f t="shared" si="5"/>
        <v>0</v>
      </c>
      <c r="I54" s="8">
        <f t="shared" si="1"/>
        <v>0</v>
      </c>
      <c r="K54" s="14"/>
    </row>
    <row r="55" spans="1:11">
      <c r="A55" s="106"/>
      <c r="B55" s="29" t="s">
        <v>78</v>
      </c>
      <c r="C55" s="32"/>
      <c r="D55" s="16" t="s">
        <v>368</v>
      </c>
      <c r="G55" s="8">
        <f t="shared" si="5"/>
        <v>0</v>
      </c>
      <c r="H55" s="8">
        <f t="shared" si="5"/>
        <v>0</v>
      </c>
      <c r="I55" s="8">
        <f t="shared" si="1"/>
        <v>0</v>
      </c>
      <c r="K55" s="14"/>
    </row>
    <row r="56" spans="1:11">
      <c r="A56" s="106"/>
      <c r="B56" s="29" t="s">
        <v>77</v>
      </c>
      <c r="C56" s="31"/>
      <c r="D56" s="16" t="s">
        <v>369</v>
      </c>
      <c r="G56" s="8">
        <f t="shared" si="5"/>
        <v>0</v>
      </c>
      <c r="H56" s="8">
        <f t="shared" si="5"/>
        <v>0</v>
      </c>
      <c r="I56" s="8">
        <f t="shared" si="1"/>
        <v>0</v>
      </c>
      <c r="K56" s="14"/>
    </row>
    <row r="57" spans="1:11" ht="15.75">
      <c r="A57" s="106"/>
      <c r="B57" s="29" t="s">
        <v>76</v>
      </c>
      <c r="C57" s="15"/>
      <c r="D57" s="16" t="s">
        <v>370</v>
      </c>
      <c r="E57" s="60">
        <f>645.616925020249+1130.109349+312.1787212+547.1519521</f>
        <v>2635.056947320249</v>
      </c>
      <c r="F57" s="60">
        <f>2480.958231+4342.751844+1199.63145+2102.579852</f>
        <v>10125.921377000001</v>
      </c>
      <c r="G57" s="8">
        <f t="shared" si="5"/>
        <v>0.12334690501533692</v>
      </c>
      <c r="H57" s="8">
        <f t="shared" si="5"/>
        <v>0.11718182636417222</v>
      </c>
      <c r="I57" s="8">
        <f t="shared" si="1"/>
        <v>0.11718182636417222</v>
      </c>
      <c r="K57" s="14"/>
    </row>
    <row r="58" spans="1:11" ht="15.75">
      <c r="A58" s="106"/>
      <c r="B58" s="29" t="s">
        <v>79</v>
      </c>
      <c r="C58" s="15"/>
      <c r="D58" s="16" t="s">
        <v>371</v>
      </c>
      <c r="E58" s="60">
        <v>258.47055406882401</v>
      </c>
      <c r="F58" s="60">
        <v>993.24324330000002</v>
      </c>
      <c r="G58" s="8">
        <f t="shared" si="5"/>
        <v>1.2098995778596373E-2</v>
      </c>
      <c r="H58" s="8">
        <f t="shared" si="5"/>
        <v>1.1494268317956332E-2</v>
      </c>
      <c r="I58" s="8">
        <f t="shared" si="1"/>
        <v>1.1494268317956332E-2</v>
      </c>
      <c r="K58" s="14"/>
    </row>
    <row r="59" spans="1:11" ht="15.75">
      <c r="A59" s="106"/>
      <c r="B59" s="29" t="s">
        <v>80</v>
      </c>
      <c r="C59" s="15"/>
      <c r="D59" s="16" t="s">
        <v>372</v>
      </c>
      <c r="E59" s="60">
        <f>716.108894311746+2081.191474</f>
        <v>2797.3003683117463</v>
      </c>
      <c r="F59" s="60">
        <f>2751.842752+7997.542998</f>
        <v>10749.385749999999</v>
      </c>
      <c r="G59" s="8">
        <f t="shared" si="5"/>
        <v>0.13094151273671964</v>
      </c>
      <c r="H59" s="8">
        <f t="shared" si="5"/>
        <v>0.12439684326792566</v>
      </c>
      <c r="I59" s="8">
        <f t="shared" si="1"/>
        <v>0.12439684326792566</v>
      </c>
      <c r="K59" s="14"/>
    </row>
    <row r="60" spans="1:11">
      <c r="A60" s="106"/>
      <c r="B60" s="29" t="s">
        <v>75</v>
      </c>
      <c r="C60" s="15"/>
      <c r="D60" s="16" t="s">
        <v>373</v>
      </c>
      <c r="G60" s="8">
        <f t="shared" si="5"/>
        <v>0</v>
      </c>
      <c r="H60" s="8">
        <f t="shared" si="5"/>
        <v>0</v>
      </c>
      <c r="I60" s="8">
        <f t="shared" si="1"/>
        <v>0</v>
      </c>
      <c r="K60" s="14"/>
    </row>
    <row r="61" spans="1:11" ht="15.75">
      <c r="A61" s="106"/>
      <c r="B61" s="29" t="s">
        <v>73</v>
      </c>
      <c r="C61" s="15"/>
      <c r="D61" s="16" t="s">
        <v>374</v>
      </c>
      <c r="E61" s="60">
        <v>195.81102580971501</v>
      </c>
      <c r="F61" s="60">
        <v>752.45700250000004</v>
      </c>
      <c r="G61" s="8">
        <f t="shared" si="5"/>
        <v>9.1659058928760338E-3</v>
      </c>
      <c r="H61" s="8">
        <f t="shared" si="5"/>
        <v>8.7077790287547977E-3</v>
      </c>
      <c r="I61" s="8">
        <f t="shared" si="1"/>
        <v>8.7077790287547977E-3</v>
      </c>
      <c r="K61" s="14"/>
    </row>
    <row r="62" spans="1:11" ht="15.75">
      <c r="A62" s="106"/>
      <c r="B62" s="29" t="s">
        <v>74</v>
      </c>
      <c r="C62" s="32"/>
      <c r="D62" s="16" t="s">
        <v>375</v>
      </c>
      <c r="E62" s="60">
        <v>764.222460718619</v>
      </c>
      <c r="F62" s="60">
        <v>2936.7321870000001</v>
      </c>
      <c r="G62" s="8">
        <f t="shared" si="5"/>
        <v>3.5773221284158531E-2</v>
      </c>
      <c r="H62" s="8">
        <f t="shared" si="5"/>
        <v>3.3985217581954538E-2</v>
      </c>
      <c r="I62" s="8">
        <f t="shared" si="1"/>
        <v>3.3985217581954538E-2</v>
      </c>
      <c r="K62" s="14"/>
    </row>
    <row r="63" spans="1:11">
      <c r="A63" s="106"/>
      <c r="B63" s="29" t="s">
        <v>72</v>
      </c>
      <c r="C63" s="15"/>
      <c r="D63" s="16" t="s">
        <v>376</v>
      </c>
      <c r="G63" s="8">
        <f t="shared" si="5"/>
        <v>0</v>
      </c>
      <c r="H63" s="8">
        <f t="shared" si="5"/>
        <v>0</v>
      </c>
      <c r="I63" s="8">
        <f t="shared" si="1"/>
        <v>0</v>
      </c>
      <c r="K63" s="14"/>
    </row>
    <row r="64" spans="1:11">
      <c r="A64" s="106"/>
      <c r="B64" s="29" t="s">
        <v>69</v>
      </c>
      <c r="C64" s="15"/>
      <c r="D64" s="16" t="s">
        <v>377</v>
      </c>
      <c r="G64" s="8">
        <f t="shared" si="5"/>
        <v>0</v>
      </c>
      <c r="H64" s="8">
        <f t="shared" si="5"/>
        <v>0</v>
      </c>
      <c r="I64" s="8">
        <f t="shared" si="1"/>
        <v>0</v>
      </c>
      <c r="K64" s="14"/>
    </row>
    <row r="65" spans="1:11">
      <c r="A65" s="106"/>
      <c r="B65" s="29" t="s">
        <v>70</v>
      </c>
      <c r="C65" s="15"/>
      <c r="D65" s="16" t="s">
        <v>378</v>
      </c>
      <c r="G65" s="8">
        <f t="shared" si="5"/>
        <v>0</v>
      </c>
      <c r="H65" s="8">
        <f t="shared" si="5"/>
        <v>0</v>
      </c>
      <c r="I65" s="8">
        <f t="shared" si="1"/>
        <v>0</v>
      </c>
      <c r="K65" s="14"/>
    </row>
    <row r="66" spans="1:11">
      <c r="A66" s="106"/>
      <c r="B66" s="29" t="s">
        <v>68</v>
      </c>
      <c r="C66" s="32"/>
      <c r="D66" s="16" t="s">
        <v>379</v>
      </c>
      <c r="G66" s="8">
        <f t="shared" si="5"/>
        <v>0</v>
      </c>
      <c r="H66" s="8">
        <f t="shared" si="5"/>
        <v>0</v>
      </c>
      <c r="I66" s="8">
        <f t="shared" si="1"/>
        <v>0</v>
      </c>
      <c r="K66" s="14"/>
    </row>
    <row r="67" spans="1:11" ht="15.75">
      <c r="A67" s="106"/>
      <c r="B67" s="29" t="s">
        <v>71</v>
      </c>
      <c r="C67" s="15"/>
      <c r="D67" s="16" t="s">
        <v>380</v>
      </c>
      <c r="E67" s="60">
        <f>719.46565476721+975.6983683</f>
        <v>1695.1640230672101</v>
      </c>
      <c r="F67" s="60">
        <f>2764.742015+3749.385749</f>
        <v>6514.1277639999998</v>
      </c>
      <c r="G67" s="8">
        <f>E67/SUM(E$32:E$69)</f>
        <v>7.9350556712380463E-2</v>
      </c>
      <c r="H67" s="8">
        <f t="shared" si="5"/>
        <v>7.5384487014576729E-2</v>
      </c>
      <c r="I67" s="8">
        <f t="shared" ref="I67:I130" si="6">H67</f>
        <v>7.5384487014576729E-2</v>
      </c>
      <c r="K67" s="14"/>
    </row>
    <row r="68" spans="1:11" ht="15.75">
      <c r="A68" s="106"/>
      <c r="B68" s="29" t="s">
        <v>67</v>
      </c>
      <c r="C68" s="32"/>
      <c r="D68" s="16" t="s">
        <v>381</v>
      </c>
      <c r="E68" s="60">
        <v>854.70467857034998</v>
      </c>
      <c r="F68" s="60">
        <v>6559.6330250000001</v>
      </c>
      <c r="G68" s="8">
        <f>E68/SUM(E$32:E$69)</f>
        <v>4.0008690100984103E-2</v>
      </c>
      <c r="H68" s="8">
        <f t="shared" si="5"/>
        <v>7.5911094855446434E-2</v>
      </c>
      <c r="I68" s="8">
        <f t="shared" si="6"/>
        <v>7.5911094855446434E-2</v>
      </c>
      <c r="K68" s="14"/>
    </row>
    <row r="69" spans="1:11" ht="15.75">
      <c r="A69" s="106"/>
      <c r="B69" s="29" t="s">
        <v>66</v>
      </c>
      <c r="C69" s="15"/>
      <c r="D69" s="16" t="s">
        <v>382</v>
      </c>
      <c r="E69" s="60">
        <v>1141.29855030365</v>
      </c>
      <c r="F69" s="60">
        <v>4385.7493860000004</v>
      </c>
      <c r="G69" s="8">
        <f t="shared" si="5"/>
        <v>5.3424137198100942E-2</v>
      </c>
      <c r="H69" s="8">
        <f t="shared" si="5"/>
        <v>5.0753912053313678E-2</v>
      </c>
      <c r="I69" s="8">
        <f t="shared" si="6"/>
        <v>5.0753912053313678E-2</v>
      </c>
      <c r="K69" s="14"/>
    </row>
    <row r="70" spans="1:11" ht="15.75">
      <c r="A70" s="24" t="s">
        <v>622</v>
      </c>
      <c r="B70" s="29" t="s">
        <v>383</v>
      </c>
      <c r="C70" s="15"/>
      <c r="D70" s="16" t="s">
        <v>384</v>
      </c>
      <c r="E70" s="60">
        <v>277.09233484130101</v>
      </c>
      <c r="F70" s="60">
        <v>2126.6106020000002</v>
      </c>
      <c r="G70" s="8">
        <v>1</v>
      </c>
      <c r="H70" s="8">
        <v>1</v>
      </c>
      <c r="I70" s="8">
        <f t="shared" si="6"/>
        <v>1</v>
      </c>
      <c r="K70" s="14"/>
    </row>
    <row r="71" spans="1:11">
      <c r="A71" s="106" t="s">
        <v>8</v>
      </c>
      <c r="B71" s="29" t="s">
        <v>106</v>
      </c>
      <c r="C71" s="15"/>
      <c r="D71" s="16" t="s">
        <v>385</v>
      </c>
      <c r="G71" s="8">
        <f t="shared" ref="G71:H73" si="7">E71/SUM(E$71:E$73)</f>
        <v>0</v>
      </c>
      <c r="H71" s="8">
        <f t="shared" si="7"/>
        <v>0</v>
      </c>
      <c r="I71" s="8">
        <f t="shared" si="6"/>
        <v>0</v>
      </c>
      <c r="K71" s="14"/>
    </row>
    <row r="72" spans="1:11">
      <c r="A72" s="106"/>
      <c r="B72" s="29" t="s">
        <v>105</v>
      </c>
      <c r="C72" s="15"/>
      <c r="D72" s="16" t="s">
        <v>386</v>
      </c>
      <c r="G72" s="8">
        <f t="shared" si="7"/>
        <v>0</v>
      </c>
      <c r="H72" s="8">
        <f t="shared" si="7"/>
        <v>0</v>
      </c>
      <c r="I72" s="8">
        <f t="shared" si="6"/>
        <v>0</v>
      </c>
      <c r="K72" s="14"/>
    </row>
    <row r="73" spans="1:11">
      <c r="A73" s="106"/>
      <c r="B73" s="29" t="s">
        <v>104</v>
      </c>
      <c r="C73" s="15"/>
      <c r="D73" s="16" t="s">
        <v>387</v>
      </c>
      <c r="E73" s="3">
        <f>1446.25576069031+336.3056041</f>
        <v>1782.5613647903099</v>
      </c>
      <c r="F73" s="3">
        <f>5557.630221+2273.899516</f>
        <v>7831.5297370000008</v>
      </c>
      <c r="G73" s="8">
        <f t="shared" si="7"/>
        <v>1</v>
      </c>
      <c r="H73" s="8">
        <f t="shared" si="7"/>
        <v>1</v>
      </c>
      <c r="I73" s="8">
        <f t="shared" si="6"/>
        <v>1</v>
      </c>
      <c r="K73" s="14"/>
    </row>
    <row r="74" spans="1:11" ht="15.75">
      <c r="A74" s="106" t="s">
        <v>9</v>
      </c>
      <c r="B74" s="29" t="s">
        <v>114</v>
      </c>
      <c r="C74" s="15"/>
      <c r="D74" s="16" t="s">
        <v>388</v>
      </c>
      <c r="E74" s="60">
        <v>166.719101923083</v>
      </c>
      <c r="F74" s="60">
        <v>640.66339049999999</v>
      </c>
      <c r="G74" s="8">
        <f>E74/SUM(E$74:E$86)</f>
        <v>3.7842378745816502E-2</v>
      </c>
      <c r="H74" s="8">
        <f>F74/SUM(F$74:F$86)</f>
        <v>2.8204871974164668E-2</v>
      </c>
      <c r="I74" s="8">
        <f t="shared" si="6"/>
        <v>2.8204871974164668E-2</v>
      </c>
      <c r="K74" s="14"/>
    </row>
    <row r="75" spans="1:11">
      <c r="A75" s="106"/>
      <c r="B75" s="29" t="s">
        <v>389</v>
      </c>
      <c r="C75" s="15"/>
      <c r="D75" s="16" t="s">
        <v>390</v>
      </c>
      <c r="G75" s="8">
        <f t="shared" ref="G75:H86" si="8">E75/SUM(E$74:E$86)</f>
        <v>0</v>
      </c>
      <c r="H75" s="8">
        <f t="shared" si="8"/>
        <v>0</v>
      </c>
      <c r="I75" s="8">
        <f t="shared" si="6"/>
        <v>0</v>
      </c>
      <c r="K75" s="14"/>
    </row>
    <row r="76" spans="1:11">
      <c r="A76" s="106"/>
      <c r="B76" s="29" t="s">
        <v>391</v>
      </c>
      <c r="C76" s="15"/>
      <c r="D76" s="16" t="s">
        <v>392</v>
      </c>
      <c r="G76" s="8">
        <f t="shared" si="8"/>
        <v>0</v>
      </c>
      <c r="H76" s="8">
        <f t="shared" si="8"/>
        <v>0</v>
      </c>
      <c r="I76" s="8">
        <f t="shared" si="6"/>
        <v>0</v>
      </c>
    </row>
    <row r="77" spans="1:11">
      <c r="A77" s="106"/>
      <c r="B77" s="29" t="s">
        <v>393</v>
      </c>
      <c r="C77" s="15"/>
      <c r="D77" s="16" t="s">
        <v>394</v>
      </c>
      <c r="G77" s="8">
        <f t="shared" si="8"/>
        <v>0</v>
      </c>
      <c r="H77" s="8">
        <f t="shared" si="8"/>
        <v>0</v>
      </c>
      <c r="I77" s="8">
        <f t="shared" si="6"/>
        <v>0</v>
      </c>
    </row>
    <row r="78" spans="1:11">
      <c r="A78" s="106"/>
      <c r="B78" s="29" t="s">
        <v>115</v>
      </c>
      <c r="C78" s="15"/>
      <c r="D78" s="16" t="s">
        <v>395</v>
      </c>
      <c r="G78" s="8">
        <f t="shared" si="8"/>
        <v>0</v>
      </c>
      <c r="H78" s="8">
        <f t="shared" si="8"/>
        <v>0</v>
      </c>
      <c r="I78" s="8">
        <f t="shared" si="6"/>
        <v>0</v>
      </c>
    </row>
    <row r="79" spans="1:11" ht="15.75">
      <c r="A79" s="106"/>
      <c r="B79" s="29" t="s">
        <v>110</v>
      </c>
      <c r="C79" s="15"/>
      <c r="D79" s="16" t="s">
        <v>396</v>
      </c>
      <c r="E79" s="60">
        <v>779.88734278339598</v>
      </c>
      <c r="F79" s="60">
        <v>2996.9287469999999</v>
      </c>
      <c r="G79" s="8">
        <f t="shared" si="8"/>
        <v>0.17702106035991977</v>
      </c>
      <c r="H79" s="8">
        <f t="shared" si="8"/>
        <v>0.13193822665418672</v>
      </c>
      <c r="I79" s="8">
        <f t="shared" si="6"/>
        <v>0.13193822665418672</v>
      </c>
    </row>
    <row r="80" spans="1:11">
      <c r="A80" s="106"/>
      <c r="B80" s="29" t="s">
        <v>112</v>
      </c>
      <c r="C80" s="15"/>
      <c r="D80" s="16" t="s">
        <v>397</v>
      </c>
      <c r="G80" s="8">
        <f t="shared" si="8"/>
        <v>0</v>
      </c>
      <c r="H80" s="8">
        <f t="shared" si="8"/>
        <v>0</v>
      </c>
      <c r="I80" s="8">
        <f t="shared" si="6"/>
        <v>0</v>
      </c>
    </row>
    <row r="81" spans="1:9">
      <c r="A81" s="106"/>
      <c r="B81" s="29" t="s">
        <v>111</v>
      </c>
      <c r="C81" s="15"/>
      <c r="D81" s="16" t="s">
        <v>398</v>
      </c>
      <c r="G81" s="8">
        <f t="shared" si="8"/>
        <v>0</v>
      </c>
      <c r="H81" s="8">
        <f t="shared" si="8"/>
        <v>0</v>
      </c>
      <c r="I81" s="8">
        <f t="shared" si="6"/>
        <v>0</v>
      </c>
    </row>
    <row r="82" spans="1:9" ht="15.75">
      <c r="A82" s="106"/>
      <c r="B82" s="29" t="s">
        <v>107</v>
      </c>
      <c r="C82" s="15"/>
      <c r="D82" s="16" t="s">
        <v>399</v>
      </c>
      <c r="E82" s="60">
        <v>1476.97459493922</v>
      </c>
      <c r="F82" s="60">
        <v>5675.6756770000002</v>
      </c>
      <c r="G82" s="8">
        <f t="shared" si="8"/>
        <v>0.33524791925417846</v>
      </c>
      <c r="H82" s="8">
        <f t="shared" si="8"/>
        <v>0.24986866459113741</v>
      </c>
      <c r="I82" s="8">
        <f t="shared" si="6"/>
        <v>0.24986866459113741</v>
      </c>
    </row>
    <row r="83" spans="1:9">
      <c r="A83" s="106"/>
      <c r="B83" s="29" t="s">
        <v>400</v>
      </c>
      <c r="C83" s="15"/>
      <c r="D83" s="16" t="s">
        <v>401</v>
      </c>
      <c r="G83" s="8">
        <f t="shared" si="8"/>
        <v>0</v>
      </c>
      <c r="H83" s="8">
        <f t="shared" si="8"/>
        <v>0</v>
      </c>
      <c r="I83" s="8">
        <f t="shared" si="6"/>
        <v>0</v>
      </c>
    </row>
    <row r="84" spans="1:9" ht="15.75">
      <c r="A84" s="106"/>
      <c r="B84" s="29" t="s">
        <v>113</v>
      </c>
      <c r="C84" s="15"/>
      <c r="D84" s="16" t="s">
        <v>402</v>
      </c>
      <c r="E84" s="60">
        <v>480.70408932038401</v>
      </c>
      <c r="F84" s="60">
        <v>3250.2366390000002</v>
      </c>
      <c r="G84" s="8">
        <f t="shared" si="8"/>
        <v>0.10911158951130455</v>
      </c>
      <c r="H84" s="8">
        <f t="shared" si="8"/>
        <v>0.14308997462331863</v>
      </c>
      <c r="I84" s="8">
        <f t="shared" si="6"/>
        <v>0.14308997462331863</v>
      </c>
    </row>
    <row r="85" spans="1:9" ht="15.75">
      <c r="A85" s="106"/>
      <c r="B85" s="29" t="s">
        <v>108</v>
      </c>
      <c r="C85" s="15"/>
      <c r="D85" s="16" t="s">
        <v>403</v>
      </c>
      <c r="E85" s="60">
        <f>551.291599400832+949.9855927+0.056655555</f>
        <v>1501.333847655832</v>
      </c>
      <c r="F85" s="60">
        <f>3727.507618+6423.240509+0.383071342</f>
        <v>10151.131198342</v>
      </c>
      <c r="G85" s="8">
        <f t="shared" si="8"/>
        <v>0.34077705212878073</v>
      </c>
      <c r="H85" s="8">
        <f t="shared" si="8"/>
        <v>0.44689826215719264</v>
      </c>
      <c r="I85" s="8">
        <f t="shared" si="6"/>
        <v>0.44689826215719264</v>
      </c>
    </row>
    <row r="86" spans="1:9">
      <c r="A86" s="106"/>
      <c r="B86" s="29" t="s">
        <v>109</v>
      </c>
      <c r="C86" s="15"/>
      <c r="D86" s="16" t="s">
        <v>404</v>
      </c>
      <c r="G86" s="8">
        <f t="shared" si="8"/>
        <v>0</v>
      </c>
      <c r="H86" s="8">
        <f t="shared" si="8"/>
        <v>0</v>
      </c>
      <c r="I86" s="8">
        <f t="shared" si="6"/>
        <v>0</v>
      </c>
    </row>
    <row r="87" spans="1:9" ht="15.75">
      <c r="A87" s="106" t="s">
        <v>10</v>
      </c>
      <c r="B87" s="29" t="s">
        <v>120</v>
      </c>
      <c r="C87" s="15"/>
      <c r="D87" s="16" t="s">
        <v>405</v>
      </c>
      <c r="E87" s="60"/>
      <c r="F87" s="60"/>
      <c r="G87" s="8">
        <f>E87/SUM(E$87:E$105)</f>
        <v>0</v>
      </c>
      <c r="H87" s="8">
        <f>F87/SUM(F$87:F$105)</f>
        <v>0</v>
      </c>
      <c r="I87" s="8">
        <f t="shared" si="6"/>
        <v>0</v>
      </c>
    </row>
    <row r="88" spans="1:9" ht="15.75">
      <c r="A88" s="106"/>
      <c r="B88" s="29" t="s">
        <v>117</v>
      </c>
      <c r="C88" s="15"/>
      <c r="D88" s="16" t="s">
        <v>406</v>
      </c>
      <c r="E88" s="60">
        <v>716.10889431174598</v>
      </c>
      <c r="F88" s="60">
        <v>2751.842752</v>
      </c>
      <c r="G88" s="8">
        <f t="shared" ref="G88:H105" si="9">E88/SUM(E$87:E$105)</f>
        <v>5.4142582905026992E-2</v>
      </c>
      <c r="H88" s="8">
        <f t="shared" si="9"/>
        <v>4.950516464928939E-2</v>
      </c>
      <c r="I88" s="8">
        <f t="shared" si="6"/>
        <v>4.950516464928939E-2</v>
      </c>
    </row>
    <row r="89" spans="1:9" ht="15.75">
      <c r="A89" s="106"/>
      <c r="B89" s="29" t="s">
        <v>128</v>
      </c>
      <c r="C89" s="15"/>
      <c r="D89" s="16" t="s">
        <v>407</v>
      </c>
      <c r="E89" s="60">
        <v>414.00045450405503</v>
      </c>
      <c r="F89" s="60">
        <v>1590.909091</v>
      </c>
      <c r="G89" s="8">
        <f t="shared" si="9"/>
        <v>3.1301180740462412E-2</v>
      </c>
      <c r="H89" s="8">
        <f t="shared" si="9"/>
        <v>2.862017331287043E-2</v>
      </c>
      <c r="I89" s="8">
        <f t="shared" si="6"/>
        <v>2.862017331287043E-2</v>
      </c>
    </row>
    <row r="90" spans="1:9">
      <c r="A90" s="106"/>
      <c r="B90" s="29" t="s">
        <v>118</v>
      </c>
      <c r="C90" s="15"/>
      <c r="D90" s="16" t="s">
        <v>408</v>
      </c>
      <c r="E90" s="3">
        <v>1061.855219858307</v>
      </c>
      <c r="F90" s="3">
        <v>4080.4668309999997</v>
      </c>
      <c r="G90" s="8">
        <f t="shared" si="9"/>
        <v>8.0283298714742754E-2</v>
      </c>
      <c r="H90" s="8">
        <f t="shared" si="9"/>
        <v>7.3406876961921372E-2</v>
      </c>
      <c r="I90" s="8">
        <f t="shared" si="6"/>
        <v>7.3406876961921372E-2</v>
      </c>
    </row>
    <row r="91" spans="1:9">
      <c r="A91" s="106"/>
      <c r="B91" s="29" t="s">
        <v>123</v>
      </c>
      <c r="C91" s="15"/>
      <c r="D91" s="16" t="s">
        <v>409</v>
      </c>
      <c r="G91" s="8">
        <f t="shared" si="9"/>
        <v>0</v>
      </c>
      <c r="H91" s="8">
        <f t="shared" si="9"/>
        <v>0</v>
      </c>
      <c r="I91" s="8">
        <f t="shared" si="6"/>
        <v>0</v>
      </c>
    </row>
    <row r="92" spans="1:9">
      <c r="A92" s="106"/>
      <c r="B92" s="29" t="s">
        <v>119</v>
      </c>
      <c r="C92" s="15"/>
      <c r="D92" s="16" t="s">
        <v>410</v>
      </c>
      <c r="G92" s="8">
        <f t="shared" si="9"/>
        <v>0</v>
      </c>
      <c r="H92" s="8">
        <f t="shared" si="9"/>
        <v>0</v>
      </c>
      <c r="I92" s="8">
        <f t="shared" si="6"/>
        <v>0</v>
      </c>
    </row>
    <row r="93" spans="1:9" ht="15.75">
      <c r="A93" s="106"/>
      <c r="B93" s="29" t="s">
        <v>129</v>
      </c>
      <c r="C93" s="15"/>
      <c r="D93" s="16" t="s">
        <v>411</v>
      </c>
      <c r="E93" s="60">
        <v>399.45449265181901</v>
      </c>
      <c r="F93" s="60">
        <v>1535.012285</v>
      </c>
      <c r="G93" s="8">
        <f t="shared" si="9"/>
        <v>3.0201409530002901E-2</v>
      </c>
      <c r="H93" s="8">
        <f t="shared" si="9"/>
        <v>2.7614599654132758E-2</v>
      </c>
      <c r="I93" s="8">
        <f t="shared" si="6"/>
        <v>2.7614599654132758E-2</v>
      </c>
    </row>
    <row r="94" spans="1:9" ht="15.75">
      <c r="A94" s="106"/>
      <c r="B94" s="29" t="s">
        <v>124</v>
      </c>
      <c r="C94" s="15"/>
      <c r="D94" s="16" t="s">
        <v>412</v>
      </c>
      <c r="E94" s="60">
        <v>567.292514787443</v>
      </c>
      <c r="F94" s="60">
        <v>2179.97543</v>
      </c>
      <c r="G94" s="8">
        <f t="shared" si="9"/>
        <v>4.2891077400735736E-2</v>
      </c>
      <c r="H94" s="8">
        <f t="shared" si="9"/>
        <v>3.9217372618809955E-2</v>
      </c>
      <c r="I94" s="8">
        <f t="shared" si="6"/>
        <v>3.9217372618809955E-2</v>
      </c>
    </row>
    <row r="95" spans="1:9">
      <c r="A95" s="106"/>
      <c r="B95" s="29" t="s">
        <v>126</v>
      </c>
      <c r="C95" s="15"/>
      <c r="D95" s="16" t="s">
        <v>413</v>
      </c>
      <c r="E95" s="3">
        <v>1182.0745517054052</v>
      </c>
      <c r="F95" s="3">
        <v>7627.6141280000002</v>
      </c>
      <c r="G95" s="8">
        <f t="shared" si="9"/>
        <v>8.9372677708665541E-2</v>
      </c>
      <c r="H95" s="8">
        <f t="shared" si="9"/>
        <v>0.13721942978516743</v>
      </c>
      <c r="I95" s="8">
        <f t="shared" si="6"/>
        <v>0.13721942978516743</v>
      </c>
    </row>
    <row r="96" spans="1:9" ht="15.75">
      <c r="A96" s="106"/>
      <c r="B96" s="29" t="s">
        <v>127</v>
      </c>
      <c r="C96" s="15"/>
      <c r="D96" s="16" t="s">
        <v>414</v>
      </c>
      <c r="E96" s="60">
        <v>722.82241522267395</v>
      </c>
      <c r="F96" s="60">
        <v>2777.6412780000001</v>
      </c>
      <c r="G96" s="8">
        <f t="shared" si="9"/>
        <v>5.4650169621784497E-2</v>
      </c>
      <c r="H96" s="8">
        <f t="shared" si="9"/>
        <v>4.9969275571474445E-2</v>
      </c>
      <c r="I96" s="8">
        <f t="shared" si="6"/>
        <v>4.9969275571474445E-2</v>
      </c>
    </row>
    <row r="97" spans="1:9" ht="15.75">
      <c r="A97" s="106"/>
      <c r="B97" s="29" t="s">
        <v>121</v>
      </c>
      <c r="C97" s="15"/>
      <c r="D97" s="16" t="s">
        <v>415</v>
      </c>
      <c r="E97" s="60">
        <v>438.61669781376202</v>
      </c>
      <c r="F97" s="60">
        <v>1685.503686</v>
      </c>
      <c r="G97" s="8">
        <f t="shared" si="9"/>
        <v>3.3162332032944358E-2</v>
      </c>
      <c r="H97" s="8">
        <f t="shared" si="9"/>
        <v>3.0321913354885682E-2</v>
      </c>
      <c r="I97" s="8">
        <f t="shared" si="6"/>
        <v>3.0321913354885682E-2</v>
      </c>
    </row>
    <row r="98" spans="1:9" ht="15.75">
      <c r="A98" s="106"/>
      <c r="B98" s="29" t="s">
        <v>125</v>
      </c>
      <c r="C98" s="15"/>
      <c r="D98" s="16" t="s">
        <v>416</v>
      </c>
      <c r="E98" s="60">
        <f>1932.83894812869+1062.97414</f>
        <v>2995.8130881286897</v>
      </c>
      <c r="F98" s="60">
        <f>8708.974893+4084.766585</f>
        <v>12793.741478</v>
      </c>
      <c r="G98" s="8">
        <f t="shared" si="9"/>
        <v>0.22650334296973695</v>
      </c>
      <c r="H98" s="8">
        <f t="shared" si="9"/>
        <v>0.23015714756539729</v>
      </c>
      <c r="I98" s="8">
        <f t="shared" si="6"/>
        <v>0.23015714756539729</v>
      </c>
    </row>
    <row r="99" spans="1:9" ht="15.75">
      <c r="A99" s="106"/>
      <c r="B99" s="29" t="s">
        <v>122</v>
      </c>
      <c r="C99" s="15"/>
      <c r="D99" s="16" t="s">
        <v>417</v>
      </c>
      <c r="E99" s="60">
        <v>642.26016465586497</v>
      </c>
      <c r="F99" s="60">
        <v>2468.0589679999998</v>
      </c>
      <c r="G99" s="8">
        <f t="shared" si="9"/>
        <v>4.8559129048239891E-2</v>
      </c>
      <c r="H99" s="8">
        <f t="shared" si="9"/>
        <v>4.4399944541233458E-2</v>
      </c>
      <c r="I99" s="8">
        <f t="shared" si="6"/>
        <v>4.4399944541233458E-2</v>
      </c>
    </row>
    <row r="100" spans="1:9" ht="15.75">
      <c r="A100" s="106"/>
      <c r="B100" s="29" t="s">
        <v>418</v>
      </c>
      <c r="C100" s="15"/>
      <c r="D100" s="16" t="s">
        <v>419</v>
      </c>
      <c r="E100" s="60">
        <v>135.14710519833599</v>
      </c>
      <c r="F100" s="60">
        <v>913.78476420000004</v>
      </c>
      <c r="G100" s="8">
        <f t="shared" si="9"/>
        <v>1.0218017686552968E-2</v>
      </c>
      <c r="H100" s="8">
        <f t="shared" si="9"/>
        <v>1.6438826372929715E-2</v>
      </c>
      <c r="I100" s="8">
        <f t="shared" si="6"/>
        <v>1.6438826372929715E-2</v>
      </c>
    </row>
    <row r="101" spans="1:9" ht="15.75">
      <c r="A101" s="106"/>
      <c r="B101" s="29" t="s">
        <v>130</v>
      </c>
      <c r="C101" s="15"/>
      <c r="D101" s="16" t="s">
        <v>420</v>
      </c>
      <c r="E101">
        <v>3950.9070405971565</v>
      </c>
      <c r="F101">
        <v>15182.432434599999</v>
      </c>
      <c r="G101" s="8">
        <f t="shared" si="9"/>
        <v>0.29871478164110504</v>
      </c>
      <c r="H101" s="8">
        <f t="shared" si="9"/>
        <v>0.2731292756118881</v>
      </c>
      <c r="I101" s="8">
        <f t="shared" si="6"/>
        <v>0.2731292756118881</v>
      </c>
    </row>
    <row r="102" spans="1:9">
      <c r="A102" s="106"/>
      <c r="B102" s="29" t="s">
        <v>116</v>
      </c>
      <c r="C102" s="15"/>
      <c r="D102" s="16" t="s">
        <v>421</v>
      </c>
      <c r="G102" s="8">
        <f t="shared" si="9"/>
        <v>0</v>
      </c>
      <c r="H102" s="8">
        <f t="shared" si="9"/>
        <v>0</v>
      </c>
      <c r="I102" s="8">
        <f t="shared" si="6"/>
        <v>0</v>
      </c>
    </row>
    <row r="103" spans="1:9">
      <c r="A103" s="106"/>
      <c r="B103" s="29" t="s">
        <v>422</v>
      </c>
      <c r="C103" s="15"/>
      <c r="D103" s="16" t="s">
        <v>423</v>
      </c>
      <c r="G103" s="8">
        <f t="shared" si="9"/>
        <v>0</v>
      </c>
      <c r="H103" s="8">
        <f t="shared" si="9"/>
        <v>0</v>
      </c>
      <c r="I103" s="8">
        <f t="shared" si="6"/>
        <v>0</v>
      </c>
    </row>
    <row r="104" spans="1:9">
      <c r="A104" s="106"/>
      <c r="B104" s="29" t="s">
        <v>424</v>
      </c>
      <c r="C104" s="15"/>
      <c r="D104" s="16" t="s">
        <v>425</v>
      </c>
      <c r="G104" s="8">
        <f t="shared" si="9"/>
        <v>0</v>
      </c>
      <c r="H104" s="8">
        <f t="shared" si="9"/>
        <v>0</v>
      </c>
      <c r="I104" s="8">
        <f t="shared" si="6"/>
        <v>0</v>
      </c>
    </row>
    <row r="105" spans="1:9">
      <c r="A105" s="106"/>
      <c r="B105" s="29" t="s">
        <v>426</v>
      </c>
      <c r="C105" s="15"/>
      <c r="D105" s="16" t="s">
        <v>427</v>
      </c>
      <c r="G105" s="8">
        <f t="shared" si="9"/>
        <v>0</v>
      </c>
      <c r="H105" s="8">
        <f t="shared" si="9"/>
        <v>0</v>
      </c>
      <c r="I105" s="8">
        <f t="shared" si="6"/>
        <v>0</v>
      </c>
    </row>
    <row r="106" spans="1:9" ht="15.75">
      <c r="A106" s="106" t="s">
        <v>11</v>
      </c>
      <c r="B106" s="29" t="s">
        <v>132</v>
      </c>
      <c r="C106" s="15"/>
      <c r="D106" s="16" t="s">
        <v>428</v>
      </c>
      <c r="E106" s="60">
        <v>335.676044271249</v>
      </c>
      <c r="F106" s="60">
        <v>1289.9262900000001</v>
      </c>
      <c r="G106" s="8">
        <f>E106/SUM(E$106:E$132)</f>
        <v>2.9036737641951856E-2</v>
      </c>
      <c r="H106" s="8">
        <f>F106/SUM(F$106:F$132)</f>
        <v>2.5265509459058165E-2</v>
      </c>
      <c r="I106" s="8">
        <f t="shared" si="6"/>
        <v>2.5265509459058165E-2</v>
      </c>
    </row>
    <row r="107" spans="1:9" ht="15.75">
      <c r="A107" s="106"/>
      <c r="B107" s="29" t="s">
        <v>143</v>
      </c>
      <c r="C107" s="15"/>
      <c r="D107" s="16" t="s">
        <v>429</v>
      </c>
      <c r="E107">
        <v>563.79095291199599</v>
      </c>
      <c r="F107">
        <v>2348.8726701000001</v>
      </c>
      <c r="G107" s="8">
        <f t="shared" ref="G107:H131" si="10">E107/SUM(E$106:E$132)</f>
        <v>4.8769193584106543E-2</v>
      </c>
      <c r="H107" s="8">
        <f t="shared" si="10"/>
        <v>4.6006864984924643E-2</v>
      </c>
      <c r="I107" s="8">
        <f t="shared" si="6"/>
        <v>4.6006864984924643E-2</v>
      </c>
    </row>
    <row r="108" spans="1:9" ht="15.75">
      <c r="A108" s="106"/>
      <c r="B108" s="29" t="s">
        <v>141</v>
      </c>
      <c r="C108" s="15"/>
      <c r="D108" s="16" t="s">
        <v>430</v>
      </c>
      <c r="E108"/>
      <c r="F108"/>
      <c r="G108" s="8">
        <f t="shared" si="10"/>
        <v>0</v>
      </c>
      <c r="H108" s="8">
        <f t="shared" si="10"/>
        <v>0</v>
      </c>
      <c r="I108" s="8">
        <f t="shared" si="6"/>
        <v>0</v>
      </c>
    </row>
    <row r="109" spans="1:9" ht="15.75">
      <c r="A109" s="106"/>
      <c r="B109" s="29" t="s">
        <v>138</v>
      </c>
      <c r="C109" s="15"/>
      <c r="D109" s="16" t="s">
        <v>431</v>
      </c>
      <c r="E109" s="60">
        <v>319.31611529947497</v>
      </c>
      <c r="F109" s="60">
        <v>1402.3529410000001</v>
      </c>
      <c r="G109" s="8">
        <f t="shared" si="10"/>
        <v>2.7621566754718375E-2</v>
      </c>
      <c r="H109" s="8">
        <f t="shared" si="10"/>
        <v>2.7467586148487242E-2</v>
      </c>
      <c r="I109" s="8">
        <f t="shared" si="6"/>
        <v>2.7467586148487242E-2</v>
      </c>
    </row>
    <row r="110" spans="1:9" ht="15.75">
      <c r="A110" s="106"/>
      <c r="B110" s="30" t="s">
        <v>145</v>
      </c>
      <c r="C110" s="16"/>
      <c r="D110" s="19" t="s">
        <v>432</v>
      </c>
      <c r="E110" s="60">
        <v>310.74387059895099</v>
      </c>
      <c r="F110" s="60">
        <v>1364.705882</v>
      </c>
      <c r="G110" s="8">
        <f t="shared" si="10"/>
        <v>2.6880048184597858E-2</v>
      </c>
      <c r="H110" s="8">
        <f t="shared" si="10"/>
        <v>2.6730201281891318E-2</v>
      </c>
      <c r="I110" s="8">
        <f t="shared" si="6"/>
        <v>2.6730201281891318E-2</v>
      </c>
    </row>
    <row r="111" spans="1:9" ht="15.75">
      <c r="A111" s="106"/>
      <c r="B111" s="30" t="s">
        <v>137</v>
      </c>
      <c r="C111" s="31"/>
      <c r="D111" s="19" t="s">
        <v>433</v>
      </c>
      <c r="E111" s="65">
        <v>553.86547299999995</v>
      </c>
      <c r="F111" s="65">
        <v>2128.3783779999999</v>
      </c>
      <c r="G111" s="8">
        <f t="shared" si="10"/>
        <v>4.791061710510644E-2</v>
      </c>
      <c r="H111" s="8">
        <f t="shared" si="10"/>
        <v>4.168809059765257E-2</v>
      </c>
      <c r="I111" s="8">
        <f t="shared" si="6"/>
        <v>4.168809059765257E-2</v>
      </c>
    </row>
    <row r="112" spans="1:9" ht="15.75">
      <c r="A112" s="106"/>
      <c r="B112" s="29" t="s">
        <v>134</v>
      </c>
      <c r="C112" s="32"/>
      <c r="D112" s="16" t="s">
        <v>434</v>
      </c>
      <c r="E112" s="60">
        <v>405.43683488101402</v>
      </c>
      <c r="F112" s="60">
        <v>3111.6207949999998</v>
      </c>
      <c r="G112" s="8">
        <f t="shared" si="10"/>
        <v>3.5071203935274957E-2</v>
      </c>
      <c r="H112" s="8">
        <f t="shared" si="10"/>
        <v>6.0946648842295149E-2</v>
      </c>
      <c r="I112" s="8">
        <f t="shared" si="6"/>
        <v>6.0946648842295149E-2</v>
      </c>
    </row>
    <row r="113" spans="1:9" ht="15.75">
      <c r="A113" s="106"/>
      <c r="B113" s="29" t="s">
        <v>151</v>
      </c>
      <c r="C113" s="15"/>
      <c r="D113" s="16" t="s">
        <v>435</v>
      </c>
      <c r="E113" s="60">
        <v>132.03257742914499</v>
      </c>
      <c r="F113" s="60">
        <v>507.37100750000002</v>
      </c>
      <c r="G113" s="8">
        <f t="shared" si="10"/>
        <v>1.1421116807200014E-2</v>
      </c>
      <c r="H113" s="8">
        <f t="shared" si="10"/>
        <v>9.9377670558548903E-3</v>
      </c>
      <c r="I113" s="8">
        <f t="shared" si="6"/>
        <v>9.9377670558548903E-3</v>
      </c>
    </row>
    <row r="114" spans="1:9" ht="15.75">
      <c r="A114" s="106"/>
      <c r="B114" s="29" t="s">
        <v>133</v>
      </c>
      <c r="C114" s="15"/>
      <c r="D114" s="16" t="s">
        <v>436</v>
      </c>
      <c r="E114" s="60">
        <v>250.63811303643499</v>
      </c>
      <c r="F114" s="60">
        <v>963.14496320000001</v>
      </c>
      <c r="G114" s="8">
        <f t="shared" si="10"/>
        <v>2.1680764104309899E-2</v>
      </c>
      <c r="H114" s="8">
        <f t="shared" si="10"/>
        <v>1.8864913729430097E-2</v>
      </c>
      <c r="I114" s="8">
        <f t="shared" si="6"/>
        <v>1.8864913729430097E-2</v>
      </c>
    </row>
    <row r="115" spans="1:9" ht="15.75">
      <c r="A115" s="106"/>
      <c r="B115" s="29" t="s">
        <v>148</v>
      </c>
      <c r="C115" s="15"/>
      <c r="D115" s="16" t="s">
        <v>437</v>
      </c>
      <c r="E115" s="60">
        <v>822.40630830972304</v>
      </c>
      <c r="F115" s="60">
        <v>3160.3194100000001</v>
      </c>
      <c r="G115" s="8">
        <f t="shared" si="10"/>
        <v>7.1140007209388303E-2</v>
      </c>
      <c r="H115" s="8">
        <f t="shared" si="10"/>
        <v>6.1900498164899107E-2</v>
      </c>
      <c r="I115" s="8">
        <f t="shared" si="6"/>
        <v>6.1900498164899107E-2</v>
      </c>
    </row>
    <row r="116" spans="1:9" ht="15.75">
      <c r="A116" s="106"/>
      <c r="B116" s="29" t="s">
        <v>135</v>
      </c>
      <c r="C116" s="15"/>
      <c r="D116" s="16" t="s">
        <v>438</v>
      </c>
      <c r="E116">
        <v>931.16008110682105</v>
      </c>
      <c r="F116">
        <v>4089.4117649999998</v>
      </c>
      <c r="G116" s="8">
        <f t="shared" si="10"/>
        <v>8.0547454723664938E-2</v>
      </c>
      <c r="H116" s="8">
        <f t="shared" si="10"/>
        <v>8.0098430764281289E-2</v>
      </c>
      <c r="I116" s="8">
        <f t="shared" si="6"/>
        <v>8.0098430764281289E-2</v>
      </c>
    </row>
    <row r="117" spans="1:9" ht="15.75">
      <c r="A117" s="106"/>
      <c r="B117" s="29" t="s">
        <v>136</v>
      </c>
      <c r="C117" s="15"/>
      <c r="D117" s="16" t="s">
        <v>439</v>
      </c>
      <c r="E117" s="60">
        <v>1064.0930599190699</v>
      </c>
      <c r="F117" s="60">
        <v>4089.0663380000001</v>
      </c>
      <c r="G117" s="8">
        <f t="shared" si="10"/>
        <v>9.2046458288588151E-2</v>
      </c>
      <c r="H117" s="8">
        <f t="shared" si="10"/>
        <v>8.0091664959751563E-2</v>
      </c>
      <c r="I117" s="8">
        <f t="shared" si="6"/>
        <v>8.0091664959751563E-2</v>
      </c>
    </row>
    <row r="118" spans="1:9">
      <c r="A118" s="106"/>
      <c r="B118" s="29" t="s">
        <v>140</v>
      </c>
      <c r="C118" s="15"/>
      <c r="D118" s="16" t="s">
        <v>440</v>
      </c>
      <c r="G118" s="8">
        <f t="shared" si="10"/>
        <v>0</v>
      </c>
      <c r="H118" s="8">
        <f t="shared" si="10"/>
        <v>0</v>
      </c>
      <c r="I118" s="8">
        <f t="shared" si="6"/>
        <v>0</v>
      </c>
    </row>
    <row r="119" spans="1:9">
      <c r="A119" s="106"/>
      <c r="B119" s="29" t="s">
        <v>139</v>
      </c>
      <c r="C119" s="15"/>
      <c r="D119" s="16" t="s">
        <v>441</v>
      </c>
      <c r="G119" s="8">
        <f t="shared" si="10"/>
        <v>0</v>
      </c>
      <c r="H119" s="8">
        <f t="shared" si="10"/>
        <v>0</v>
      </c>
      <c r="I119" s="8">
        <f t="shared" si="6"/>
        <v>0</v>
      </c>
    </row>
    <row r="120" spans="1:9">
      <c r="A120" s="106"/>
      <c r="B120" s="29" t="s">
        <v>142</v>
      </c>
      <c r="C120" s="15"/>
      <c r="D120" s="16" t="s">
        <v>442</v>
      </c>
      <c r="G120" s="8">
        <f t="shared" si="10"/>
        <v>0</v>
      </c>
      <c r="H120" s="8">
        <f t="shared" si="10"/>
        <v>0</v>
      </c>
      <c r="I120" s="8">
        <f t="shared" si="6"/>
        <v>0</v>
      </c>
    </row>
    <row r="121" spans="1:9">
      <c r="A121" s="106"/>
      <c r="B121" s="29" t="s">
        <v>144</v>
      </c>
      <c r="C121" s="15"/>
      <c r="D121" s="16" t="s">
        <v>443</v>
      </c>
      <c r="E121" s="3">
        <v>1586.507662369615</v>
      </c>
      <c r="F121" s="3">
        <v>6403.6450349999996</v>
      </c>
      <c r="G121" s="8">
        <f t="shared" si="10"/>
        <v>0.13723650390120656</v>
      </c>
      <c r="H121" s="8">
        <f t="shared" si="10"/>
        <v>0.12542682125212234</v>
      </c>
      <c r="I121" s="8">
        <f t="shared" si="6"/>
        <v>0.12542682125212234</v>
      </c>
    </row>
    <row r="122" spans="1:9">
      <c r="A122" s="106"/>
      <c r="B122" s="29" t="s">
        <v>146</v>
      </c>
      <c r="C122" s="15"/>
      <c r="D122" s="16" t="s">
        <v>444</v>
      </c>
      <c r="E122" s="66">
        <v>1049.55</v>
      </c>
      <c r="F122" s="66">
        <v>4033.17</v>
      </c>
      <c r="G122" s="8">
        <f t="shared" si="10"/>
        <v>9.0788450686949504E-2</v>
      </c>
      <c r="H122" s="8">
        <f t="shared" si="10"/>
        <v>7.8996835381182601E-2</v>
      </c>
      <c r="I122" s="8">
        <f t="shared" si="6"/>
        <v>7.8996835381182601E-2</v>
      </c>
    </row>
    <row r="123" spans="1:9" ht="15.75">
      <c r="A123" s="106"/>
      <c r="B123" s="29" t="s">
        <v>147</v>
      </c>
      <c r="C123" s="15"/>
      <c r="D123" s="16" t="s">
        <v>445</v>
      </c>
      <c r="E123" s="60">
        <v>203.60590086213099</v>
      </c>
      <c r="F123" s="60">
        <v>1376.662636</v>
      </c>
      <c r="G123" s="8">
        <f t="shared" si="10"/>
        <v>1.7612371292452491E-2</v>
      </c>
      <c r="H123" s="8">
        <f t="shared" si="10"/>
        <v>2.696439565689443E-2</v>
      </c>
      <c r="I123" s="8">
        <f t="shared" si="6"/>
        <v>2.696439565689443E-2</v>
      </c>
    </row>
    <row r="124" spans="1:9" ht="15.75">
      <c r="A124" s="106"/>
      <c r="B124" s="29" t="s">
        <v>150</v>
      </c>
      <c r="C124" s="15"/>
      <c r="D124" s="16" t="s">
        <v>446</v>
      </c>
      <c r="E124" s="60">
        <v>200.28670638663999</v>
      </c>
      <c r="F124" s="60">
        <v>769.6560197</v>
      </c>
      <c r="G124" s="8">
        <f t="shared" si="10"/>
        <v>1.7325253457229288E-2</v>
      </c>
      <c r="H124" s="8">
        <f t="shared" si="10"/>
        <v>1.507508731057137E-2</v>
      </c>
      <c r="I124" s="8">
        <f t="shared" si="6"/>
        <v>1.507508731057137E-2</v>
      </c>
    </row>
    <row r="125" spans="1:9">
      <c r="A125" s="106"/>
      <c r="B125" s="29" t="s">
        <v>152</v>
      </c>
      <c r="C125" s="15"/>
      <c r="D125" s="16" t="s">
        <v>447</v>
      </c>
      <c r="E125" s="3">
        <f>1544.10980341094+302.1716259</f>
        <v>1846.28142931094</v>
      </c>
      <c r="F125" s="3">
        <f>8637.4670338+1327.058824</f>
        <v>9964.5258577999994</v>
      </c>
      <c r="G125" s="8">
        <f t="shared" si="10"/>
        <v>0.15970752274710776</v>
      </c>
      <c r="H125" s="8">
        <f t="shared" si="10"/>
        <v>0.19517302985992752</v>
      </c>
      <c r="I125" s="8">
        <f t="shared" si="6"/>
        <v>0.19517302985992752</v>
      </c>
    </row>
    <row r="126" spans="1:9">
      <c r="A126" s="106"/>
      <c r="B126" s="29" t="s">
        <v>149</v>
      </c>
      <c r="C126" s="15"/>
      <c r="D126" s="16" t="s">
        <v>448</v>
      </c>
      <c r="E126" s="3">
        <v>985</v>
      </c>
      <c r="F126" s="3">
        <v>4052</v>
      </c>
      <c r="G126" s="8">
        <f t="shared" si="10"/>
        <v>8.5204729576147178E-2</v>
      </c>
      <c r="H126" s="8">
        <f t="shared" si="10"/>
        <v>7.9365654550775669E-2</v>
      </c>
      <c r="I126" s="8">
        <f t="shared" si="6"/>
        <v>7.9365654550775669E-2</v>
      </c>
    </row>
    <row r="127" spans="1:9">
      <c r="A127" s="106"/>
      <c r="B127" s="29" t="s">
        <v>131</v>
      </c>
      <c r="C127" s="15"/>
      <c r="D127" s="16" t="s">
        <v>449</v>
      </c>
      <c r="G127" s="8">
        <f t="shared" si="10"/>
        <v>0</v>
      </c>
      <c r="H127" s="8">
        <f t="shared" si="10"/>
        <v>0</v>
      </c>
      <c r="I127" s="8">
        <f t="shared" si="6"/>
        <v>0</v>
      </c>
    </row>
    <row r="128" spans="1:9">
      <c r="A128" s="106"/>
      <c r="B128" s="29" t="s">
        <v>450</v>
      </c>
      <c r="C128" s="15"/>
      <c r="D128" s="16" t="s">
        <v>451</v>
      </c>
      <c r="G128" s="8">
        <f t="shared" si="10"/>
        <v>0</v>
      </c>
      <c r="H128" s="8">
        <f t="shared" si="10"/>
        <v>0</v>
      </c>
      <c r="I128" s="8">
        <f t="shared" si="6"/>
        <v>0</v>
      </c>
    </row>
    <row r="129" spans="1:11">
      <c r="A129" s="106"/>
      <c r="B129" s="29" t="s">
        <v>452</v>
      </c>
      <c r="C129" s="15"/>
      <c r="D129" s="16" t="s">
        <v>453</v>
      </c>
      <c r="G129" s="8">
        <f t="shared" si="10"/>
        <v>0</v>
      </c>
      <c r="H129" s="8">
        <f t="shared" si="10"/>
        <v>0</v>
      </c>
      <c r="I129" s="8">
        <f t="shared" si="6"/>
        <v>0</v>
      </c>
    </row>
    <row r="130" spans="1:11">
      <c r="A130" s="106"/>
      <c r="B130" s="29" t="s">
        <v>454</v>
      </c>
      <c r="C130" s="15"/>
      <c r="D130" s="16" t="s">
        <v>455</v>
      </c>
      <c r="G130" s="8">
        <f t="shared" si="10"/>
        <v>0</v>
      </c>
      <c r="H130" s="8">
        <f t="shared" si="10"/>
        <v>0</v>
      </c>
      <c r="I130" s="8">
        <f t="shared" si="6"/>
        <v>0</v>
      </c>
    </row>
    <row r="131" spans="1:11">
      <c r="A131" s="106"/>
      <c r="B131" s="29" t="s">
        <v>456</v>
      </c>
      <c r="C131" s="15"/>
      <c r="D131" s="16" t="s">
        <v>457</v>
      </c>
      <c r="G131" s="8">
        <f t="shared" si="10"/>
        <v>0</v>
      </c>
      <c r="H131" s="8">
        <f t="shared" si="10"/>
        <v>0</v>
      </c>
      <c r="I131" s="8">
        <f t="shared" ref="I131:I195" si="11">H131</f>
        <v>0</v>
      </c>
    </row>
    <row r="132" spans="1:11">
      <c r="A132" s="106"/>
      <c r="B132" s="29" t="s">
        <v>458</v>
      </c>
      <c r="C132" s="15"/>
      <c r="D132" s="16" t="s">
        <v>459</v>
      </c>
      <c r="G132" s="8">
        <f>E132/SUM(E$106:E$132)</f>
        <v>0</v>
      </c>
      <c r="H132" s="8">
        <f>F132/SUM(F$106:F$132)</f>
        <v>0</v>
      </c>
      <c r="I132" s="8">
        <f t="shared" si="11"/>
        <v>0</v>
      </c>
    </row>
    <row r="133" spans="1:11">
      <c r="A133" s="106" t="s">
        <v>12</v>
      </c>
      <c r="B133" s="19" t="s">
        <v>460</v>
      </c>
      <c r="C133" s="16"/>
      <c r="D133" s="19" t="s">
        <v>461</v>
      </c>
      <c r="G133" s="8">
        <f>E133/SUM(E$133:E$137)</f>
        <v>0</v>
      </c>
      <c r="H133" s="8">
        <f>F133/SUM(F$133:F$137)</f>
        <v>0</v>
      </c>
      <c r="I133" s="8">
        <f t="shared" si="11"/>
        <v>0</v>
      </c>
    </row>
    <row r="134" spans="1:11">
      <c r="A134" s="106"/>
      <c r="B134" s="29" t="s">
        <v>154</v>
      </c>
      <c r="C134" s="15"/>
      <c r="D134" s="16" t="s">
        <v>462</v>
      </c>
      <c r="E134" s="3">
        <f>1126.16515532389+292.0381584</f>
        <v>1418.20331372389</v>
      </c>
      <c r="F134" s="3">
        <f>4327.595208+1122.235872</f>
        <v>5449.8310799999999</v>
      </c>
      <c r="G134" s="8">
        <f>E134/(SUM(E$133:E$134)+SUM(E136:E137))</f>
        <v>0.70905232936409468</v>
      </c>
      <c r="H134" s="8">
        <f>F134/(SUM(F$133:F$134)+SUM(F136:F137))</f>
        <v>0.70905232937861307</v>
      </c>
      <c r="I134" s="8">
        <f t="shared" si="11"/>
        <v>0.70905232937861307</v>
      </c>
    </row>
    <row r="135" spans="1:11">
      <c r="A135" s="106"/>
      <c r="B135" s="29" t="s">
        <v>153</v>
      </c>
      <c r="C135" s="15"/>
      <c r="D135" s="16"/>
      <c r="E135" s="3">
        <f>E133+E136+E137</f>
        <v>581.935822686238</v>
      </c>
      <c r="F135" s="3">
        <f t="shared" ref="F135:G135" si="12">F133+F136+F137</f>
        <v>2236.246314</v>
      </c>
      <c r="G135" s="81">
        <f t="shared" si="12"/>
        <v>0.29094767063590532</v>
      </c>
      <c r="H135" s="81">
        <f t="shared" ref="H135" si="13">H133+H136+H137</f>
        <v>0.29094767062138693</v>
      </c>
      <c r="I135" s="8">
        <f t="shared" si="11"/>
        <v>0.29094767062138693</v>
      </c>
    </row>
    <row r="136" spans="1:11" ht="15.75">
      <c r="A136" s="106"/>
      <c r="B136" s="29" t="s">
        <v>463</v>
      </c>
      <c r="C136" s="15"/>
      <c r="D136" s="16" t="s">
        <v>464</v>
      </c>
      <c r="E136" s="60">
        <v>581.935822686238</v>
      </c>
      <c r="F136" s="60">
        <v>2236.246314</v>
      </c>
      <c r="G136" s="8">
        <f>E136/(SUM(E$133:E$134)+SUM(E136:E137))</f>
        <v>0.29094767063590532</v>
      </c>
      <c r="H136" s="8">
        <f>F136/(SUM(F$133:F$134)+SUM(F136:F137))</f>
        <v>0.29094767062138693</v>
      </c>
      <c r="I136" s="8">
        <f t="shared" si="11"/>
        <v>0.29094767062138693</v>
      </c>
    </row>
    <row r="137" spans="1:11">
      <c r="A137" s="106"/>
      <c r="B137" s="29" t="s">
        <v>465</v>
      </c>
      <c r="C137" s="15"/>
      <c r="D137" s="16" t="s">
        <v>466</v>
      </c>
      <c r="G137" s="8">
        <f>E137/SUM(E$133:E$137)</f>
        <v>0</v>
      </c>
      <c r="H137" s="8">
        <f>F137/SUM(F$133:F$137)</f>
        <v>0</v>
      </c>
      <c r="I137" s="8">
        <f t="shared" si="11"/>
        <v>0</v>
      </c>
    </row>
    <row r="138" spans="1:11" ht="15.75">
      <c r="A138" s="106" t="s">
        <v>13</v>
      </c>
      <c r="B138" s="29" t="s">
        <v>163</v>
      </c>
      <c r="C138" s="15"/>
      <c r="D138" s="16" t="s">
        <v>467</v>
      </c>
      <c r="E138" s="60">
        <v>850.37931207489396</v>
      </c>
      <c r="F138" s="60">
        <v>3267.8132679999999</v>
      </c>
      <c r="G138" s="8">
        <f>E138/SUM(E$138:E$158)</f>
        <v>6.9023246115294382E-2</v>
      </c>
      <c r="H138" s="8">
        <f>F138/SUM(F$138:F$158)</f>
        <v>6.3162857434411412E-2</v>
      </c>
      <c r="I138" s="8">
        <f t="shared" si="11"/>
        <v>6.3162857434411412E-2</v>
      </c>
    </row>
    <row r="139" spans="1:11">
      <c r="A139" s="106"/>
      <c r="B139" s="29" t="s">
        <v>156</v>
      </c>
      <c r="C139" s="15"/>
      <c r="D139" s="16" t="s">
        <v>468</v>
      </c>
      <c r="G139" s="8">
        <f t="shared" ref="G139:H158" si="14">E139/SUM(E$138:E$158)</f>
        <v>0</v>
      </c>
      <c r="H139" s="8">
        <f t="shared" si="14"/>
        <v>0</v>
      </c>
      <c r="I139" s="8">
        <f t="shared" si="11"/>
        <v>0</v>
      </c>
    </row>
    <row r="140" spans="1:11">
      <c r="A140" s="106"/>
      <c r="B140" s="29" t="s">
        <v>167</v>
      </c>
      <c r="C140" s="15"/>
      <c r="D140" s="16" t="s">
        <v>469</v>
      </c>
      <c r="G140" s="8">
        <f t="shared" si="14"/>
        <v>0</v>
      </c>
      <c r="H140" s="8">
        <f t="shared" si="14"/>
        <v>0</v>
      </c>
      <c r="I140" s="8">
        <f t="shared" si="11"/>
        <v>0</v>
      </c>
    </row>
    <row r="141" spans="1:11">
      <c r="A141" s="106"/>
      <c r="B141" s="29" t="s">
        <v>166</v>
      </c>
      <c r="C141" s="15"/>
      <c r="D141" s="16" t="s">
        <v>470</v>
      </c>
      <c r="E141" s="3">
        <v>3140.6957890349281</v>
      </c>
      <c r="F141" s="3">
        <v>13534.079186999999</v>
      </c>
      <c r="G141" s="8">
        <f t="shared" si="14"/>
        <v>0.25492273311645941</v>
      </c>
      <c r="H141" s="8">
        <f t="shared" si="14"/>
        <v>0.26159729583254621</v>
      </c>
      <c r="I141" s="8">
        <f t="shared" si="11"/>
        <v>0.26159729583254621</v>
      </c>
    </row>
    <row r="142" spans="1:11" ht="15.75">
      <c r="A142" s="106"/>
      <c r="B142" s="29" t="s">
        <v>175</v>
      </c>
      <c r="C142" s="15"/>
      <c r="D142" s="16" t="s">
        <v>471</v>
      </c>
      <c r="E142" s="60">
        <v>195.81102580971501</v>
      </c>
      <c r="F142" s="60">
        <v>752.45700250000004</v>
      </c>
      <c r="G142" s="8">
        <f t="shared" si="14"/>
        <v>1.5893510618896489E-2</v>
      </c>
      <c r="H142" s="8">
        <f t="shared" si="14"/>
        <v>1.4544079014502628E-2</v>
      </c>
      <c r="I142" s="8">
        <f t="shared" si="11"/>
        <v>1.4544079014502628E-2</v>
      </c>
      <c r="J142" s="60"/>
      <c r="K142" s="60"/>
    </row>
    <row r="143" spans="1:11" ht="15.75">
      <c r="A143" s="106"/>
      <c r="B143" s="29" t="s">
        <v>164</v>
      </c>
      <c r="C143" s="15"/>
      <c r="D143" s="16" t="s">
        <v>472</v>
      </c>
      <c r="E143" s="60">
        <v>510.22758722672</v>
      </c>
      <c r="F143" s="60">
        <v>1960.6879610000001</v>
      </c>
      <c r="G143" s="8">
        <f t="shared" si="14"/>
        <v>4.1413947667698049E-2</v>
      </c>
      <c r="H143" s="8">
        <f t="shared" si="14"/>
        <v>3.7897714464512608E-2</v>
      </c>
      <c r="I143" s="8">
        <f t="shared" si="11"/>
        <v>3.7897714464512608E-2</v>
      </c>
    </row>
    <row r="144" spans="1:11" ht="15.75">
      <c r="A144" s="106"/>
      <c r="B144" s="29" t="s">
        <v>171</v>
      </c>
      <c r="C144" s="15"/>
      <c r="D144" s="16" t="s">
        <v>473</v>
      </c>
      <c r="E144" s="60">
        <v>585.19523709514306</v>
      </c>
      <c r="F144" s="60">
        <v>2248.7714989999999</v>
      </c>
      <c r="G144" s="8">
        <f t="shared" si="14"/>
        <v>4.7498891732162374E-2</v>
      </c>
      <c r="H144" s="8">
        <f t="shared" si="14"/>
        <v>4.3466018999560728E-2</v>
      </c>
      <c r="I144" s="8">
        <f t="shared" si="11"/>
        <v>4.3466018999560728E-2</v>
      </c>
    </row>
    <row r="145" spans="1:9">
      <c r="A145" s="106"/>
      <c r="B145" s="29" t="s">
        <v>174</v>
      </c>
      <c r="C145" s="32"/>
      <c r="D145" s="16" t="s">
        <v>474</v>
      </c>
      <c r="E145" s="3">
        <f>1048.42817812753+116.8520822</f>
        <v>1165.28026032753</v>
      </c>
      <c r="F145" s="3">
        <f>4028.869779+790.0846434</f>
        <v>4818.9544224000001</v>
      </c>
      <c r="G145" s="8">
        <f t="shared" si="14"/>
        <v>9.4582999680027161E-2</v>
      </c>
      <c r="H145" s="8">
        <f t="shared" si="14"/>
        <v>9.3144530057945041E-2</v>
      </c>
      <c r="I145" s="8">
        <f t="shared" si="11"/>
        <v>9.3144530057945041E-2</v>
      </c>
    </row>
    <row r="146" spans="1:9">
      <c r="A146" s="106"/>
      <c r="B146" s="29" t="s">
        <v>173</v>
      </c>
      <c r="C146" s="15"/>
      <c r="D146" s="16" t="s">
        <v>475</v>
      </c>
      <c r="G146" s="8">
        <f t="shared" si="14"/>
        <v>0</v>
      </c>
      <c r="H146" s="8">
        <f t="shared" si="14"/>
        <v>0</v>
      </c>
      <c r="I146" s="8">
        <f t="shared" si="11"/>
        <v>0</v>
      </c>
    </row>
    <row r="147" spans="1:9" ht="15.75">
      <c r="A147" s="106"/>
      <c r="B147" s="29" t="s">
        <v>172</v>
      </c>
      <c r="C147" s="15"/>
      <c r="D147" s="16" t="s">
        <v>476</v>
      </c>
      <c r="E147" s="60">
        <f>146.799690598951+114.5510405</f>
        <v>261.35073109895097</v>
      </c>
      <c r="F147" s="60">
        <f>644.7058824+774.5263604</f>
        <v>1419.2322428</v>
      </c>
      <c r="G147" s="8">
        <f t="shared" si="14"/>
        <v>2.1213211068175978E-2</v>
      </c>
      <c r="H147" s="8">
        <f t="shared" si="14"/>
        <v>2.7432033738317131E-2</v>
      </c>
      <c r="I147" s="8">
        <f t="shared" si="11"/>
        <v>2.7432033738317131E-2</v>
      </c>
    </row>
    <row r="148" spans="1:9">
      <c r="A148" s="106"/>
      <c r="B148" s="29" t="s">
        <v>161</v>
      </c>
      <c r="C148" s="32"/>
      <c r="D148" s="16" t="s">
        <v>477</v>
      </c>
      <c r="E148" s="3">
        <v>1420.5088527534858</v>
      </c>
      <c r="F148" s="3">
        <v>5643.2948573000003</v>
      </c>
      <c r="G148" s="8">
        <f t="shared" si="14"/>
        <v>0.11529929145774315</v>
      </c>
      <c r="H148" s="8">
        <f t="shared" si="14"/>
        <v>0.10907802842423217</v>
      </c>
      <c r="I148" s="8">
        <f t="shared" si="11"/>
        <v>0.10907802842423217</v>
      </c>
    </row>
    <row r="149" spans="1:9">
      <c r="A149" s="106"/>
      <c r="B149" s="29" t="s">
        <v>162</v>
      </c>
      <c r="C149" s="15"/>
      <c r="D149" s="16" t="s">
        <v>478</v>
      </c>
      <c r="E149" s="3">
        <v>371.46875481468703</v>
      </c>
      <c r="F149" s="3">
        <v>1762.5957536000001</v>
      </c>
      <c r="G149" s="8">
        <f t="shared" si="14"/>
        <v>3.0151226545193685E-2</v>
      </c>
      <c r="H149" s="8">
        <f t="shared" si="14"/>
        <v>3.4068832937713546E-2</v>
      </c>
      <c r="I149" s="8">
        <f t="shared" si="11"/>
        <v>3.4068832937713546E-2</v>
      </c>
    </row>
    <row r="150" spans="1:9" ht="29.25">
      <c r="A150" s="106"/>
      <c r="B150" s="29" t="s">
        <v>158</v>
      </c>
      <c r="C150" s="15"/>
      <c r="D150" s="16" t="s">
        <v>479</v>
      </c>
      <c r="E150" s="3">
        <v>471.74344772468919</v>
      </c>
      <c r="F150" s="3">
        <v>1812.8022117</v>
      </c>
      <c r="G150" s="8">
        <f t="shared" si="14"/>
        <v>3.8290282504792425E-2</v>
      </c>
      <c r="H150" s="8">
        <f t="shared" si="14"/>
        <v>3.5039262731334501E-2</v>
      </c>
      <c r="I150" s="8">
        <f t="shared" si="11"/>
        <v>3.5039262731334501E-2</v>
      </c>
    </row>
    <row r="151" spans="1:9">
      <c r="A151" s="106"/>
      <c r="B151" s="29" t="s">
        <v>159</v>
      </c>
      <c r="C151" s="15"/>
      <c r="D151" s="16" t="s">
        <v>480</v>
      </c>
      <c r="E151" s="3">
        <v>750.79541889676398</v>
      </c>
      <c r="F151" s="3">
        <v>2885.1351353</v>
      </c>
      <c r="G151" s="8">
        <f t="shared" si="14"/>
        <v>6.0940260710602545E-2</v>
      </c>
      <c r="H151" s="8">
        <f t="shared" si="14"/>
        <v>5.5766154392750074E-2</v>
      </c>
      <c r="I151" s="8">
        <f t="shared" si="11"/>
        <v>5.5766154392750074E-2</v>
      </c>
    </row>
    <row r="152" spans="1:9" ht="15.75">
      <c r="A152" s="106"/>
      <c r="B152" s="29" t="s">
        <v>155</v>
      </c>
      <c r="C152" s="32"/>
      <c r="D152" s="16" t="s">
        <v>481</v>
      </c>
      <c r="E152" s="60">
        <v>343.50848521255699</v>
      </c>
      <c r="F152" s="60">
        <v>1320.02457</v>
      </c>
      <c r="G152" s="8">
        <f t="shared" si="14"/>
        <v>2.7881758623297868E-2</v>
      </c>
      <c r="H152" s="8">
        <f t="shared" si="14"/>
        <v>2.5514470040651733E-2</v>
      </c>
      <c r="I152" s="8">
        <f t="shared" si="11"/>
        <v>2.5514470040651733E-2</v>
      </c>
    </row>
    <row r="153" spans="1:9" ht="15.75">
      <c r="A153" s="106"/>
      <c r="B153" s="29" t="s">
        <v>169</v>
      </c>
      <c r="C153" s="15"/>
      <c r="D153" s="16" t="s">
        <v>482</v>
      </c>
      <c r="E153" s="60">
        <v>281.50728898751998</v>
      </c>
      <c r="F153" s="60">
        <v>1903.385732</v>
      </c>
      <c r="G153" s="8">
        <f t="shared" si="14"/>
        <v>2.2849270455116175E-2</v>
      </c>
      <c r="H153" s="8">
        <f t="shared" si="14"/>
        <v>3.6790132046495137E-2</v>
      </c>
      <c r="I153" s="8">
        <f t="shared" si="11"/>
        <v>3.6790132046495137E-2</v>
      </c>
    </row>
    <row r="154" spans="1:9">
      <c r="A154" s="106"/>
      <c r="B154" s="29" t="s">
        <v>170</v>
      </c>
      <c r="C154" s="15"/>
      <c r="D154" s="16" t="s">
        <v>483</v>
      </c>
      <c r="E154" s="3">
        <v>783.24410314778004</v>
      </c>
      <c r="F154" s="3">
        <v>3009.8280100000002</v>
      </c>
      <c r="G154" s="8">
        <f t="shared" si="14"/>
        <v>6.3574042468193218E-2</v>
      </c>
      <c r="H154" s="8">
        <f t="shared" si="14"/>
        <v>5.8176316058010512E-2</v>
      </c>
      <c r="I154" s="8">
        <f t="shared" si="11"/>
        <v>5.8176316058010512E-2</v>
      </c>
    </row>
    <row r="155" spans="1:9">
      <c r="A155" s="106"/>
      <c r="B155" s="29" t="s">
        <v>160</v>
      </c>
      <c r="C155" s="15"/>
      <c r="D155" s="16" t="s">
        <v>484</v>
      </c>
      <c r="G155" s="8">
        <f t="shared" si="14"/>
        <v>0</v>
      </c>
      <c r="H155" s="8">
        <f t="shared" si="14"/>
        <v>0</v>
      </c>
      <c r="I155" s="8">
        <f t="shared" si="11"/>
        <v>0</v>
      </c>
    </row>
    <row r="156" spans="1:9">
      <c r="A156" s="106"/>
      <c r="B156" s="29" t="s">
        <v>157</v>
      </c>
      <c r="C156" s="15"/>
      <c r="D156" s="16" t="s">
        <v>485</v>
      </c>
      <c r="G156" s="8">
        <f t="shared" si="14"/>
        <v>0</v>
      </c>
      <c r="H156" s="8">
        <f t="shared" si="14"/>
        <v>0</v>
      </c>
      <c r="I156" s="8">
        <f t="shared" si="11"/>
        <v>0</v>
      </c>
    </row>
    <row r="157" spans="1:9">
      <c r="A157" s="106"/>
      <c r="B157" s="29" t="s">
        <v>165</v>
      </c>
      <c r="C157" s="15"/>
      <c r="D157" s="16" t="s">
        <v>486</v>
      </c>
      <c r="E157" s="63">
        <v>145.45961915992001</v>
      </c>
      <c r="F157" s="63">
        <v>558.96805900000004</v>
      </c>
      <c r="G157" s="8">
        <f t="shared" si="14"/>
        <v>1.1806607887267024E-2</v>
      </c>
      <c r="H157" s="8">
        <f t="shared" si="14"/>
        <v>1.0804172982201952E-2</v>
      </c>
      <c r="I157" s="8">
        <f t="shared" si="11"/>
        <v>1.0804172982201952E-2</v>
      </c>
    </row>
    <row r="158" spans="1:9">
      <c r="A158" s="106"/>
      <c r="B158" s="29" t="s">
        <v>168</v>
      </c>
      <c r="C158" s="15"/>
      <c r="D158" s="16" t="s">
        <v>487</v>
      </c>
      <c r="E158" s="64">
        <f>822.584+220.427269</f>
        <v>1043.0112689999999</v>
      </c>
      <c r="F158" s="64">
        <f>3991.23+847.051597</f>
        <v>4838.2815970000001</v>
      </c>
      <c r="G158" s="8">
        <f t="shared" si="14"/>
        <v>8.4658719349080397E-2</v>
      </c>
      <c r="H158" s="8">
        <f t="shared" si="14"/>
        <v>9.3518100844814669E-2</v>
      </c>
      <c r="I158" s="8">
        <f t="shared" si="11"/>
        <v>9.3518100844814669E-2</v>
      </c>
    </row>
    <row r="159" spans="1:9">
      <c r="A159" s="26" t="s">
        <v>623</v>
      </c>
      <c r="B159" s="29" t="s">
        <v>488</v>
      </c>
      <c r="C159" s="15"/>
      <c r="D159" s="16" t="s">
        <v>489</v>
      </c>
      <c r="E159" s="62">
        <f>808.5219832+158.7535864</f>
        <v>967.27556960000004</v>
      </c>
      <c r="F159" s="68">
        <f>5466.747281+1073.397823</f>
        <v>6540.1451040000002</v>
      </c>
      <c r="G159" s="8">
        <v>1</v>
      </c>
      <c r="H159" s="8">
        <v>1</v>
      </c>
      <c r="I159" s="8">
        <f t="shared" si="11"/>
        <v>1</v>
      </c>
    </row>
    <row r="160" spans="1:9">
      <c r="A160" s="26" t="s">
        <v>14</v>
      </c>
      <c r="B160" s="29" t="s">
        <v>176</v>
      </c>
      <c r="C160" s="15"/>
      <c r="D160" s="16" t="s">
        <v>490</v>
      </c>
      <c r="E160" s="63">
        <v>758.62785992915303</v>
      </c>
      <c r="F160" s="63">
        <v>2915.2334150000002</v>
      </c>
      <c r="G160" s="8">
        <v>1</v>
      </c>
      <c r="H160" s="8">
        <v>1</v>
      </c>
      <c r="I160" s="8">
        <f t="shared" si="11"/>
        <v>1</v>
      </c>
    </row>
    <row r="161" spans="1:10">
      <c r="A161" s="106" t="s">
        <v>1164</v>
      </c>
      <c r="B161" s="29" t="s">
        <v>491</v>
      </c>
      <c r="C161" s="15"/>
      <c r="D161" s="16" t="s">
        <v>492</v>
      </c>
      <c r="G161" s="8">
        <f>E161/SUM(E$161:E$162)</f>
        <v>0</v>
      </c>
      <c r="H161" s="8">
        <f>F161/SUM(F$161:F$162)</f>
        <v>0</v>
      </c>
      <c r="I161" s="8">
        <f t="shared" si="11"/>
        <v>0</v>
      </c>
    </row>
    <row r="162" spans="1:10" ht="15.75">
      <c r="A162" s="106"/>
      <c r="B162" s="29" t="s">
        <v>493</v>
      </c>
      <c r="C162" s="15"/>
      <c r="D162" s="16" t="s">
        <v>494</v>
      </c>
      <c r="E162" s="60">
        <v>615.82567888089295</v>
      </c>
      <c r="F162" s="60">
        <v>4726.2996940000003</v>
      </c>
      <c r="G162" s="8">
        <f>E162/SUM(E$161:E$162)</f>
        <v>1</v>
      </c>
      <c r="H162" s="8">
        <f>F162/SUM(F$161:F$162)</f>
        <v>1</v>
      </c>
      <c r="I162" s="8">
        <f t="shared" si="11"/>
        <v>1</v>
      </c>
    </row>
    <row r="163" spans="1:10" ht="15.75">
      <c r="A163" s="26" t="s">
        <v>15</v>
      </c>
      <c r="B163" s="29" t="s">
        <v>177</v>
      </c>
      <c r="C163" s="15"/>
      <c r="D163" s="16" t="s">
        <v>15</v>
      </c>
      <c r="E163" s="60">
        <v>613.16824076923297</v>
      </c>
      <c r="F163" s="60">
        <v>2356.2653559999999</v>
      </c>
      <c r="G163" s="8">
        <v>1</v>
      </c>
      <c r="H163" s="8">
        <v>1</v>
      </c>
      <c r="I163" s="8">
        <f t="shared" si="11"/>
        <v>1</v>
      </c>
    </row>
    <row r="164" spans="1:10">
      <c r="A164" s="106" t="s">
        <v>16</v>
      </c>
      <c r="B164" s="29" t="s">
        <v>182</v>
      </c>
      <c r="C164" s="15"/>
      <c r="D164" s="16" t="s">
        <v>495</v>
      </c>
      <c r="G164" s="8">
        <f>E164/SUM(E$164:E$171)</f>
        <v>0</v>
      </c>
      <c r="H164" s="8">
        <f>F164/SUM(F$164:F$171)</f>
        <v>0</v>
      </c>
      <c r="I164" s="8">
        <f t="shared" si="11"/>
        <v>0</v>
      </c>
    </row>
    <row r="165" spans="1:10" ht="15.75">
      <c r="A165" s="106"/>
      <c r="B165" s="29" t="s">
        <v>181</v>
      </c>
      <c r="C165" s="15"/>
      <c r="D165" s="16" t="s">
        <v>496</v>
      </c>
      <c r="E165" s="60">
        <v>507.98974689271802</v>
      </c>
      <c r="F165" s="60">
        <v>1952.088452</v>
      </c>
      <c r="G165" s="8">
        <f t="shared" ref="G165:H171" si="15">E165/SUM(E$164:E$171)</f>
        <v>0.43219778283819971</v>
      </c>
      <c r="H165" s="8">
        <f t="shared" si="15"/>
        <v>0.4321977828636232</v>
      </c>
      <c r="I165" s="8">
        <f t="shared" si="11"/>
        <v>0.4321977828636232</v>
      </c>
    </row>
    <row r="166" spans="1:10">
      <c r="A166" s="106"/>
      <c r="B166" s="29" t="s">
        <v>180</v>
      </c>
      <c r="C166" s="15"/>
      <c r="D166" s="16" t="s">
        <v>497</v>
      </c>
      <c r="G166" s="8">
        <f t="shared" si="15"/>
        <v>0</v>
      </c>
      <c r="H166" s="8">
        <f t="shared" si="15"/>
        <v>0</v>
      </c>
      <c r="I166" s="8">
        <f t="shared" si="11"/>
        <v>0</v>
      </c>
    </row>
    <row r="167" spans="1:10" ht="15.75">
      <c r="A167" s="106"/>
      <c r="B167" s="29" t="s">
        <v>179</v>
      </c>
      <c r="C167" s="15"/>
      <c r="D167" s="16" t="s">
        <v>498</v>
      </c>
      <c r="G167" s="8">
        <f t="shared" si="15"/>
        <v>0</v>
      </c>
      <c r="H167" s="8">
        <f t="shared" si="15"/>
        <v>0</v>
      </c>
      <c r="I167" s="8">
        <f t="shared" si="11"/>
        <v>0</v>
      </c>
      <c r="J167" s="60"/>
    </row>
    <row r="168" spans="1:10" ht="15.75">
      <c r="A168" s="106"/>
      <c r="B168" s="29" t="s">
        <v>184</v>
      </c>
      <c r="C168" s="15"/>
      <c r="D168" s="16" t="s">
        <v>499</v>
      </c>
      <c r="E168" s="3">
        <v>667.37432729757506</v>
      </c>
      <c r="F168" s="3">
        <v>2564.566953</v>
      </c>
      <c r="G168" s="8">
        <f t="shared" si="15"/>
        <v>0.56780221716180013</v>
      </c>
      <c r="H168" s="8">
        <f t="shared" si="15"/>
        <v>0.56780221713637691</v>
      </c>
      <c r="I168" s="8">
        <f t="shared" si="11"/>
        <v>0.56780221713637691</v>
      </c>
      <c r="J168" s="60"/>
    </row>
    <row r="169" spans="1:10">
      <c r="A169" s="106"/>
      <c r="B169" s="29" t="s">
        <v>183</v>
      </c>
      <c r="C169" s="32"/>
      <c r="D169" s="16" t="s">
        <v>500</v>
      </c>
      <c r="G169" s="8">
        <f t="shared" si="15"/>
        <v>0</v>
      </c>
      <c r="H169" s="8">
        <f t="shared" si="15"/>
        <v>0</v>
      </c>
      <c r="I169" s="8">
        <f t="shared" si="11"/>
        <v>0</v>
      </c>
    </row>
    <row r="170" spans="1:10">
      <c r="A170" s="106"/>
      <c r="B170" s="29" t="s">
        <v>178</v>
      </c>
      <c r="C170" s="15"/>
      <c r="D170" s="16" t="s">
        <v>501</v>
      </c>
      <c r="G170" s="8">
        <f t="shared" si="15"/>
        <v>0</v>
      </c>
      <c r="H170" s="8">
        <f t="shared" si="15"/>
        <v>0</v>
      </c>
      <c r="I170" s="8">
        <f t="shared" si="11"/>
        <v>0</v>
      </c>
    </row>
    <row r="171" spans="1:10">
      <c r="A171" s="106"/>
      <c r="B171" s="29" t="s">
        <v>185</v>
      </c>
      <c r="C171" s="15"/>
      <c r="D171" s="16" t="s">
        <v>502</v>
      </c>
      <c r="G171" s="8">
        <f t="shared" si="15"/>
        <v>0</v>
      </c>
      <c r="H171" s="8">
        <f t="shared" si="15"/>
        <v>0</v>
      </c>
      <c r="I171" s="8">
        <f t="shared" si="11"/>
        <v>0</v>
      </c>
    </row>
    <row r="172" spans="1:10">
      <c r="A172" s="26" t="s">
        <v>504</v>
      </c>
      <c r="B172" s="29" t="s">
        <v>503</v>
      </c>
      <c r="C172" s="15"/>
      <c r="D172" s="16" t="s">
        <v>504</v>
      </c>
      <c r="G172" s="8">
        <v>1</v>
      </c>
      <c r="H172" s="8">
        <v>1</v>
      </c>
      <c r="I172" s="8">
        <v>1</v>
      </c>
      <c r="J172" s="82" t="s">
        <v>925</v>
      </c>
    </row>
    <row r="173" spans="1:10">
      <c r="A173" s="106" t="s">
        <v>17</v>
      </c>
      <c r="B173" s="29" t="s">
        <v>193</v>
      </c>
      <c r="C173" s="15"/>
      <c r="D173" s="16" t="s">
        <v>505</v>
      </c>
      <c r="G173" s="8">
        <f>E173/SUM(E$173:E$184)</f>
        <v>0</v>
      </c>
      <c r="H173" s="8">
        <f>F173/SUM(F$173:F$184)</f>
        <v>0</v>
      </c>
      <c r="I173" s="8">
        <f t="shared" si="11"/>
        <v>0</v>
      </c>
    </row>
    <row r="174" spans="1:10">
      <c r="A174" s="106"/>
      <c r="B174" s="29" t="s">
        <v>195</v>
      </c>
      <c r="C174" s="15"/>
      <c r="D174" s="16" t="s">
        <v>506</v>
      </c>
      <c r="G174" s="8">
        <f t="shared" ref="G174:H184" si="16">E174/SUM(E$173:E$184)</f>
        <v>0</v>
      </c>
      <c r="H174" s="8">
        <f t="shared" si="16"/>
        <v>0</v>
      </c>
      <c r="I174" s="8">
        <f t="shared" si="11"/>
        <v>0</v>
      </c>
    </row>
    <row r="175" spans="1:10">
      <c r="A175" s="106"/>
      <c r="B175" s="29" t="s">
        <v>197</v>
      </c>
      <c r="C175" s="15"/>
      <c r="D175" s="16" t="s">
        <v>507</v>
      </c>
      <c r="G175" s="8">
        <f t="shared" si="16"/>
        <v>0</v>
      </c>
      <c r="H175" s="8">
        <f t="shared" si="16"/>
        <v>0</v>
      </c>
      <c r="I175" s="8">
        <f t="shared" si="11"/>
        <v>0</v>
      </c>
    </row>
    <row r="176" spans="1:10">
      <c r="A176" s="106"/>
      <c r="B176" s="29" t="s">
        <v>188</v>
      </c>
      <c r="C176" s="15"/>
      <c r="D176" s="16" t="s">
        <v>508</v>
      </c>
      <c r="G176" s="8">
        <f t="shared" si="16"/>
        <v>0</v>
      </c>
      <c r="H176" s="8">
        <f t="shared" si="16"/>
        <v>0</v>
      </c>
      <c r="I176" s="8">
        <f t="shared" si="11"/>
        <v>0</v>
      </c>
    </row>
    <row r="177" spans="1:9">
      <c r="A177" s="106"/>
      <c r="B177" s="29" t="s">
        <v>194</v>
      </c>
      <c r="C177" s="15"/>
      <c r="D177" s="16" t="s">
        <v>509</v>
      </c>
      <c r="G177" s="8">
        <f t="shared" si="16"/>
        <v>0</v>
      </c>
      <c r="H177" s="8">
        <f t="shared" si="16"/>
        <v>0</v>
      </c>
      <c r="I177" s="8">
        <f t="shared" si="11"/>
        <v>0</v>
      </c>
    </row>
    <row r="178" spans="1:9">
      <c r="A178" s="106"/>
      <c r="B178" s="29" t="s">
        <v>196</v>
      </c>
      <c r="C178" s="15"/>
      <c r="D178" s="16" t="s">
        <v>510</v>
      </c>
      <c r="G178" s="8">
        <f t="shared" si="16"/>
        <v>0</v>
      </c>
      <c r="H178" s="8">
        <f t="shared" si="16"/>
        <v>0</v>
      </c>
      <c r="I178" s="8">
        <f t="shared" si="11"/>
        <v>0</v>
      </c>
    </row>
    <row r="179" spans="1:9">
      <c r="A179" s="106"/>
      <c r="B179" s="29" t="s">
        <v>190</v>
      </c>
      <c r="C179" s="15"/>
      <c r="D179" s="16" t="s">
        <v>511</v>
      </c>
      <c r="G179" s="8">
        <f t="shared" si="16"/>
        <v>0</v>
      </c>
      <c r="H179" s="8">
        <f t="shared" si="16"/>
        <v>0</v>
      </c>
      <c r="I179" s="8">
        <f t="shared" si="11"/>
        <v>0</v>
      </c>
    </row>
    <row r="180" spans="1:9">
      <c r="A180" s="106"/>
      <c r="B180" s="29" t="s">
        <v>189</v>
      </c>
      <c r="C180" s="15"/>
      <c r="D180" s="16" t="s">
        <v>512</v>
      </c>
      <c r="G180" s="8">
        <f t="shared" si="16"/>
        <v>0</v>
      </c>
      <c r="H180" s="8">
        <f t="shared" si="16"/>
        <v>0</v>
      </c>
      <c r="I180" s="8">
        <f t="shared" si="11"/>
        <v>0</v>
      </c>
    </row>
    <row r="181" spans="1:9">
      <c r="A181" s="106"/>
      <c r="B181" s="29" t="s">
        <v>186</v>
      </c>
      <c r="C181" s="15"/>
      <c r="D181" s="16" t="s">
        <v>513</v>
      </c>
      <c r="G181" s="8">
        <f t="shared" si="16"/>
        <v>0</v>
      </c>
      <c r="H181" s="8">
        <f t="shared" si="16"/>
        <v>0</v>
      </c>
      <c r="I181" s="8">
        <f t="shared" si="11"/>
        <v>0</v>
      </c>
    </row>
    <row r="182" spans="1:9">
      <c r="A182" s="106"/>
      <c r="B182" s="29" t="s">
        <v>187</v>
      </c>
      <c r="C182" s="32"/>
      <c r="D182" s="16" t="s">
        <v>514</v>
      </c>
      <c r="G182" s="8">
        <f t="shared" si="16"/>
        <v>0</v>
      </c>
      <c r="H182" s="8">
        <f t="shared" si="16"/>
        <v>0</v>
      </c>
      <c r="I182" s="8">
        <f t="shared" si="11"/>
        <v>0</v>
      </c>
    </row>
    <row r="183" spans="1:9">
      <c r="A183" s="106"/>
      <c r="B183" s="29" t="s">
        <v>191</v>
      </c>
      <c r="C183" s="32"/>
      <c r="D183" s="16" t="s">
        <v>515</v>
      </c>
      <c r="G183" s="8">
        <f t="shared" si="16"/>
        <v>0</v>
      </c>
      <c r="H183" s="8">
        <f t="shared" si="16"/>
        <v>0</v>
      </c>
      <c r="I183" s="8">
        <f t="shared" si="11"/>
        <v>0</v>
      </c>
    </row>
    <row r="184" spans="1:9" ht="15.75">
      <c r="A184" s="106"/>
      <c r="B184" s="29" t="s">
        <v>192</v>
      </c>
      <c r="C184" s="32"/>
      <c r="D184" s="16" t="s">
        <v>516</v>
      </c>
      <c r="E184" s="60">
        <v>450.48172703238902</v>
      </c>
      <c r="F184" s="60">
        <v>1731.0982799999999</v>
      </c>
      <c r="G184" s="8">
        <f t="shared" si="16"/>
        <v>1</v>
      </c>
      <c r="H184" s="8">
        <f t="shared" si="16"/>
        <v>1</v>
      </c>
      <c r="I184" s="8">
        <f t="shared" si="11"/>
        <v>1</v>
      </c>
    </row>
    <row r="185" spans="1:9">
      <c r="A185" s="106" t="s">
        <v>18</v>
      </c>
      <c r="B185" s="29" t="s">
        <v>206</v>
      </c>
      <c r="C185" s="15"/>
      <c r="D185" s="16" t="s">
        <v>517</v>
      </c>
      <c r="G185" s="8">
        <f>E185/SUM(E$185:E$193)</f>
        <v>0</v>
      </c>
      <c r="H185" s="8">
        <f>F185/SUM(F$185:F$193)</f>
        <v>0</v>
      </c>
      <c r="I185" s="8">
        <f t="shared" si="11"/>
        <v>0</v>
      </c>
    </row>
    <row r="186" spans="1:9" ht="15.75">
      <c r="A186" s="106"/>
      <c r="B186" s="29" t="s">
        <v>204</v>
      </c>
      <c r="C186" s="15"/>
      <c r="D186" s="16" t="s">
        <v>518</v>
      </c>
      <c r="E186" s="60">
        <f>291.070292570847+746.3197383</f>
        <v>1037.3900308708471</v>
      </c>
      <c r="F186" s="60">
        <f>1118.516585+2867.936118</f>
        <v>3986.4527029999999</v>
      </c>
      <c r="G186" s="8">
        <f t="shared" ref="G186:G193" si="17">E186/SUM(E$185:E$193)</f>
        <v>0.3338295080896494</v>
      </c>
      <c r="H186" s="8">
        <f t="shared" ref="H186:H193" si="18">F186/SUM(F$185:F$193)</f>
        <v>0.33223784838151332</v>
      </c>
      <c r="I186" s="8">
        <f t="shared" si="11"/>
        <v>0.33223784838151332</v>
      </c>
    </row>
    <row r="187" spans="1:9">
      <c r="A187" s="106"/>
      <c r="B187" s="29" t="s">
        <v>203</v>
      </c>
      <c r="C187" s="15"/>
      <c r="D187" s="16" t="s">
        <v>519</v>
      </c>
      <c r="G187" s="8">
        <f t="shared" si="17"/>
        <v>0</v>
      </c>
      <c r="H187" s="8">
        <f t="shared" si="18"/>
        <v>0</v>
      </c>
      <c r="I187" s="8">
        <f t="shared" si="11"/>
        <v>0</v>
      </c>
    </row>
    <row r="188" spans="1:9" ht="15.75">
      <c r="A188" s="106"/>
      <c r="B188" s="29" t="s">
        <v>205</v>
      </c>
      <c r="C188" s="15"/>
      <c r="D188" s="16" t="s">
        <v>520</v>
      </c>
      <c r="E188" s="60">
        <v>419.595055293521</v>
      </c>
      <c r="F188" s="60">
        <v>1612.407862</v>
      </c>
      <c r="G188" s="8">
        <f t="shared" si="17"/>
        <v>0.13502463561164121</v>
      </c>
      <c r="H188" s="8">
        <f t="shared" si="18"/>
        <v>0.13438085403124775</v>
      </c>
      <c r="I188" s="8">
        <f t="shared" si="11"/>
        <v>0.13438085403124775</v>
      </c>
    </row>
    <row r="189" spans="1:9" ht="15.75">
      <c r="A189" s="106"/>
      <c r="B189" s="29" t="s">
        <v>200</v>
      </c>
      <c r="C189" s="15"/>
      <c r="D189" s="16" t="s">
        <v>521</v>
      </c>
      <c r="E189" s="60">
        <f>104.211707396327+379.31393</f>
        <v>483.52563739632706</v>
      </c>
      <c r="F189" s="60">
        <f>457.6705884+1457.616708</f>
        <v>1915.2872964000001</v>
      </c>
      <c r="G189" s="8">
        <f t="shared" si="17"/>
        <v>0.15559733646683355</v>
      </c>
      <c r="H189" s="8">
        <f t="shared" si="18"/>
        <v>0.15962334882576476</v>
      </c>
      <c r="I189" s="8">
        <f t="shared" si="11"/>
        <v>0.15962334882576476</v>
      </c>
    </row>
    <row r="190" spans="1:9" ht="15.75">
      <c r="A190" s="106"/>
      <c r="B190" s="29" t="s">
        <v>202</v>
      </c>
      <c r="C190" s="15"/>
      <c r="D190" s="16" t="s">
        <v>522</v>
      </c>
      <c r="E190" s="60">
        <f>381.551770253039+230.4975504</f>
        <v>612.04932065303899</v>
      </c>
      <c r="F190" s="60">
        <f>1466.216216+885.7493859</f>
        <v>2351.9656018999999</v>
      </c>
      <c r="G190" s="8">
        <f t="shared" si="17"/>
        <v>0.19695593514494217</v>
      </c>
      <c r="H190" s="8">
        <f t="shared" si="18"/>
        <v>0.19601687245769561</v>
      </c>
      <c r="I190" s="8">
        <f t="shared" si="11"/>
        <v>0.19601687245769561</v>
      </c>
    </row>
    <row r="191" spans="1:9" ht="15.75">
      <c r="A191" s="106"/>
      <c r="B191" s="29" t="s">
        <v>201</v>
      </c>
      <c r="C191" s="15"/>
      <c r="D191" s="16" t="s">
        <v>523</v>
      </c>
      <c r="E191" s="60">
        <v>302.10843980769198</v>
      </c>
      <c r="F191" s="60">
        <v>1160.933661</v>
      </c>
      <c r="G191" s="8">
        <f t="shared" si="17"/>
        <v>9.7217737639209323E-2</v>
      </c>
      <c r="H191" s="8">
        <f t="shared" si="18"/>
        <v>9.6754214932501414E-2</v>
      </c>
      <c r="I191" s="8">
        <f t="shared" si="11"/>
        <v>9.6754214932501414E-2</v>
      </c>
    </row>
    <row r="192" spans="1:9" ht="15.75">
      <c r="A192" s="106"/>
      <c r="B192" s="29" t="s">
        <v>199</v>
      </c>
      <c r="C192" s="15"/>
      <c r="D192" s="16" t="s">
        <v>524</v>
      </c>
      <c r="E192" s="60">
        <v>252.87595327935799</v>
      </c>
      <c r="F192" s="60">
        <v>971.7444716</v>
      </c>
      <c r="G192" s="8">
        <f t="shared" si="17"/>
        <v>8.1374847047724366E-2</v>
      </c>
      <c r="H192" s="8">
        <f t="shared" si="18"/>
        <v>8.098686137127728E-2</v>
      </c>
      <c r="I192" s="8">
        <f t="shared" si="11"/>
        <v>8.098686137127728E-2</v>
      </c>
    </row>
    <row r="193" spans="1:13">
      <c r="A193" s="106"/>
      <c r="B193" s="29" t="s">
        <v>198</v>
      </c>
      <c r="C193" s="15"/>
      <c r="D193" s="16" t="s">
        <v>525</v>
      </c>
      <c r="G193" s="8">
        <f t="shared" si="17"/>
        <v>0</v>
      </c>
      <c r="H193" s="8">
        <f t="shared" si="18"/>
        <v>0</v>
      </c>
      <c r="I193" s="8">
        <f t="shared" si="11"/>
        <v>0</v>
      </c>
    </row>
    <row r="194" spans="1:13">
      <c r="A194" s="106" t="s">
        <v>19</v>
      </c>
      <c r="B194" s="29" t="s">
        <v>219</v>
      </c>
      <c r="C194" s="15"/>
      <c r="D194" s="16" t="s">
        <v>526</v>
      </c>
      <c r="G194" s="8">
        <f>E194/SUM(E$194:E$210)</f>
        <v>0</v>
      </c>
      <c r="H194" s="8">
        <f>F194/SUM(F$194:F$210)</f>
        <v>0</v>
      </c>
      <c r="I194" s="8">
        <f t="shared" si="11"/>
        <v>0</v>
      </c>
    </row>
    <row r="195" spans="1:13" ht="15.75">
      <c r="A195" s="106"/>
      <c r="B195" s="29" t="s">
        <v>210</v>
      </c>
      <c r="C195" s="15"/>
      <c r="D195" s="16" t="s">
        <v>527</v>
      </c>
      <c r="E195" s="60">
        <v>402.81125310728203</v>
      </c>
      <c r="F195" s="60">
        <v>1547.911548</v>
      </c>
      <c r="G195" s="8">
        <f t="shared" ref="G195:H210" si="19">E195/SUM(E$194:E$210)</f>
        <v>4.1976349993272342E-2</v>
      </c>
      <c r="H195" s="8">
        <f t="shared" si="19"/>
        <v>3.4332915702011017E-2</v>
      </c>
      <c r="I195" s="8">
        <f t="shared" si="11"/>
        <v>3.4332915702011017E-2</v>
      </c>
    </row>
    <row r="196" spans="1:13">
      <c r="A196" s="106"/>
      <c r="B196" s="29" t="s">
        <v>221</v>
      </c>
      <c r="C196" s="15"/>
      <c r="D196" s="16" t="s">
        <v>528</v>
      </c>
      <c r="G196" s="8">
        <f t="shared" si="19"/>
        <v>0</v>
      </c>
      <c r="H196" s="8">
        <f t="shared" si="19"/>
        <v>0</v>
      </c>
      <c r="I196" s="8">
        <f t="shared" ref="I196:I259" si="20">H196</f>
        <v>0</v>
      </c>
    </row>
    <row r="197" spans="1:13" ht="15.75">
      <c r="A197" s="106"/>
      <c r="B197" s="29" t="s">
        <v>207</v>
      </c>
      <c r="C197" s="15"/>
      <c r="D197" s="16" t="s">
        <v>529</v>
      </c>
      <c r="E197"/>
      <c r="F197"/>
      <c r="G197" s="8">
        <f t="shared" si="19"/>
        <v>0</v>
      </c>
      <c r="H197" s="8">
        <f t="shared" si="19"/>
        <v>0</v>
      </c>
      <c r="I197" s="8">
        <f t="shared" si="20"/>
        <v>0</v>
      </c>
    </row>
    <row r="198" spans="1:13" ht="15.75">
      <c r="A198" s="106"/>
      <c r="B198" s="29" t="s">
        <v>216</v>
      </c>
      <c r="C198" s="15"/>
      <c r="D198" s="16" t="s">
        <v>530</v>
      </c>
      <c r="E198"/>
      <c r="F198"/>
      <c r="G198" s="8">
        <f t="shared" si="19"/>
        <v>0</v>
      </c>
      <c r="H198" s="8">
        <f t="shared" si="19"/>
        <v>0</v>
      </c>
      <c r="I198" s="8">
        <f t="shared" si="20"/>
        <v>0</v>
      </c>
    </row>
    <row r="199" spans="1:13" ht="15.75">
      <c r="A199" s="106"/>
      <c r="B199" s="29" t="s">
        <v>218</v>
      </c>
      <c r="C199" s="15"/>
      <c r="D199" s="16" t="s">
        <v>531</v>
      </c>
      <c r="E199"/>
      <c r="F199"/>
      <c r="G199" s="8">
        <f t="shared" si="19"/>
        <v>0</v>
      </c>
      <c r="H199" s="8">
        <f t="shared" si="19"/>
        <v>0</v>
      </c>
      <c r="I199" s="8">
        <f t="shared" si="20"/>
        <v>0</v>
      </c>
      <c r="J199" s="60"/>
      <c r="K199" s="60"/>
    </row>
    <row r="200" spans="1:13" ht="15.75">
      <c r="A200" s="106"/>
      <c r="B200" s="29" t="s">
        <v>213</v>
      </c>
      <c r="C200" s="15"/>
      <c r="D200" s="16" t="s">
        <v>532</v>
      </c>
      <c r="E200">
        <v>1679.908239334899</v>
      </c>
      <c r="F200">
        <v>10244.934474000002</v>
      </c>
      <c r="G200" s="8">
        <f t="shared" si="19"/>
        <v>0.17506069075017319</v>
      </c>
      <c r="H200" s="8">
        <f t="shared" si="19"/>
        <v>0.22723421898553381</v>
      </c>
      <c r="I200" s="8">
        <f t="shared" si="20"/>
        <v>0.22723421898553381</v>
      </c>
      <c r="J200" s="60"/>
      <c r="K200" s="60"/>
    </row>
    <row r="201" spans="1:13" ht="15.75">
      <c r="A201" s="106"/>
      <c r="B201" s="29" t="s">
        <v>220</v>
      </c>
      <c r="C201" s="15"/>
      <c r="D201" s="16" t="s">
        <v>533</v>
      </c>
      <c r="E201" s="60">
        <v>1197.2445572875099</v>
      </c>
      <c r="F201" s="60">
        <v>4600.7370989999999</v>
      </c>
      <c r="G201" s="8">
        <f t="shared" si="19"/>
        <v>0.12476304019951519</v>
      </c>
      <c r="H201" s="8">
        <f t="shared" si="19"/>
        <v>0.1020450549588391</v>
      </c>
      <c r="I201" s="8">
        <f t="shared" si="20"/>
        <v>0.1020450549588391</v>
      </c>
    </row>
    <row r="202" spans="1:13" ht="15.75">
      <c r="A202" s="106"/>
      <c r="B202" s="29" t="s">
        <v>208</v>
      </c>
      <c r="C202" s="15"/>
      <c r="D202" s="16" t="s">
        <v>534</v>
      </c>
      <c r="E202"/>
      <c r="F202"/>
      <c r="G202" s="8">
        <f t="shared" si="19"/>
        <v>0</v>
      </c>
      <c r="H202" s="8">
        <f t="shared" si="19"/>
        <v>0</v>
      </c>
      <c r="I202" s="8">
        <f t="shared" si="20"/>
        <v>0</v>
      </c>
    </row>
    <row r="203" spans="1:13" ht="15.75">
      <c r="A203" s="106"/>
      <c r="B203" s="29" t="s">
        <v>211</v>
      </c>
      <c r="C203" s="15"/>
      <c r="D203" s="16" t="s">
        <v>535</v>
      </c>
      <c r="E203"/>
      <c r="F203"/>
      <c r="G203" s="8">
        <f t="shared" si="19"/>
        <v>0</v>
      </c>
      <c r="H203" s="8">
        <f t="shared" si="19"/>
        <v>0</v>
      </c>
      <c r="I203" s="8">
        <f t="shared" si="20"/>
        <v>0</v>
      </c>
      <c r="J203" s="60"/>
    </row>
    <row r="204" spans="1:13" ht="15.75">
      <c r="A204" s="106"/>
      <c r="B204" s="29" t="s">
        <v>223</v>
      </c>
      <c r="C204" s="15"/>
      <c r="D204" s="16" t="s">
        <v>536</v>
      </c>
      <c r="E204" s="65">
        <v>1008.113211</v>
      </c>
      <c r="F204" s="65">
        <v>7737.00306</v>
      </c>
      <c r="G204" s="8">
        <f t="shared" si="19"/>
        <v>0.10505394934065361</v>
      </c>
      <c r="H204" s="8">
        <f t="shared" si="19"/>
        <v>0.17160791531557285</v>
      </c>
      <c r="I204" s="8">
        <f t="shared" si="20"/>
        <v>0.17160791531557285</v>
      </c>
      <c r="J204" s="60"/>
    </row>
    <row r="205" spans="1:13" ht="15.75">
      <c r="A205" s="106"/>
      <c r="B205" s="29" t="s">
        <v>222</v>
      </c>
      <c r="C205" s="15"/>
      <c r="D205" s="16" t="s">
        <v>537</v>
      </c>
      <c r="E205">
        <f>1805.93711747982+2237.840295</f>
        <v>4043.7774124798198</v>
      </c>
      <c r="F205">
        <f>6939.803438+8599.5086</f>
        <v>15539.312038</v>
      </c>
      <c r="G205" s="8">
        <f t="shared" si="19"/>
        <v>0.42139591347497413</v>
      </c>
      <c r="H205" s="8">
        <f t="shared" si="19"/>
        <v>0.3446643259152809</v>
      </c>
      <c r="I205" s="8">
        <f t="shared" si="20"/>
        <v>0.3446643259152809</v>
      </c>
    </row>
    <row r="206" spans="1:13">
      <c r="A206" s="106"/>
      <c r="B206" s="29" t="s">
        <v>217</v>
      </c>
      <c r="C206" s="15"/>
      <c r="D206" s="16" t="s">
        <v>538</v>
      </c>
      <c r="E206" s="3">
        <v>1264.292994985595</v>
      </c>
      <c r="F206" s="3">
        <v>5415.452569</v>
      </c>
      <c r="G206" s="8">
        <f>E206/SUM(E$194:E$210)</f>
        <v>0.13175005624141148</v>
      </c>
      <c r="H206" s="8">
        <f>F206/SUM(F$194:F$210)</f>
        <v>0.12011556912276229</v>
      </c>
      <c r="I206" s="8">
        <f t="shared" si="20"/>
        <v>0.12011556912276229</v>
      </c>
    </row>
    <row r="207" spans="1:13" ht="15.75">
      <c r="A207" s="106"/>
      <c r="B207" s="29" t="s">
        <v>209</v>
      </c>
      <c r="C207" s="15"/>
      <c r="D207" s="16" t="s">
        <v>539</v>
      </c>
      <c r="E207"/>
      <c r="F207"/>
      <c r="G207" s="8">
        <f t="shared" si="19"/>
        <v>0</v>
      </c>
      <c r="H207" s="8">
        <f t="shared" si="19"/>
        <v>0</v>
      </c>
      <c r="I207" s="8">
        <f t="shared" si="20"/>
        <v>0</v>
      </c>
      <c r="L207" s="60"/>
      <c r="M207" s="60"/>
    </row>
    <row r="208" spans="1:13" ht="15.75">
      <c r="A208" s="106"/>
      <c r="B208" s="29" t="s">
        <v>212</v>
      </c>
      <c r="C208" s="15"/>
      <c r="D208" s="16" t="s">
        <v>540</v>
      </c>
      <c r="E208"/>
      <c r="F208"/>
      <c r="G208" s="8">
        <f t="shared" si="19"/>
        <v>0</v>
      </c>
      <c r="H208" s="8">
        <f t="shared" si="19"/>
        <v>0</v>
      </c>
      <c r="I208" s="8">
        <f t="shared" si="20"/>
        <v>0</v>
      </c>
      <c r="L208" s="60"/>
      <c r="M208" s="60"/>
    </row>
    <row r="209" spans="1:11">
      <c r="A209" s="106"/>
      <c r="B209" s="29" t="s">
        <v>214</v>
      </c>
      <c r="C209" s="15"/>
      <c r="D209" s="16" t="s">
        <v>541</v>
      </c>
      <c r="G209" s="8">
        <f t="shared" si="19"/>
        <v>0</v>
      </c>
      <c r="H209" s="8">
        <f t="shared" si="19"/>
        <v>0</v>
      </c>
      <c r="I209" s="8">
        <f t="shared" si="20"/>
        <v>0</v>
      </c>
    </row>
    <row r="210" spans="1:11">
      <c r="A210" s="106"/>
      <c r="B210" s="29" t="s">
        <v>215</v>
      </c>
      <c r="C210" s="32"/>
      <c r="D210" s="16" t="s">
        <v>542</v>
      </c>
      <c r="G210" s="8">
        <f t="shared" si="19"/>
        <v>0</v>
      </c>
      <c r="H210" s="8">
        <f t="shared" si="19"/>
        <v>0</v>
      </c>
      <c r="I210" s="8">
        <f t="shared" si="20"/>
        <v>0</v>
      </c>
    </row>
    <row r="211" spans="1:11">
      <c r="A211" s="106" t="s">
        <v>20</v>
      </c>
      <c r="B211" s="29" t="s">
        <v>226</v>
      </c>
      <c r="C211" s="15"/>
      <c r="D211" s="16" t="s">
        <v>543</v>
      </c>
      <c r="G211" s="8">
        <f>E211/SUM(E$211:E$217)</f>
        <v>0</v>
      </c>
      <c r="H211" s="8">
        <f>F211/SUM(F$211:F$217)</f>
        <v>0</v>
      </c>
      <c r="I211" s="8">
        <f t="shared" si="20"/>
        <v>0</v>
      </c>
    </row>
    <row r="212" spans="1:11" ht="15.75">
      <c r="A212" s="106"/>
      <c r="B212" s="29" t="s">
        <v>225</v>
      </c>
      <c r="C212" s="15"/>
      <c r="D212" s="16" t="s">
        <v>544</v>
      </c>
      <c r="E212" s="60">
        <v>414.00045450405503</v>
      </c>
      <c r="F212" s="60">
        <v>1590.909091</v>
      </c>
      <c r="G212" s="8">
        <f t="shared" ref="G212:H217" si="21">E212/SUM(E$211:E$217)</f>
        <v>8.516174907826643E-2</v>
      </c>
      <c r="H212" s="8">
        <f t="shared" si="21"/>
        <v>8.057429156412399E-2</v>
      </c>
      <c r="I212" s="8">
        <f t="shared" si="20"/>
        <v>8.057429156412399E-2</v>
      </c>
      <c r="J212" s="60"/>
      <c r="K212" s="60"/>
    </row>
    <row r="213" spans="1:11" ht="15.75">
      <c r="A213" s="106"/>
      <c r="B213" s="29" t="s">
        <v>228</v>
      </c>
      <c r="C213" s="15"/>
      <c r="D213" s="16" t="s">
        <v>545</v>
      </c>
      <c r="E213" s="60">
        <f>1397.51895611132+364.4150217</f>
        <v>1761.9339778113199</v>
      </c>
      <c r="F213" s="60">
        <f>5370.345824+2463.958767</f>
        <v>7834.3045910000001</v>
      </c>
      <c r="G213" s="8">
        <f t="shared" si="21"/>
        <v>0.36243771638026012</v>
      </c>
      <c r="H213" s="8">
        <f t="shared" si="21"/>
        <v>0.39678165514825708</v>
      </c>
      <c r="I213" s="8">
        <f t="shared" si="20"/>
        <v>0.39678165514825708</v>
      </c>
      <c r="J213" s="60"/>
      <c r="K213" s="60"/>
    </row>
    <row r="214" spans="1:11">
      <c r="A214" s="106"/>
      <c r="B214" s="29" t="s">
        <v>224</v>
      </c>
      <c r="C214" s="15"/>
      <c r="D214" s="16" t="s">
        <v>546</v>
      </c>
      <c r="E214" s="3">
        <v>2685.4083534413503</v>
      </c>
      <c r="F214" s="3">
        <v>10319.410318</v>
      </c>
      <c r="G214" s="8">
        <f t="shared" si="21"/>
        <v>0.55240053454147331</v>
      </c>
      <c r="H214" s="8">
        <f t="shared" si="21"/>
        <v>0.52264405328761898</v>
      </c>
      <c r="I214" s="8">
        <f t="shared" si="20"/>
        <v>0.52264405328761898</v>
      </c>
    </row>
    <row r="215" spans="1:11">
      <c r="A215" s="106"/>
      <c r="B215" s="29" t="s">
        <v>227</v>
      </c>
      <c r="C215" s="32"/>
      <c r="D215" s="16" t="s">
        <v>547</v>
      </c>
      <c r="G215" s="8">
        <f t="shared" si="21"/>
        <v>0</v>
      </c>
      <c r="H215" s="8">
        <f t="shared" si="21"/>
        <v>0</v>
      </c>
      <c r="I215" s="8">
        <f t="shared" si="20"/>
        <v>0</v>
      </c>
    </row>
    <row r="216" spans="1:11">
      <c r="A216" s="106"/>
      <c r="B216" s="29" t="s">
        <v>548</v>
      </c>
      <c r="C216" s="15"/>
      <c r="D216" s="16" t="s">
        <v>549</v>
      </c>
      <c r="G216" s="8">
        <f t="shared" si="21"/>
        <v>0</v>
      </c>
      <c r="H216" s="8">
        <f t="shared" si="21"/>
        <v>0</v>
      </c>
      <c r="I216" s="8">
        <f t="shared" si="20"/>
        <v>0</v>
      </c>
    </row>
    <row r="217" spans="1:11">
      <c r="A217" s="106"/>
      <c r="B217" s="29" t="s">
        <v>550</v>
      </c>
      <c r="C217" s="15"/>
      <c r="D217" s="16" t="s">
        <v>551</v>
      </c>
      <c r="G217" s="8">
        <f t="shared" si="21"/>
        <v>0</v>
      </c>
      <c r="H217" s="8">
        <f t="shared" si="21"/>
        <v>0</v>
      </c>
      <c r="I217" s="8">
        <f t="shared" si="20"/>
        <v>0</v>
      </c>
    </row>
    <row r="218" spans="1:11">
      <c r="A218" s="106" t="s">
        <v>21</v>
      </c>
      <c r="B218" s="29" t="s">
        <v>231</v>
      </c>
      <c r="C218" s="15"/>
      <c r="D218" s="16" t="s">
        <v>552</v>
      </c>
      <c r="E218" s="63">
        <v>1054.0227786437599</v>
      </c>
      <c r="F218" s="63">
        <v>4050.3685500000001</v>
      </c>
      <c r="G218" s="8">
        <f>E218/SUM(E$218:E$225)</f>
        <v>0.18279339744569542</v>
      </c>
      <c r="H218" s="8">
        <f>F218/SUM(F$218:F$225)</f>
        <v>0.18279339745832973</v>
      </c>
      <c r="I218" s="8">
        <f t="shared" si="20"/>
        <v>0.18279339745832973</v>
      </c>
    </row>
    <row r="219" spans="1:11">
      <c r="A219" s="106"/>
      <c r="B219" s="29" t="s">
        <v>236</v>
      </c>
      <c r="C219" s="15"/>
      <c r="D219" s="16" t="s">
        <v>553</v>
      </c>
      <c r="E219" s="63">
        <v>945.48752449393805</v>
      </c>
      <c r="F219" s="63">
        <v>3633.292383</v>
      </c>
      <c r="G219" s="8">
        <f t="shared" ref="G219:H225" si="22">E219/SUM(E$218:E$225)</f>
        <v>0.16397072278376257</v>
      </c>
      <c r="H219" s="8">
        <f t="shared" si="22"/>
        <v>0.16397072277485489</v>
      </c>
      <c r="I219" s="8">
        <f t="shared" si="20"/>
        <v>0.16397072277485489</v>
      </c>
    </row>
    <row r="220" spans="1:11" ht="15.75">
      <c r="A220" s="106"/>
      <c r="B220" s="29" t="s">
        <v>232</v>
      </c>
      <c r="C220" s="15"/>
      <c r="D220" s="16" t="s">
        <v>554</v>
      </c>
      <c r="E220" s="60">
        <v>635.94833604048995</v>
      </c>
      <c r="F220" s="60">
        <v>2443.8040540000002</v>
      </c>
      <c r="G220" s="8">
        <f t="shared" si="22"/>
        <v>0.11028903672684984</v>
      </c>
      <c r="H220" s="8">
        <f t="shared" si="22"/>
        <v>0.11028903672311487</v>
      </c>
      <c r="I220" s="8">
        <f t="shared" si="20"/>
        <v>0.11028903672311487</v>
      </c>
    </row>
    <row r="221" spans="1:11">
      <c r="A221" s="106"/>
      <c r="B221" s="29" t="s">
        <v>230</v>
      </c>
      <c r="C221" s="15"/>
      <c r="D221" s="16" t="s">
        <v>555</v>
      </c>
      <c r="E221" s="64">
        <v>949.96320519999995</v>
      </c>
      <c r="F221" s="64">
        <v>3650.4914010000002</v>
      </c>
      <c r="G221" s="8">
        <f t="shared" si="22"/>
        <v>0.16474691557458243</v>
      </c>
      <c r="H221" s="8">
        <f t="shared" si="22"/>
        <v>0.16474691558159762</v>
      </c>
      <c r="I221" s="8">
        <f t="shared" si="20"/>
        <v>0.16474691558159762</v>
      </c>
    </row>
    <row r="222" spans="1:11">
      <c r="A222" s="106"/>
      <c r="B222" s="29" t="s">
        <v>234</v>
      </c>
      <c r="C222" s="15"/>
      <c r="D222" s="16" t="s">
        <v>556</v>
      </c>
      <c r="E222" s="3">
        <v>1643.693696406905</v>
      </c>
      <c r="F222" s="3">
        <v>6316.3390659999995</v>
      </c>
      <c r="G222" s="8">
        <f t="shared" si="22"/>
        <v>0.2850567949896653</v>
      </c>
      <c r="H222" s="8">
        <f t="shared" si="22"/>
        <v>0.28505679498546199</v>
      </c>
      <c r="I222" s="8">
        <f t="shared" si="20"/>
        <v>0.28505679498546199</v>
      </c>
    </row>
    <row r="223" spans="1:11">
      <c r="A223" s="106"/>
      <c r="B223" s="29" t="s">
        <v>233</v>
      </c>
      <c r="C223" s="15"/>
      <c r="D223" s="16" t="s">
        <v>557</v>
      </c>
      <c r="G223" s="8">
        <f t="shared" si="22"/>
        <v>0</v>
      </c>
      <c r="H223" s="8">
        <f t="shared" si="22"/>
        <v>0</v>
      </c>
      <c r="I223" s="8">
        <f t="shared" si="20"/>
        <v>0</v>
      </c>
    </row>
    <row r="224" spans="1:11">
      <c r="A224" s="106"/>
      <c r="B224" s="29" t="s">
        <v>229</v>
      </c>
      <c r="C224" s="15"/>
      <c r="D224" s="16" t="s">
        <v>558</v>
      </c>
      <c r="G224" s="8">
        <f t="shared" si="22"/>
        <v>0</v>
      </c>
      <c r="H224" s="8">
        <f t="shared" si="22"/>
        <v>0</v>
      </c>
      <c r="I224" s="8">
        <f t="shared" si="20"/>
        <v>0</v>
      </c>
    </row>
    <row r="225" spans="1:11">
      <c r="A225" s="106"/>
      <c r="B225" s="29" t="s">
        <v>235</v>
      </c>
      <c r="C225" s="15"/>
      <c r="D225" s="16" t="s">
        <v>559</v>
      </c>
      <c r="E225" s="63">
        <v>537.08167077935002</v>
      </c>
      <c r="F225" s="63">
        <v>2063.8820639999999</v>
      </c>
      <c r="G225" s="8">
        <f t="shared" si="22"/>
        <v>9.3143132479444432E-2</v>
      </c>
      <c r="H225" s="8">
        <f t="shared" si="22"/>
        <v>9.3143132476640897E-2</v>
      </c>
      <c r="I225" s="8">
        <f t="shared" si="20"/>
        <v>9.3143132476640897E-2</v>
      </c>
    </row>
    <row r="226" spans="1:11">
      <c r="A226" s="106" t="s">
        <v>22</v>
      </c>
      <c r="B226" s="29" t="s">
        <v>237</v>
      </c>
      <c r="C226" s="15"/>
      <c r="D226" s="16" t="s">
        <v>560</v>
      </c>
      <c r="E226" s="64">
        <v>13.358787639999999</v>
      </c>
      <c r="F226" s="64">
        <v>51.334766600000002</v>
      </c>
      <c r="G226" s="8">
        <f>E226/SUM(E$226:E$227)</f>
        <v>2.0480702096663424E-2</v>
      </c>
      <c r="H226" s="8">
        <f>F226/SUM(F$226:F$227)</f>
        <v>2.0480702104733101E-2</v>
      </c>
      <c r="I226" s="8">
        <f t="shared" si="20"/>
        <v>2.0480702104733101E-2</v>
      </c>
    </row>
    <row r="227" spans="1:11">
      <c r="A227" s="106"/>
      <c r="B227" s="29" t="s">
        <v>238</v>
      </c>
      <c r="C227" s="15"/>
      <c r="D227" s="16" t="s">
        <v>561</v>
      </c>
      <c r="E227" s="63">
        <v>638.90340420040195</v>
      </c>
      <c r="F227" s="63">
        <v>2455.159705</v>
      </c>
      <c r="G227" s="8">
        <f>E227/SUM(E$226:E$227)</f>
        <v>0.97951929790333669</v>
      </c>
      <c r="H227" s="8">
        <f>F227/SUM(F$226:F$227)</f>
        <v>0.97951929789526693</v>
      </c>
      <c r="I227" s="8">
        <f t="shared" si="20"/>
        <v>0.97951929789526693</v>
      </c>
    </row>
    <row r="228" spans="1:11" ht="15.75">
      <c r="A228" s="106" t="s">
        <v>23</v>
      </c>
      <c r="B228" s="29" t="s">
        <v>241</v>
      </c>
      <c r="C228" s="15"/>
      <c r="D228" s="16" t="s">
        <v>562</v>
      </c>
      <c r="E228" s="60">
        <v>897.373958269225</v>
      </c>
      <c r="F228" s="60">
        <v>3448.4029489999998</v>
      </c>
      <c r="G228" s="8">
        <f>E228/SUM(E$228:E$231)</f>
        <v>0.44068361532875006</v>
      </c>
      <c r="H228" s="8">
        <f>F228/SUM(F$228:F$231)</f>
        <v>0.41457523466818191</v>
      </c>
      <c r="I228" s="8">
        <f t="shared" si="20"/>
        <v>0.41457523466818191</v>
      </c>
      <c r="J228" s="60"/>
      <c r="K228" s="60"/>
    </row>
    <row r="229" spans="1:11" ht="15.75">
      <c r="A229" s="106"/>
      <c r="B229" s="29" t="s">
        <v>239</v>
      </c>
      <c r="C229" s="15"/>
      <c r="D229" s="16" t="s">
        <v>563</v>
      </c>
      <c r="E229" s="3">
        <v>970.10376789472605</v>
      </c>
      <c r="F229" s="3">
        <v>3727.8869780000005</v>
      </c>
      <c r="G229" s="8">
        <f t="shared" ref="G229:H231" si="23">E229/SUM(E$228:E$231)</f>
        <v>0.47639986846111676</v>
      </c>
      <c r="H229" s="8">
        <f t="shared" si="23"/>
        <v>0.44817547182790379</v>
      </c>
      <c r="I229" s="8">
        <f t="shared" si="20"/>
        <v>0.44817547182790379</v>
      </c>
      <c r="J229" s="60"/>
      <c r="K229" s="60"/>
    </row>
    <row r="230" spans="1:11">
      <c r="A230" s="106"/>
      <c r="B230" s="29" t="s">
        <v>242</v>
      </c>
      <c r="C230" s="15"/>
      <c r="D230" s="16" t="s">
        <v>564</v>
      </c>
      <c r="G230" s="8">
        <f t="shared" si="23"/>
        <v>0</v>
      </c>
      <c r="H230" s="8">
        <f t="shared" si="23"/>
        <v>0</v>
      </c>
      <c r="I230" s="8">
        <f t="shared" si="20"/>
        <v>0</v>
      </c>
    </row>
    <row r="231" spans="1:11" ht="15.75">
      <c r="A231" s="106"/>
      <c r="B231" s="29" t="s">
        <v>240</v>
      </c>
      <c r="C231" s="15"/>
      <c r="D231" s="16" t="s">
        <v>565</v>
      </c>
      <c r="E231" s="60">
        <v>168.844767014707</v>
      </c>
      <c r="F231" s="60">
        <v>1141.628416</v>
      </c>
      <c r="G231" s="8">
        <f t="shared" si="23"/>
        <v>8.291651621013317E-2</v>
      </c>
      <c r="H231" s="8">
        <f t="shared" si="23"/>
        <v>0.13724929350391438</v>
      </c>
      <c r="I231" s="8">
        <f t="shared" si="20"/>
        <v>0.13724929350391438</v>
      </c>
    </row>
    <row r="232" spans="1:11">
      <c r="A232" s="106" t="s">
        <v>24</v>
      </c>
      <c r="B232" s="29" t="s">
        <v>243</v>
      </c>
      <c r="C232" s="15"/>
      <c r="D232" s="16" t="s">
        <v>566</v>
      </c>
      <c r="G232" s="8">
        <f>E232/SUM(E$232:E$236)</f>
        <v>0</v>
      </c>
      <c r="H232" s="8">
        <f>F232/SUM(F$232:F$236)</f>
        <v>0</v>
      </c>
      <c r="I232" s="8">
        <f t="shared" si="20"/>
        <v>0</v>
      </c>
    </row>
    <row r="233" spans="1:11">
      <c r="A233" s="106"/>
      <c r="B233" s="29" t="s">
        <v>245</v>
      </c>
      <c r="C233" s="15"/>
      <c r="D233" s="16" t="s">
        <v>567</v>
      </c>
      <c r="G233" s="8">
        <f t="shared" ref="G233:H236" si="24">E233/SUM(E$232:E$236)</f>
        <v>0</v>
      </c>
      <c r="H233" s="8">
        <f t="shared" si="24"/>
        <v>0</v>
      </c>
      <c r="I233" s="8">
        <f t="shared" si="20"/>
        <v>0</v>
      </c>
    </row>
    <row r="234" spans="1:11">
      <c r="A234" s="106"/>
      <c r="B234" s="29" t="s">
        <v>244</v>
      </c>
      <c r="C234" s="15"/>
      <c r="D234" s="16" t="s">
        <v>568</v>
      </c>
      <c r="E234" s="3">
        <v>822.61093583268803</v>
      </c>
      <c r="F234" s="3">
        <v>3925.8818620000002</v>
      </c>
      <c r="G234" s="8">
        <f t="shared" si="24"/>
        <v>1</v>
      </c>
      <c r="H234" s="8">
        <f t="shared" si="24"/>
        <v>1</v>
      </c>
      <c r="I234" s="8">
        <f t="shared" si="20"/>
        <v>1</v>
      </c>
    </row>
    <row r="235" spans="1:11">
      <c r="A235" s="106"/>
      <c r="B235" s="29" t="s">
        <v>246</v>
      </c>
      <c r="C235" s="15"/>
      <c r="D235" s="16" t="s">
        <v>569</v>
      </c>
      <c r="G235" s="8">
        <f t="shared" si="24"/>
        <v>0</v>
      </c>
      <c r="H235" s="8">
        <f t="shared" si="24"/>
        <v>0</v>
      </c>
      <c r="I235" s="8">
        <f t="shared" si="20"/>
        <v>0</v>
      </c>
    </row>
    <row r="236" spans="1:11">
      <c r="A236" s="106"/>
      <c r="B236" s="29" t="s">
        <v>570</v>
      </c>
      <c r="C236" s="15"/>
      <c r="D236" s="16" t="s">
        <v>571</v>
      </c>
      <c r="G236" s="8">
        <f t="shared" si="24"/>
        <v>0</v>
      </c>
      <c r="H236" s="8">
        <f t="shared" si="24"/>
        <v>0</v>
      </c>
      <c r="I236" s="8">
        <f t="shared" si="20"/>
        <v>0</v>
      </c>
    </row>
    <row r="237" spans="1:11">
      <c r="A237" s="106" t="s">
        <v>25</v>
      </c>
      <c r="B237" s="29" t="s">
        <v>247</v>
      </c>
      <c r="C237" s="15"/>
      <c r="D237" s="16" t="s">
        <v>572</v>
      </c>
      <c r="G237" s="8">
        <f>E237/SUM(E$237:E$244)</f>
        <v>0</v>
      </c>
      <c r="H237" s="8">
        <f>F237/SUM(F$237:F$244)</f>
        <v>0</v>
      </c>
      <c r="I237" s="8">
        <f t="shared" si="20"/>
        <v>0</v>
      </c>
    </row>
    <row r="238" spans="1:11">
      <c r="A238" s="106"/>
      <c r="B238" s="29" t="s">
        <v>248</v>
      </c>
      <c r="C238" s="15"/>
      <c r="D238" s="16" t="s">
        <v>573</v>
      </c>
      <c r="G238" s="8">
        <f t="shared" ref="G238:H244" si="25">E238/SUM(E$237:E$244)</f>
        <v>0</v>
      </c>
      <c r="H238" s="8">
        <f t="shared" si="25"/>
        <v>0</v>
      </c>
      <c r="I238" s="8">
        <f t="shared" si="20"/>
        <v>0</v>
      </c>
    </row>
    <row r="239" spans="1:11">
      <c r="A239" s="106"/>
      <c r="B239" s="29" t="s">
        <v>252</v>
      </c>
      <c r="C239" s="15"/>
      <c r="D239" s="16" t="s">
        <v>574</v>
      </c>
      <c r="E239" s="3">
        <v>2248.7363390850387</v>
      </c>
      <c r="F239" s="3">
        <v>8641.3796070000008</v>
      </c>
      <c r="G239" s="8">
        <f t="shared" si="25"/>
        <v>0.85433078897883397</v>
      </c>
      <c r="H239" s="8">
        <f t="shared" si="25"/>
        <v>0.85433078898891524</v>
      </c>
      <c r="I239" s="8">
        <f t="shared" si="20"/>
        <v>0.85433078898891524</v>
      </c>
    </row>
    <row r="240" spans="1:11">
      <c r="A240" s="106"/>
      <c r="B240" s="29" t="s">
        <v>254</v>
      </c>
      <c r="C240" s="15"/>
      <c r="D240" s="16" t="s">
        <v>575</v>
      </c>
      <c r="G240" s="8">
        <f t="shared" si="25"/>
        <v>0</v>
      </c>
      <c r="H240" s="8">
        <f t="shared" si="25"/>
        <v>0</v>
      </c>
      <c r="I240" s="8">
        <f t="shared" si="20"/>
        <v>0</v>
      </c>
    </row>
    <row r="241" spans="1:9">
      <c r="A241" s="106"/>
      <c r="B241" s="29" t="s">
        <v>251</v>
      </c>
      <c r="C241" s="32"/>
      <c r="D241" s="16" t="s">
        <v>576</v>
      </c>
      <c r="E241" s="63">
        <v>383.42484261943002</v>
      </c>
      <c r="F241" s="63">
        <v>1473.4140050000001</v>
      </c>
      <c r="G241" s="8">
        <f t="shared" si="25"/>
        <v>0.14566921102116603</v>
      </c>
      <c r="H241" s="8">
        <f t="shared" si="25"/>
        <v>0.14566921101108474</v>
      </c>
      <c r="I241" s="8">
        <f t="shared" si="20"/>
        <v>0.14566921101108474</v>
      </c>
    </row>
    <row r="242" spans="1:9">
      <c r="A242" s="106"/>
      <c r="B242" s="29" t="s">
        <v>253</v>
      </c>
      <c r="C242" s="15"/>
      <c r="D242" s="16" t="s">
        <v>577</v>
      </c>
      <c r="G242" s="8">
        <f t="shared" si="25"/>
        <v>0</v>
      </c>
      <c r="H242" s="8">
        <f t="shared" si="25"/>
        <v>0</v>
      </c>
      <c r="I242" s="8">
        <f t="shared" si="20"/>
        <v>0</v>
      </c>
    </row>
    <row r="243" spans="1:9">
      <c r="A243" s="106"/>
      <c r="B243" s="29" t="s">
        <v>250</v>
      </c>
      <c r="C243" s="15"/>
      <c r="D243" s="16" t="s">
        <v>578</v>
      </c>
      <c r="G243" s="8">
        <f t="shared" si="25"/>
        <v>0</v>
      </c>
      <c r="H243" s="8">
        <f t="shared" si="25"/>
        <v>0</v>
      </c>
      <c r="I243" s="8">
        <f t="shared" si="20"/>
        <v>0</v>
      </c>
    </row>
    <row r="244" spans="1:9">
      <c r="A244" s="106"/>
      <c r="B244" s="29" t="s">
        <v>249</v>
      </c>
      <c r="C244" s="15"/>
      <c r="D244" s="16" t="s">
        <v>579</v>
      </c>
      <c r="G244" s="8">
        <f t="shared" si="25"/>
        <v>0</v>
      </c>
      <c r="H244" s="8">
        <f t="shared" si="25"/>
        <v>0</v>
      </c>
      <c r="I244" s="8">
        <f t="shared" si="20"/>
        <v>0</v>
      </c>
    </row>
    <row r="245" spans="1:9">
      <c r="A245" s="106" t="s">
        <v>26</v>
      </c>
      <c r="B245" s="29" t="s">
        <v>294</v>
      </c>
      <c r="C245" s="32"/>
      <c r="D245" s="16" t="s">
        <v>580</v>
      </c>
      <c r="G245" s="8">
        <f>E245/SUM(E$245:E$285)</f>
        <v>0</v>
      </c>
      <c r="H245" s="8">
        <f>F245/SUM(F$245:F$285)</f>
        <v>0</v>
      </c>
      <c r="I245" s="8">
        <f t="shared" si="20"/>
        <v>0</v>
      </c>
    </row>
    <row r="246" spans="1:9" ht="29.25">
      <c r="A246" s="106"/>
      <c r="B246" s="29" t="s">
        <v>268</v>
      </c>
      <c r="C246" s="15"/>
      <c r="D246" s="16" t="s">
        <v>581</v>
      </c>
      <c r="G246" s="8">
        <f t="shared" ref="G246:H285" si="26">E246/SUM(E$245:E$285)</f>
        <v>0</v>
      </c>
      <c r="H246" s="8">
        <f t="shared" si="26"/>
        <v>0</v>
      </c>
      <c r="I246" s="8">
        <f t="shared" si="20"/>
        <v>0</v>
      </c>
    </row>
    <row r="247" spans="1:9">
      <c r="A247" s="106"/>
      <c r="B247" s="29" t="s">
        <v>280</v>
      </c>
      <c r="C247" s="15"/>
      <c r="D247" s="16" t="s">
        <v>582</v>
      </c>
      <c r="G247" s="8">
        <f t="shared" si="26"/>
        <v>0</v>
      </c>
      <c r="H247" s="8">
        <f t="shared" si="26"/>
        <v>0</v>
      </c>
      <c r="I247" s="8">
        <f t="shared" si="20"/>
        <v>0</v>
      </c>
    </row>
    <row r="248" spans="1:9">
      <c r="A248" s="106"/>
      <c r="B248" s="29" t="s">
        <v>270</v>
      </c>
      <c r="C248" s="15"/>
      <c r="D248" s="16" t="s">
        <v>583</v>
      </c>
      <c r="G248" s="8">
        <f t="shared" si="26"/>
        <v>0</v>
      </c>
      <c r="H248" s="8">
        <f t="shared" si="26"/>
        <v>0</v>
      </c>
      <c r="I248" s="8">
        <f t="shared" si="20"/>
        <v>0</v>
      </c>
    </row>
    <row r="249" spans="1:9" ht="15.75">
      <c r="A249" s="106"/>
      <c r="B249" s="29" t="s">
        <v>285</v>
      </c>
      <c r="C249" s="15"/>
      <c r="D249" s="16" t="s">
        <v>584</v>
      </c>
      <c r="E249" s="60">
        <v>657.11718636234502</v>
      </c>
      <c r="F249" s="60">
        <v>2525.1511059999998</v>
      </c>
      <c r="G249" s="8">
        <f t="shared" si="26"/>
        <v>0.1100627676029277</v>
      </c>
      <c r="H249" s="8">
        <f t="shared" si="26"/>
        <v>9.8023776010855657E-2</v>
      </c>
      <c r="I249" s="8">
        <f t="shared" si="20"/>
        <v>9.8023776010855657E-2</v>
      </c>
    </row>
    <row r="250" spans="1:9">
      <c r="A250" s="106"/>
      <c r="B250" s="29" t="s">
        <v>264</v>
      </c>
      <c r="C250" s="15"/>
      <c r="D250" s="16" t="s">
        <v>585</v>
      </c>
      <c r="G250" s="8">
        <f t="shared" si="26"/>
        <v>0</v>
      </c>
      <c r="H250" s="8">
        <f t="shared" si="26"/>
        <v>0</v>
      </c>
      <c r="I250" s="8">
        <f t="shared" si="20"/>
        <v>0</v>
      </c>
    </row>
    <row r="251" spans="1:9">
      <c r="A251" s="106"/>
      <c r="B251" s="29" t="s">
        <v>269</v>
      </c>
      <c r="C251" s="15"/>
      <c r="D251" s="16" t="s">
        <v>586</v>
      </c>
      <c r="G251" s="8">
        <f t="shared" si="26"/>
        <v>0</v>
      </c>
      <c r="H251" s="8">
        <f t="shared" si="26"/>
        <v>0</v>
      </c>
      <c r="I251" s="8">
        <f t="shared" si="20"/>
        <v>0</v>
      </c>
    </row>
    <row r="252" spans="1:9" ht="29.25">
      <c r="A252" s="106"/>
      <c r="B252" s="29" t="s">
        <v>277</v>
      </c>
      <c r="C252" s="15"/>
      <c r="D252" s="16" t="s">
        <v>587</v>
      </c>
      <c r="E252" s="60">
        <v>492.739054861574</v>
      </c>
      <c r="F252" s="60">
        <v>2163.9811759999998</v>
      </c>
      <c r="G252" s="8">
        <f t="shared" si="26"/>
        <v>8.2530521510680951E-2</v>
      </c>
      <c r="H252" s="8">
        <f t="shared" si="26"/>
        <v>8.4003529762599491E-2</v>
      </c>
      <c r="I252" s="8">
        <f t="shared" si="20"/>
        <v>8.4003529762599491E-2</v>
      </c>
    </row>
    <row r="253" spans="1:9">
      <c r="A253" s="106"/>
      <c r="B253" s="29" t="s">
        <v>295</v>
      </c>
      <c r="C253" s="15"/>
      <c r="D253" s="16" t="s">
        <v>588</v>
      </c>
      <c r="G253" s="8">
        <f t="shared" si="26"/>
        <v>0</v>
      </c>
      <c r="H253" s="8">
        <f t="shared" si="26"/>
        <v>0</v>
      </c>
      <c r="I253" s="8">
        <f t="shared" si="20"/>
        <v>0</v>
      </c>
    </row>
    <row r="254" spans="1:9">
      <c r="A254" s="106"/>
      <c r="B254" s="29" t="s">
        <v>266</v>
      </c>
      <c r="C254" s="15"/>
      <c r="D254" s="16" t="s">
        <v>589</v>
      </c>
      <c r="G254" s="8">
        <f t="shared" si="26"/>
        <v>0</v>
      </c>
      <c r="H254" s="8">
        <f t="shared" si="26"/>
        <v>0</v>
      </c>
      <c r="I254" s="8">
        <f t="shared" si="20"/>
        <v>0</v>
      </c>
    </row>
    <row r="255" spans="1:9">
      <c r="A255" s="106"/>
      <c r="B255" s="29" t="s">
        <v>263</v>
      </c>
      <c r="C255" s="15"/>
      <c r="D255" s="16" t="s">
        <v>590</v>
      </c>
      <c r="G255" s="8">
        <f t="shared" si="26"/>
        <v>0</v>
      </c>
      <c r="H255" s="8">
        <f t="shared" si="26"/>
        <v>0</v>
      </c>
      <c r="I255" s="8">
        <f t="shared" si="20"/>
        <v>0</v>
      </c>
    </row>
    <row r="256" spans="1:9" ht="15.75">
      <c r="A256" s="106"/>
      <c r="B256" s="29" t="s">
        <v>279</v>
      </c>
      <c r="C256" s="15"/>
      <c r="D256" s="16" t="s">
        <v>591</v>
      </c>
      <c r="E256" s="60">
        <v>616.33925827468795</v>
      </c>
      <c r="F256" s="60">
        <v>4167.3214010000002</v>
      </c>
      <c r="G256" s="8">
        <f t="shared" si="26"/>
        <v>0.1032327352805561</v>
      </c>
      <c r="H256" s="8">
        <f t="shared" si="26"/>
        <v>0.16177114256895059</v>
      </c>
      <c r="I256" s="8">
        <f t="shared" si="20"/>
        <v>0.16177114256895059</v>
      </c>
    </row>
    <row r="257" spans="1:11" ht="29.25">
      <c r="A257" s="106"/>
      <c r="B257" s="29" t="s">
        <v>272</v>
      </c>
      <c r="C257" s="15"/>
      <c r="D257" s="16" t="s">
        <v>592</v>
      </c>
      <c r="E257" s="60">
        <v>729.53593613360101</v>
      </c>
      <c r="F257" s="60">
        <v>2803.4398040000001</v>
      </c>
      <c r="G257" s="8">
        <f t="shared" si="26"/>
        <v>0.12219242756554691</v>
      </c>
      <c r="H257" s="8">
        <f t="shared" si="26"/>
        <v>0.10882665784010041</v>
      </c>
      <c r="I257" s="8">
        <f t="shared" si="20"/>
        <v>0.10882665784010041</v>
      </c>
    </row>
    <row r="258" spans="1:11">
      <c r="A258" s="106"/>
      <c r="B258" s="29" t="s">
        <v>271</v>
      </c>
      <c r="C258" s="15"/>
      <c r="D258" s="16" t="s">
        <v>593</v>
      </c>
      <c r="G258" s="8">
        <f t="shared" si="26"/>
        <v>0</v>
      </c>
      <c r="H258" s="8">
        <f t="shared" si="26"/>
        <v>0</v>
      </c>
      <c r="I258" s="8">
        <f t="shared" si="20"/>
        <v>0</v>
      </c>
    </row>
    <row r="259" spans="1:11" ht="29.25">
      <c r="A259" s="106"/>
      <c r="B259" s="29" t="s">
        <v>275</v>
      </c>
      <c r="C259" s="15"/>
      <c r="D259" s="16" t="s">
        <v>594</v>
      </c>
      <c r="E259" s="60">
        <v>1024.3264508567299</v>
      </c>
      <c r="F259" s="60">
        <v>4498.5741159999998</v>
      </c>
      <c r="G259" s="8">
        <f t="shared" si="26"/>
        <v>0.1715678823350836</v>
      </c>
      <c r="H259" s="8">
        <f t="shared" si="26"/>
        <v>0.17463003321553186</v>
      </c>
      <c r="I259" s="8">
        <f t="shared" si="20"/>
        <v>0.17463003321553186</v>
      </c>
    </row>
    <row r="260" spans="1:11" ht="15.75">
      <c r="A260" s="106"/>
      <c r="B260" s="29" t="s">
        <v>267</v>
      </c>
      <c r="C260" s="15"/>
      <c r="D260" s="16" t="s">
        <v>595</v>
      </c>
      <c r="E260" s="60">
        <v>678.10029585222799</v>
      </c>
      <c r="F260" s="60">
        <v>2605.7843979999998</v>
      </c>
      <c r="G260" s="8">
        <f t="shared" si="26"/>
        <v>0.11357729918314162</v>
      </c>
      <c r="H260" s="8">
        <f t="shared" si="26"/>
        <v>0.10115387770466927</v>
      </c>
      <c r="I260" s="8">
        <f t="shared" ref="I260:I285" si="27">H260</f>
        <v>0.10115387770466927</v>
      </c>
    </row>
    <row r="261" spans="1:11">
      <c r="A261" s="106"/>
      <c r="B261" s="29" t="s">
        <v>274</v>
      </c>
      <c r="C261" s="15"/>
      <c r="D261" s="16" t="s">
        <v>596</v>
      </c>
      <c r="G261" s="8">
        <f t="shared" si="26"/>
        <v>0</v>
      </c>
      <c r="H261" s="8">
        <f t="shared" si="26"/>
        <v>0</v>
      </c>
      <c r="I261" s="8">
        <f t="shared" si="27"/>
        <v>0</v>
      </c>
    </row>
    <row r="262" spans="1:11">
      <c r="A262" s="106"/>
      <c r="B262" s="29" t="s">
        <v>282</v>
      </c>
      <c r="C262" s="15"/>
      <c r="D262" s="16" t="s">
        <v>597</v>
      </c>
      <c r="G262" s="8">
        <f t="shared" si="26"/>
        <v>0</v>
      </c>
      <c r="H262" s="8">
        <f t="shared" si="26"/>
        <v>0</v>
      </c>
      <c r="I262" s="8">
        <f t="shared" si="27"/>
        <v>0</v>
      </c>
    </row>
    <row r="263" spans="1:11">
      <c r="A263" s="106"/>
      <c r="B263" s="29" t="s">
        <v>287</v>
      </c>
      <c r="C263" s="15"/>
      <c r="D263" s="16" t="s">
        <v>598</v>
      </c>
      <c r="G263" s="8">
        <f t="shared" si="26"/>
        <v>0</v>
      </c>
      <c r="H263" s="8">
        <f t="shared" si="26"/>
        <v>0</v>
      </c>
      <c r="I263" s="8">
        <f t="shared" si="27"/>
        <v>0</v>
      </c>
    </row>
    <row r="264" spans="1:11">
      <c r="A264" s="106"/>
      <c r="B264" s="29" t="s">
        <v>265</v>
      </c>
      <c r="C264" s="15"/>
      <c r="D264" s="16" t="s">
        <v>599</v>
      </c>
      <c r="G264" s="8">
        <f t="shared" si="26"/>
        <v>0</v>
      </c>
      <c r="H264" s="8">
        <f t="shared" si="26"/>
        <v>0</v>
      </c>
      <c r="I264" s="8">
        <f t="shared" si="27"/>
        <v>0</v>
      </c>
    </row>
    <row r="265" spans="1:11">
      <c r="A265" s="106"/>
      <c r="B265" s="29" t="s">
        <v>293</v>
      </c>
      <c r="C265" s="15"/>
      <c r="D265" s="16" t="s">
        <v>600</v>
      </c>
      <c r="G265" s="8">
        <f t="shared" si="26"/>
        <v>0</v>
      </c>
      <c r="H265" s="8">
        <f t="shared" si="26"/>
        <v>0</v>
      </c>
      <c r="I265" s="8">
        <f t="shared" si="27"/>
        <v>0</v>
      </c>
    </row>
    <row r="266" spans="1:11">
      <c r="A266" s="106"/>
      <c r="B266" s="29" t="s">
        <v>292</v>
      </c>
      <c r="C266" s="15"/>
      <c r="D266" s="16" t="s">
        <v>601</v>
      </c>
      <c r="G266" s="8">
        <f t="shared" si="26"/>
        <v>0</v>
      </c>
      <c r="H266" s="8">
        <f t="shared" si="26"/>
        <v>0</v>
      </c>
      <c r="I266" s="8">
        <f t="shared" si="27"/>
        <v>0</v>
      </c>
    </row>
    <row r="267" spans="1:11" ht="29.25">
      <c r="A267" s="106"/>
      <c r="B267" s="29" t="s">
        <v>291</v>
      </c>
      <c r="C267" s="15"/>
      <c r="D267" s="16" t="s">
        <v>602</v>
      </c>
      <c r="G267" s="8">
        <f t="shared" si="26"/>
        <v>0</v>
      </c>
      <c r="H267" s="8">
        <f t="shared" si="26"/>
        <v>0</v>
      </c>
      <c r="I267" s="8">
        <f t="shared" si="27"/>
        <v>0</v>
      </c>
    </row>
    <row r="268" spans="1:11">
      <c r="A268" s="106"/>
      <c r="B268" s="29" t="s">
        <v>290</v>
      </c>
      <c r="C268" s="15"/>
      <c r="D268" s="16" t="s">
        <v>603</v>
      </c>
      <c r="G268" s="8">
        <f t="shared" si="26"/>
        <v>0</v>
      </c>
      <c r="H268" s="8">
        <f t="shared" si="26"/>
        <v>0</v>
      </c>
      <c r="I268" s="8">
        <f t="shared" si="27"/>
        <v>0</v>
      </c>
    </row>
    <row r="269" spans="1:11" ht="29.25">
      <c r="A269" s="106"/>
      <c r="B269" s="29" t="s">
        <v>289</v>
      </c>
      <c r="C269" s="15"/>
      <c r="D269" s="16" t="s">
        <v>604</v>
      </c>
      <c r="G269" s="8">
        <f t="shared" si="26"/>
        <v>0</v>
      </c>
      <c r="H269" s="8">
        <f t="shared" si="26"/>
        <v>0</v>
      </c>
      <c r="I269" s="8">
        <f t="shared" si="27"/>
        <v>0</v>
      </c>
    </row>
    <row r="270" spans="1:11" ht="29.25">
      <c r="A270" s="106"/>
      <c r="B270" s="29" t="s">
        <v>286</v>
      </c>
      <c r="C270" s="15"/>
      <c r="D270" s="16" t="s">
        <v>605</v>
      </c>
      <c r="G270" s="8">
        <f t="shared" si="26"/>
        <v>0</v>
      </c>
      <c r="H270" s="8">
        <f t="shared" si="26"/>
        <v>0</v>
      </c>
      <c r="I270" s="8">
        <f t="shared" si="27"/>
        <v>0</v>
      </c>
    </row>
    <row r="271" spans="1:11" ht="15.75">
      <c r="A271" s="106"/>
      <c r="B271" s="29" t="s">
        <v>283</v>
      </c>
      <c r="C271" s="15"/>
      <c r="D271" s="16" t="s">
        <v>606</v>
      </c>
      <c r="G271" s="8">
        <f t="shared" si="26"/>
        <v>0</v>
      </c>
      <c r="H271" s="8">
        <f t="shared" si="26"/>
        <v>0</v>
      </c>
      <c r="I271" s="8">
        <f t="shared" si="27"/>
        <v>0</v>
      </c>
      <c r="J271" s="60"/>
      <c r="K271" s="60"/>
    </row>
    <row r="272" spans="1:11" ht="15.75">
      <c r="A272" s="106"/>
      <c r="B272" s="29" t="s">
        <v>276</v>
      </c>
      <c r="C272" s="15"/>
      <c r="D272" s="16" t="s">
        <v>607</v>
      </c>
      <c r="G272" s="8">
        <f t="shared" si="26"/>
        <v>0</v>
      </c>
      <c r="H272" s="8">
        <f t="shared" si="26"/>
        <v>0</v>
      </c>
      <c r="I272" s="8">
        <f t="shared" si="27"/>
        <v>0</v>
      </c>
      <c r="J272" s="60"/>
      <c r="K272" s="60"/>
    </row>
    <row r="273" spans="1:10">
      <c r="A273" s="106"/>
      <c r="B273" s="29" t="s">
        <v>273</v>
      </c>
      <c r="C273" s="15"/>
      <c r="D273" s="16" t="s">
        <v>608</v>
      </c>
      <c r="G273" s="8">
        <f t="shared" si="26"/>
        <v>0</v>
      </c>
      <c r="H273" s="8">
        <f t="shared" si="26"/>
        <v>0</v>
      </c>
      <c r="I273" s="8">
        <f t="shared" si="27"/>
        <v>0</v>
      </c>
    </row>
    <row r="274" spans="1:10" ht="29.25">
      <c r="A274" s="106"/>
      <c r="B274" s="29" t="s">
        <v>288</v>
      </c>
      <c r="C274" s="15"/>
      <c r="D274" s="16" t="s">
        <v>609</v>
      </c>
      <c r="G274" s="8">
        <f t="shared" si="26"/>
        <v>0</v>
      </c>
      <c r="H274" s="8">
        <f t="shared" si="26"/>
        <v>0</v>
      </c>
      <c r="I274" s="8">
        <f t="shared" si="27"/>
        <v>0</v>
      </c>
    </row>
    <row r="275" spans="1:10">
      <c r="A275" s="106"/>
      <c r="B275" s="29" t="s">
        <v>284</v>
      </c>
      <c r="C275" s="15"/>
      <c r="D275" s="16" t="s">
        <v>610</v>
      </c>
      <c r="G275" s="8">
        <f t="shared" si="26"/>
        <v>0</v>
      </c>
      <c r="H275" s="8">
        <f t="shared" si="26"/>
        <v>0</v>
      </c>
      <c r="I275" s="8">
        <f t="shared" si="27"/>
        <v>0</v>
      </c>
    </row>
    <row r="276" spans="1:10">
      <c r="A276" s="106"/>
      <c r="B276" s="29" t="s">
        <v>281</v>
      </c>
      <c r="C276" s="15"/>
      <c r="D276" s="16" t="s">
        <v>611</v>
      </c>
      <c r="G276" s="8">
        <f t="shared" si="26"/>
        <v>0</v>
      </c>
      <c r="H276" s="8">
        <f t="shared" si="26"/>
        <v>0</v>
      </c>
      <c r="I276" s="8">
        <f t="shared" si="27"/>
        <v>0</v>
      </c>
    </row>
    <row r="277" spans="1:10">
      <c r="A277" s="106"/>
      <c r="B277" s="29" t="s">
        <v>278</v>
      </c>
      <c r="C277" s="15"/>
      <c r="D277" s="16" t="s">
        <v>612</v>
      </c>
      <c r="G277" s="8">
        <f t="shared" si="26"/>
        <v>0</v>
      </c>
      <c r="H277" s="8">
        <f t="shared" si="26"/>
        <v>0</v>
      </c>
      <c r="I277" s="8">
        <f t="shared" si="27"/>
        <v>0</v>
      </c>
    </row>
    <row r="278" spans="1:10">
      <c r="A278" s="106"/>
      <c r="B278" s="29" t="s">
        <v>255</v>
      </c>
      <c r="C278" s="15"/>
      <c r="D278" s="16" t="s">
        <v>613</v>
      </c>
      <c r="G278" s="8">
        <f t="shared" si="26"/>
        <v>0</v>
      </c>
      <c r="H278" s="8">
        <f t="shared" si="26"/>
        <v>0</v>
      </c>
      <c r="I278" s="8">
        <f t="shared" si="27"/>
        <v>0</v>
      </c>
    </row>
    <row r="279" spans="1:10">
      <c r="A279" s="106"/>
      <c r="B279" s="29" t="s">
        <v>256</v>
      </c>
      <c r="C279" s="15"/>
      <c r="D279" s="16" t="s">
        <v>614</v>
      </c>
      <c r="E279" s="3">
        <v>951.52074199797596</v>
      </c>
      <c r="F279" s="3">
        <v>3656.4766580000005</v>
      </c>
      <c r="G279" s="8">
        <f t="shared" si="26"/>
        <v>0.15937340929345348</v>
      </c>
      <c r="H279" s="8">
        <f t="shared" si="26"/>
        <v>0.14194067359417425</v>
      </c>
      <c r="I279" s="8">
        <f t="shared" si="27"/>
        <v>0.14194067359417425</v>
      </c>
    </row>
    <row r="280" spans="1:10">
      <c r="A280" s="106"/>
      <c r="B280" s="29" t="s">
        <v>261</v>
      </c>
      <c r="C280" s="15"/>
      <c r="D280" s="16" t="s">
        <v>615</v>
      </c>
      <c r="G280" s="8">
        <f t="shared" si="26"/>
        <v>0</v>
      </c>
      <c r="H280" s="8">
        <f t="shared" si="26"/>
        <v>0</v>
      </c>
      <c r="I280" s="8">
        <f t="shared" si="27"/>
        <v>0</v>
      </c>
    </row>
    <row r="281" spans="1:10">
      <c r="A281" s="106"/>
      <c r="B281" s="29" t="s">
        <v>259</v>
      </c>
      <c r="C281" s="15"/>
      <c r="D281" s="16" t="s">
        <v>616</v>
      </c>
      <c r="G281" s="8">
        <f t="shared" si="26"/>
        <v>0</v>
      </c>
      <c r="H281" s="8">
        <f t="shared" si="26"/>
        <v>0</v>
      </c>
      <c r="I281" s="8">
        <f t="shared" si="27"/>
        <v>0</v>
      </c>
    </row>
    <row r="282" spans="1:10" ht="15.75">
      <c r="A282" s="106"/>
      <c r="B282" s="29" t="s">
        <v>260</v>
      </c>
      <c r="C282" s="31"/>
      <c r="D282" s="16" t="s">
        <v>617</v>
      </c>
      <c r="E282" s="60">
        <v>481.74211809109602</v>
      </c>
      <c r="F282" s="60">
        <v>1851.2248159999999</v>
      </c>
      <c r="G282" s="8">
        <f t="shared" si="26"/>
        <v>8.0688607585383307E-2</v>
      </c>
      <c r="H282" s="8">
        <f t="shared" si="26"/>
        <v>7.186264864631095E-2</v>
      </c>
      <c r="I282" s="8">
        <f t="shared" si="27"/>
        <v>7.186264864631095E-2</v>
      </c>
    </row>
    <row r="283" spans="1:10">
      <c r="A283" s="106"/>
      <c r="B283" s="29" t="s">
        <v>258</v>
      </c>
      <c r="C283" s="15"/>
      <c r="D283" s="16" t="s">
        <v>618</v>
      </c>
      <c r="G283" s="8">
        <f t="shared" si="26"/>
        <v>0</v>
      </c>
      <c r="H283" s="8">
        <f t="shared" si="26"/>
        <v>0</v>
      </c>
      <c r="I283" s="8">
        <f t="shared" si="27"/>
        <v>0</v>
      </c>
    </row>
    <row r="284" spans="1:10">
      <c r="A284" s="106"/>
      <c r="B284" s="29" t="s">
        <v>257</v>
      </c>
      <c r="C284" s="15"/>
      <c r="D284" s="16" t="s">
        <v>619</v>
      </c>
      <c r="G284" s="8">
        <f t="shared" si="26"/>
        <v>0</v>
      </c>
      <c r="H284" s="8">
        <f t="shared" si="26"/>
        <v>0</v>
      </c>
      <c r="I284" s="8">
        <f t="shared" si="27"/>
        <v>0</v>
      </c>
    </row>
    <row r="285" spans="1:10" ht="15.75">
      <c r="A285" s="106"/>
      <c r="B285" s="29" t="s">
        <v>262</v>
      </c>
      <c r="C285" s="15"/>
      <c r="D285" s="16" t="s">
        <v>620</v>
      </c>
      <c r="E285" s="60">
        <v>338.96477171737598</v>
      </c>
      <c r="F285" s="60">
        <v>1488.644706</v>
      </c>
      <c r="G285" s="8">
        <f t="shared" si="26"/>
        <v>5.6774349643226481E-2</v>
      </c>
      <c r="H285" s="8">
        <f t="shared" si="26"/>
        <v>5.7787660656807481E-2</v>
      </c>
      <c r="I285" s="8">
        <f t="shared" si="27"/>
        <v>5.7787660656807481E-2</v>
      </c>
    </row>
    <row r="286" spans="1:10">
      <c r="A286" s="106" t="s">
        <v>27</v>
      </c>
      <c r="B286" s="21" t="s">
        <v>298</v>
      </c>
      <c r="D286" s="19" t="s">
        <v>628</v>
      </c>
      <c r="I286" s="8">
        <f>1/ROWS(B286:B292)</f>
        <v>0.14285714285714285</v>
      </c>
      <c r="J286" s="82" t="s">
        <v>925</v>
      </c>
    </row>
    <row r="287" spans="1:10">
      <c r="A287" s="106"/>
      <c r="B287" s="19" t="s">
        <v>297</v>
      </c>
      <c r="D287" s="19" t="s">
        <v>629</v>
      </c>
      <c r="I287" s="8">
        <f t="shared" ref="I287:I292" si="28">1/ROWS(B287:B293)</f>
        <v>0.14285714285714285</v>
      </c>
      <c r="J287" s="82" t="s">
        <v>925</v>
      </c>
    </row>
    <row r="288" spans="1:10">
      <c r="A288" s="106"/>
      <c r="B288" s="19" t="s">
        <v>299</v>
      </c>
      <c r="D288" s="19" t="s">
        <v>630</v>
      </c>
      <c r="I288" s="8">
        <f t="shared" si="28"/>
        <v>0.14285714285714285</v>
      </c>
      <c r="J288" s="82" t="s">
        <v>925</v>
      </c>
    </row>
    <row r="289" spans="1:10">
      <c r="A289" s="106"/>
      <c r="B289" s="29" t="s">
        <v>624</v>
      </c>
      <c r="D289" s="19" t="s">
        <v>631</v>
      </c>
      <c r="I289" s="8">
        <f t="shared" si="28"/>
        <v>0.14285714285714285</v>
      </c>
      <c r="J289" s="82" t="s">
        <v>925</v>
      </c>
    </row>
    <row r="290" spans="1:10">
      <c r="A290" s="106"/>
      <c r="B290" s="21" t="s">
        <v>625</v>
      </c>
      <c r="D290" s="19" t="s">
        <v>632</v>
      </c>
      <c r="I290" s="8">
        <f t="shared" si="28"/>
        <v>0.14285714285714285</v>
      </c>
      <c r="J290" s="82" t="s">
        <v>925</v>
      </c>
    </row>
    <row r="291" spans="1:10">
      <c r="A291" s="106"/>
      <c r="B291" s="21" t="s">
        <v>626</v>
      </c>
      <c r="D291" s="19" t="s">
        <v>633</v>
      </c>
      <c r="I291" s="8">
        <f t="shared" si="28"/>
        <v>0.14285714285714285</v>
      </c>
      <c r="J291" s="82" t="s">
        <v>925</v>
      </c>
    </row>
    <row r="292" spans="1:10">
      <c r="A292" s="106"/>
      <c r="B292" s="21" t="s">
        <v>627</v>
      </c>
      <c r="D292" s="19" t="s">
        <v>634</v>
      </c>
      <c r="I292" s="8">
        <f t="shared" si="28"/>
        <v>0.14285714285714285</v>
      </c>
      <c r="J292" s="82" t="s">
        <v>925</v>
      </c>
    </row>
    <row r="293" spans="1:10">
      <c r="A293" s="106"/>
      <c r="B293" s="12" t="s">
        <v>302</v>
      </c>
      <c r="D293" s="19"/>
      <c r="I293" s="8">
        <f>I289*1.3/2.3</f>
        <v>8.0745341614906846E-2</v>
      </c>
      <c r="J293" s="82"/>
    </row>
    <row r="294" spans="1:10">
      <c r="A294" s="106"/>
      <c r="B294" s="12" t="s">
        <v>301</v>
      </c>
      <c r="D294" s="19"/>
      <c r="I294" s="8">
        <f>I289*1/2.3</f>
        <v>6.2111801242236024E-2</v>
      </c>
      <c r="J294" s="82"/>
    </row>
    <row r="295" spans="1:10">
      <c r="A295" s="106"/>
      <c r="B295" s="12" t="s">
        <v>300</v>
      </c>
      <c r="D295" s="19"/>
      <c r="I295" s="8">
        <f>I290</f>
        <v>0.14285714285714285</v>
      </c>
      <c r="J295" s="82"/>
    </row>
    <row r="296" spans="1:10">
      <c r="A296" s="106"/>
      <c r="B296" s="12" t="s">
        <v>296</v>
      </c>
      <c r="D296" s="19"/>
      <c r="I296" s="8">
        <f>I291</f>
        <v>0.14285714285714285</v>
      </c>
      <c r="J296" s="82"/>
    </row>
    <row r="297" spans="1:10">
      <c r="A297" s="106" t="s">
        <v>635</v>
      </c>
      <c r="B297" s="21" t="s">
        <v>305</v>
      </c>
      <c r="C297" s="20"/>
      <c r="D297" s="21" t="s">
        <v>636</v>
      </c>
      <c r="I297" s="8">
        <f t="shared" ref="I297:I303" si="29">1/ROWS(B297:B303)</f>
        <v>0.14285714285714285</v>
      </c>
      <c r="J297" s="82" t="s">
        <v>925</v>
      </c>
    </row>
    <row r="298" spans="1:10">
      <c r="A298" s="106"/>
      <c r="B298" s="21" t="s">
        <v>307</v>
      </c>
      <c r="C298" s="20"/>
      <c r="D298" s="21" t="s">
        <v>637</v>
      </c>
      <c r="I298" s="8">
        <f t="shared" si="29"/>
        <v>0.14285714285714285</v>
      </c>
      <c r="J298" s="82" t="s">
        <v>925</v>
      </c>
    </row>
    <row r="299" spans="1:10">
      <c r="A299" s="106"/>
      <c r="B299" s="21" t="s">
        <v>309</v>
      </c>
      <c r="C299" s="20"/>
      <c r="D299" s="21" t="s">
        <v>638</v>
      </c>
      <c r="I299" s="8">
        <f t="shared" si="29"/>
        <v>0.14285714285714285</v>
      </c>
      <c r="J299" s="82" t="s">
        <v>925</v>
      </c>
    </row>
    <row r="300" spans="1:10">
      <c r="A300" s="106"/>
      <c r="B300" s="21" t="s">
        <v>303</v>
      </c>
      <c r="C300" s="20"/>
      <c r="D300" s="21" t="s">
        <v>639</v>
      </c>
      <c r="I300" s="8">
        <f t="shared" si="29"/>
        <v>0.14285714285714285</v>
      </c>
      <c r="J300" s="82" t="s">
        <v>925</v>
      </c>
    </row>
    <row r="301" spans="1:10">
      <c r="A301" s="106"/>
      <c r="B301" s="21" t="s">
        <v>308</v>
      </c>
      <c r="C301" s="20"/>
      <c r="D301" s="21" t="s">
        <v>640</v>
      </c>
      <c r="I301" s="8">
        <f t="shared" si="29"/>
        <v>0.14285714285714285</v>
      </c>
      <c r="J301" s="82" t="s">
        <v>925</v>
      </c>
    </row>
    <row r="302" spans="1:10">
      <c r="A302" s="106"/>
      <c r="B302" s="21" t="s">
        <v>304</v>
      </c>
      <c r="C302" s="20"/>
      <c r="D302" s="21" t="s">
        <v>641</v>
      </c>
      <c r="I302" s="8">
        <f t="shared" si="29"/>
        <v>0.14285714285714285</v>
      </c>
      <c r="J302" s="82" t="s">
        <v>925</v>
      </c>
    </row>
    <row r="303" spans="1:10">
      <c r="A303" s="106"/>
      <c r="B303" s="21" t="s">
        <v>306</v>
      </c>
      <c r="C303" s="20"/>
      <c r="D303" s="21" t="s">
        <v>642</v>
      </c>
      <c r="I303" s="8">
        <f t="shared" si="29"/>
        <v>0.14285714285714285</v>
      </c>
      <c r="J303" s="82" t="s">
        <v>925</v>
      </c>
    </row>
    <row r="304" spans="1:10">
      <c r="A304" s="26" t="s">
        <v>28</v>
      </c>
      <c r="B304" s="33" t="s">
        <v>310</v>
      </c>
      <c r="C304" s="34"/>
      <c r="D304" s="33" t="s">
        <v>643</v>
      </c>
      <c r="I304" s="8">
        <v>1</v>
      </c>
      <c r="J304" s="82" t="s">
        <v>925</v>
      </c>
    </row>
    <row r="305" spans="1:10">
      <c r="A305" s="24" t="s">
        <v>29</v>
      </c>
      <c r="B305" s="19" t="s">
        <v>311</v>
      </c>
      <c r="C305" s="16"/>
      <c r="D305" s="16" t="s">
        <v>644</v>
      </c>
      <c r="I305" s="8">
        <v>1</v>
      </c>
      <c r="J305" s="82" t="s">
        <v>925</v>
      </c>
    </row>
    <row r="306" spans="1:10">
      <c r="A306" s="106" t="s">
        <v>30</v>
      </c>
      <c r="B306" s="19" t="s">
        <v>33</v>
      </c>
      <c r="C306" s="16"/>
      <c r="D306" s="19" t="s">
        <v>645</v>
      </c>
      <c r="I306" s="8">
        <f>1/ROWS(B306:D308)</f>
        <v>0.33333333333333331</v>
      </c>
      <c r="J306" s="82" t="s">
        <v>925</v>
      </c>
    </row>
    <row r="307" spans="1:10">
      <c r="A307" s="106"/>
      <c r="B307" s="19" t="s">
        <v>34</v>
      </c>
      <c r="C307" s="16"/>
      <c r="D307" s="19" t="s">
        <v>646</v>
      </c>
      <c r="I307" s="8">
        <f t="shared" ref="I307:I308" si="30">1/ROWS(B307:D309)</f>
        <v>0.33333333333333331</v>
      </c>
      <c r="J307" s="82" t="s">
        <v>925</v>
      </c>
    </row>
    <row r="308" spans="1:10">
      <c r="A308" s="106"/>
      <c r="B308" s="19" t="s">
        <v>35</v>
      </c>
      <c r="C308" s="16"/>
      <c r="D308" s="19" t="s">
        <v>647</v>
      </c>
      <c r="I308" s="8">
        <f t="shared" si="30"/>
        <v>0.33333333333333331</v>
      </c>
      <c r="J308" s="82" t="s">
        <v>925</v>
      </c>
    </row>
    <row r="309" spans="1:10">
      <c r="A309" s="106" t="s">
        <v>31</v>
      </c>
      <c r="B309" s="19" t="s">
        <v>315</v>
      </c>
      <c r="C309" s="16"/>
      <c r="D309" s="19" t="s">
        <v>648</v>
      </c>
      <c r="I309" s="8">
        <f>1/ROWS(B309:D312)</f>
        <v>0.25</v>
      </c>
      <c r="J309" s="82" t="s">
        <v>925</v>
      </c>
    </row>
    <row r="310" spans="1:10">
      <c r="A310" s="106"/>
      <c r="B310" s="19" t="s">
        <v>314</v>
      </c>
      <c r="C310" s="16"/>
      <c r="D310" s="19" t="s">
        <v>649</v>
      </c>
      <c r="I310" s="8">
        <f t="shared" ref="I310:I312" si="31">1/ROWS(B310:D313)</f>
        <v>0.25</v>
      </c>
      <c r="J310" s="82" t="s">
        <v>925</v>
      </c>
    </row>
    <row r="311" spans="1:10" ht="29.25">
      <c r="A311" s="106"/>
      <c r="B311" s="19" t="s">
        <v>313</v>
      </c>
      <c r="C311" s="16"/>
      <c r="D311" s="16" t="s">
        <v>650</v>
      </c>
      <c r="I311" s="8">
        <f t="shared" si="31"/>
        <v>0.25</v>
      </c>
      <c r="J311" s="82" t="s">
        <v>925</v>
      </c>
    </row>
    <row r="312" spans="1:10">
      <c r="A312" s="106"/>
      <c r="B312" s="19" t="s">
        <v>312</v>
      </c>
      <c r="C312" s="16"/>
      <c r="D312" s="16" t="s">
        <v>651</v>
      </c>
      <c r="I312" s="8">
        <f t="shared" si="31"/>
        <v>0.25</v>
      </c>
      <c r="J312" s="82" t="s">
        <v>925</v>
      </c>
    </row>
    <row r="313" spans="1:10">
      <c r="A313" s="26" t="s">
        <v>32</v>
      </c>
      <c r="B313" s="19" t="s">
        <v>1015</v>
      </c>
      <c r="I313" s="8">
        <v>1</v>
      </c>
      <c r="J313" s="82" t="s">
        <v>925</v>
      </c>
    </row>
    <row r="314" spans="1:10">
      <c r="A314" s="26" t="s">
        <v>1026</v>
      </c>
      <c r="B314" s="19" t="s">
        <v>654</v>
      </c>
      <c r="D314" s="3" t="s">
        <v>1026</v>
      </c>
      <c r="I314" s="8">
        <v>1</v>
      </c>
      <c r="J314" s="82" t="s">
        <v>925</v>
      </c>
    </row>
    <row r="315" spans="1:10">
      <c r="A315" s="26" t="s">
        <v>933</v>
      </c>
      <c r="B315" s="19" t="s">
        <v>653</v>
      </c>
      <c r="D315" s="3" t="s">
        <v>652</v>
      </c>
      <c r="I315" s="8">
        <v>1</v>
      </c>
      <c r="J315" s="82" t="s">
        <v>925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steel</vt:lpstr>
      <vt:lpstr>steel_prim</vt:lpstr>
      <vt:lpstr>steel_sec</vt:lpstr>
      <vt:lpstr>alu_prim</vt:lpstr>
      <vt:lpstr>alu_sec</vt:lpstr>
      <vt:lpstr>copper_prim</vt:lpstr>
      <vt:lpstr>copper_sec</vt:lpstr>
      <vt:lpstr>paper</vt:lpstr>
      <vt:lpstr>cement</vt:lpstr>
      <vt:lpstr>glass</vt:lpstr>
      <vt:lpstr>chlorine</vt:lpstr>
      <vt:lpstr>ammonia</vt:lpstr>
      <vt:lpstr>methanol</vt:lpstr>
      <vt:lpstr>ethylene</vt:lpstr>
      <vt:lpstr>propylene</vt:lpstr>
      <vt:lpstr>aromatics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Kerekes, Andelka</cp:lastModifiedBy>
  <dcterms:created xsi:type="dcterms:W3CDTF">2021-05-13T14:32:01Z</dcterms:created>
  <dcterms:modified xsi:type="dcterms:W3CDTF">2024-03-08T15:44:01Z</dcterms:modified>
</cp:coreProperties>
</file>