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Telegram Desktop\"/>
    </mc:Choice>
  </mc:AlternateContent>
  <xr:revisionPtr revIDLastSave="0" documentId="13_ncr:1_{0EE03DEB-EE9A-456F-BFAA-8E258054AF60}" xr6:coauthVersionLast="47" xr6:coauthVersionMax="47" xr10:uidLastSave="{00000000-0000-0000-0000-000000000000}"/>
  <bookViews>
    <workbookView xWindow="-108" yWindow="-108" windowWidth="23256" windowHeight="12576" activeTab="3" xr2:uid="{F7E9F11B-6991-4F6D-8A2E-A8E391B421AA}"/>
  </bookViews>
  <sheets>
    <sheet name="ПР1" sheetId="1" r:id="rId1"/>
    <sheet name="ПР2" sheetId="2" r:id="rId2"/>
    <sheet name="ПР3" sheetId="5" r:id="rId3"/>
    <sheet name="ПР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4" l="1"/>
  <c r="B16" i="4"/>
  <c r="B11" i="4"/>
  <c r="B5" i="4"/>
  <c r="B172" i="5"/>
  <c r="B171" i="5"/>
  <c r="B160" i="5"/>
  <c r="B159" i="5"/>
  <c r="B158" i="5"/>
  <c r="B149" i="5"/>
  <c r="B148" i="5"/>
  <c r="B147" i="5"/>
  <c r="B134" i="5"/>
  <c r="B133" i="5"/>
  <c r="B121" i="5"/>
  <c r="B110" i="5"/>
  <c r="B100" i="5"/>
  <c r="B101" i="5"/>
  <c r="B99" i="5"/>
  <c r="B98" i="5"/>
  <c r="B84" i="5"/>
  <c r="B85" i="5"/>
  <c r="B83" i="5"/>
  <c r="B82" i="5"/>
  <c r="B81" i="5"/>
  <c r="B80" i="5"/>
  <c r="B79" i="5"/>
  <c r="B66" i="5"/>
  <c r="B65" i="5"/>
  <c r="B55" i="5"/>
  <c r="B56" i="5" s="1"/>
  <c r="B54" i="5"/>
  <c r="B53" i="5"/>
  <c r="B41" i="5"/>
  <c r="B40" i="5"/>
  <c r="B39" i="5"/>
  <c r="B30" i="5"/>
  <c r="B21" i="5"/>
  <c r="B20" i="5"/>
  <c r="B19" i="5"/>
  <c r="B18" i="5"/>
  <c r="B23" i="4"/>
  <c r="D31" i="2"/>
  <c r="C31" i="2"/>
  <c r="B31" i="2"/>
  <c r="E28" i="2"/>
  <c r="D28" i="2"/>
  <c r="C28" i="2"/>
  <c r="B28" i="2"/>
  <c r="F25" i="2"/>
  <c r="E25" i="2"/>
  <c r="D25" i="2"/>
  <c r="C25" i="2"/>
  <c r="B25" i="2"/>
  <c r="H22" i="2"/>
  <c r="G22" i="2"/>
  <c r="C22" i="2"/>
  <c r="F22" i="2"/>
  <c r="E22" i="2"/>
  <c r="D22" i="2"/>
  <c r="B22" i="2"/>
  <c r="F16" i="2"/>
  <c r="F19" i="2"/>
  <c r="E19" i="2"/>
  <c r="D19" i="2"/>
  <c r="H19" i="2" s="1"/>
  <c r="C19" i="2"/>
  <c r="B19" i="2"/>
  <c r="E16" i="2"/>
  <c r="D16" i="2"/>
  <c r="C16" i="2"/>
  <c r="B16" i="2"/>
  <c r="E13" i="2"/>
  <c r="D13" i="2"/>
  <c r="C13" i="2"/>
  <c r="B13" i="2"/>
  <c r="D71" i="1"/>
  <c r="L54" i="1"/>
  <c r="J54" i="1"/>
  <c r="H54" i="1"/>
  <c r="F54" i="1"/>
  <c r="E54" i="1"/>
  <c r="D54" i="1"/>
  <c r="C54" i="1"/>
  <c r="B54" i="1"/>
  <c r="D97" i="1"/>
  <c r="D96" i="1"/>
  <c r="D95" i="1"/>
  <c r="D94" i="1"/>
  <c r="D92" i="1"/>
  <c r="D93" i="1"/>
  <c r="D90" i="1"/>
  <c r="D91" i="1"/>
  <c r="D89" i="1"/>
  <c r="D88" i="1"/>
  <c r="D84" i="1"/>
  <c r="D85" i="1"/>
  <c r="D86" i="1"/>
  <c r="D87" i="1"/>
  <c r="D83" i="1"/>
  <c r="D81" i="1"/>
  <c r="D72" i="1"/>
  <c r="D79" i="1"/>
  <c r="D63" i="1"/>
  <c r="D44" i="1"/>
  <c r="N55" i="1"/>
  <c r="N56" i="1"/>
  <c r="N57" i="1"/>
  <c r="N58" i="1"/>
  <c r="C65" i="1" s="1"/>
  <c r="F65" i="1" s="1"/>
  <c r="N54" i="1"/>
  <c r="D74" i="1" s="1"/>
  <c r="M54" i="1"/>
  <c r="D75" i="1"/>
  <c r="D76" i="1"/>
  <c r="D77" i="1"/>
  <c r="D70" i="1"/>
  <c r="B61" i="1"/>
  <c r="B50" i="1"/>
  <c r="B49" i="1"/>
  <c r="B48" i="1"/>
  <c r="B47" i="1"/>
  <c r="B46" i="1"/>
  <c r="B35" i="1"/>
  <c r="B45" i="1"/>
  <c r="B44" i="1"/>
  <c r="B43" i="1"/>
  <c r="B42" i="1"/>
  <c r="C62" i="1"/>
  <c r="F62" i="1" s="1"/>
  <c r="C63" i="1"/>
  <c r="F63" i="1" s="1"/>
  <c r="C64" i="1"/>
  <c r="F64" i="1" s="1"/>
  <c r="I55" i="1"/>
  <c r="I56" i="1"/>
  <c r="I57" i="1"/>
  <c r="L57" i="1" s="1"/>
  <c r="I58" i="1"/>
  <c r="I54" i="1"/>
  <c r="D62" i="1"/>
  <c r="D64" i="1"/>
  <c r="D65" i="1"/>
  <c r="D61" i="1"/>
  <c r="B62" i="1"/>
  <c r="B63" i="1"/>
  <c r="B64" i="1"/>
  <c r="B65" i="1"/>
  <c r="L55" i="1"/>
  <c r="L56" i="1"/>
  <c r="L58" i="1"/>
  <c r="K55" i="1"/>
  <c r="K56" i="1"/>
  <c r="K57" i="1"/>
  <c r="K58" i="1"/>
  <c r="K54" i="1"/>
  <c r="D42" i="1"/>
  <c r="H55" i="1"/>
  <c r="H56" i="1"/>
  <c r="H57" i="1"/>
  <c r="H58" i="1"/>
  <c r="G55" i="1"/>
  <c r="G56" i="1"/>
  <c r="G57" i="1"/>
  <c r="G58" i="1"/>
  <c r="G54" i="1"/>
  <c r="F55" i="1"/>
  <c r="F56" i="1"/>
  <c r="F57" i="1"/>
  <c r="F58" i="1"/>
  <c r="E55" i="1"/>
  <c r="E56" i="1"/>
  <c r="E57" i="1"/>
  <c r="E58" i="1"/>
  <c r="D55" i="1"/>
  <c r="D56" i="1"/>
  <c r="D57" i="1"/>
  <c r="D58" i="1"/>
  <c r="N24" i="1"/>
  <c r="N25" i="1"/>
  <c r="N26" i="1"/>
  <c r="N27" i="1"/>
  <c r="N23" i="1"/>
  <c r="K24" i="1"/>
  <c r="K26" i="1"/>
  <c r="K23" i="1"/>
  <c r="M25" i="1"/>
  <c r="M27" i="1"/>
  <c r="B55" i="1"/>
  <c r="B56" i="1"/>
  <c r="B57" i="1"/>
  <c r="B58" i="1"/>
  <c r="B34" i="1"/>
  <c r="F27" i="1"/>
  <c r="G27" i="1" s="1"/>
  <c r="L27" i="1" s="1"/>
  <c r="B30" i="1"/>
  <c r="C30" i="1" s="1"/>
  <c r="F24" i="1"/>
  <c r="G24" i="1" s="1"/>
  <c r="L24" i="1" s="1"/>
  <c r="F25" i="1"/>
  <c r="G25" i="1" s="1"/>
  <c r="L25" i="1" s="1"/>
  <c r="F26" i="1"/>
  <c r="G26" i="1" s="1"/>
  <c r="L26" i="1" s="1"/>
  <c r="F23" i="1"/>
  <c r="G23" i="1" s="1"/>
  <c r="L23" i="1" s="1"/>
  <c r="C28" i="1"/>
  <c r="B28" i="1"/>
  <c r="E15" i="1"/>
  <c r="F15" i="1" s="1"/>
  <c r="E16" i="1"/>
  <c r="F16" i="1" s="1"/>
  <c r="E17" i="1"/>
  <c r="F17" i="1" s="1"/>
  <c r="E18" i="1"/>
  <c r="F18" i="1" s="1"/>
  <c r="E14" i="1"/>
  <c r="D15" i="1"/>
  <c r="D16" i="1"/>
  <c r="D17" i="1"/>
  <c r="D18" i="1"/>
  <c r="D14" i="1"/>
  <c r="C19" i="1"/>
  <c r="B19" i="1"/>
  <c r="G5" i="1"/>
  <c r="H5" i="1" s="1"/>
  <c r="G6" i="1"/>
  <c r="H6" i="1" s="1"/>
  <c r="G7" i="1"/>
  <c r="H7" i="1" s="1"/>
  <c r="G8" i="1"/>
  <c r="H8" i="1" s="1"/>
  <c r="G4" i="1"/>
  <c r="H4" i="1" s="1"/>
  <c r="F9" i="1"/>
  <c r="E9" i="1"/>
  <c r="D5" i="1"/>
  <c r="D6" i="1"/>
  <c r="D7" i="1"/>
  <c r="D8" i="1"/>
  <c r="D4" i="1"/>
  <c r="C9" i="1"/>
  <c r="B9" i="1"/>
  <c r="G19" i="2" l="1"/>
  <c r="D78" i="1"/>
  <c r="C61" i="1"/>
  <c r="F61" i="1" s="1"/>
  <c r="J58" i="1"/>
  <c r="M58" i="1" s="1"/>
  <c r="E65" i="1" s="1"/>
  <c r="J57" i="1"/>
  <c r="M57" i="1" s="1"/>
  <c r="E64" i="1" s="1"/>
  <c r="J56" i="1"/>
  <c r="M56" i="1" s="1"/>
  <c r="E63" i="1" s="1"/>
  <c r="J55" i="1"/>
  <c r="M55" i="1" s="1"/>
  <c r="E62" i="1" s="1"/>
  <c r="E61" i="1"/>
  <c r="J27" i="1"/>
  <c r="J25" i="1"/>
  <c r="H27" i="1"/>
  <c r="H26" i="1"/>
  <c r="I26" i="1" s="1"/>
  <c r="M26" i="1" s="1"/>
  <c r="H25" i="1"/>
  <c r="H23" i="1"/>
  <c r="I23" i="1" s="1"/>
  <c r="M23" i="1" s="1"/>
  <c r="H24" i="1"/>
  <c r="I24" i="1" s="1"/>
  <c r="C56" i="1"/>
  <c r="C55" i="1"/>
  <c r="C58" i="1"/>
  <c r="C57" i="1"/>
  <c r="D19" i="1"/>
  <c r="E19" i="1"/>
  <c r="D9" i="1"/>
  <c r="B31" i="1"/>
  <c r="C31" i="1" s="1"/>
  <c r="F14" i="1"/>
  <c r="F19" i="1" s="1"/>
  <c r="F28" i="1"/>
  <c r="G28" i="1" s="1"/>
  <c r="G9" i="1"/>
  <c r="H9" i="1"/>
  <c r="E66" i="1" l="1"/>
  <c r="F66" i="1" s="1"/>
  <c r="J26" i="1"/>
  <c r="M24" i="1"/>
  <c r="J24" i="1"/>
  <c r="J23" i="1"/>
  <c r="B32" i="1"/>
  <c r="C32" i="1" s="1"/>
  <c r="B36" i="1"/>
  <c r="B37" i="1" s="1"/>
  <c r="D43" i="1" l="1"/>
</calcChain>
</file>

<file path=xl/sharedStrings.xml><?xml version="1.0" encoding="utf-8"?>
<sst xmlns="http://schemas.openxmlformats.org/spreadsheetml/2006/main" count="360" uniqueCount="228">
  <si>
    <t>Изделия</t>
  </si>
  <si>
    <t>Цена, тыс. руб.</t>
  </si>
  <si>
    <t>Товарный выпуск</t>
  </si>
  <si>
    <t>Сумма</t>
  </si>
  <si>
    <t>На начало года</t>
  </si>
  <si>
    <t>На конец года</t>
  </si>
  <si>
    <t>Реализованная продукция</t>
  </si>
  <si>
    <t>А</t>
  </si>
  <si>
    <t>Б</t>
  </si>
  <si>
    <t>В</t>
  </si>
  <si>
    <t>Г</t>
  </si>
  <si>
    <t>Д</t>
  </si>
  <si>
    <t>Всего</t>
  </si>
  <si>
    <t>Остатки на складе готовой продукции, шт</t>
  </si>
  <si>
    <t>Количество, шт</t>
  </si>
  <si>
    <t>Сумма, т.р.</t>
  </si>
  <si>
    <t>Таблица 1. Расчет производственной программы</t>
  </si>
  <si>
    <t>Таблица 2. Расчет потребности в материальных затратах</t>
  </si>
  <si>
    <t>Материальные затраты</t>
  </si>
  <si>
    <t>На единицу</t>
  </si>
  <si>
    <t>На весь объем</t>
  </si>
  <si>
    <t>Расходы на электроэнергию</t>
  </si>
  <si>
    <t>На единицу, р.</t>
  </si>
  <si>
    <t>Трудоемкость, ч</t>
  </si>
  <si>
    <t>Эффект. Фонд</t>
  </si>
  <si>
    <t>Коэффициент</t>
  </si>
  <si>
    <t>Численность</t>
  </si>
  <si>
    <t>Таблица 3. Численность основных рабочих</t>
  </si>
  <si>
    <t>Числ., округл.</t>
  </si>
  <si>
    <t>Вспомогательные</t>
  </si>
  <si>
    <t>ИТР</t>
  </si>
  <si>
    <t>ФЗПпр.</t>
  </si>
  <si>
    <t>ФЗПсд.</t>
  </si>
  <si>
    <t>ФЗПвсп.</t>
  </si>
  <si>
    <t>Таблица 4. Планирование себестоимости продукции</t>
  </si>
  <si>
    <t>ФЗПобщ.</t>
  </si>
  <si>
    <t>Сырье и материалы</t>
  </si>
  <si>
    <t>Энергия</t>
  </si>
  <si>
    <t>Зарплата</t>
  </si>
  <si>
    <t>Соц. Нужды</t>
  </si>
  <si>
    <t>Содерж. оборуд.</t>
  </si>
  <si>
    <t>Цеховые расходы</t>
  </si>
  <si>
    <t>Статья расходов</t>
  </si>
  <si>
    <t>Себестоимость</t>
  </si>
  <si>
    <t>Цеховая</t>
  </si>
  <si>
    <t>Производственная</t>
  </si>
  <si>
    <t>Полная</t>
  </si>
  <si>
    <t>Общехозяйственные</t>
  </si>
  <si>
    <t>Прочие</t>
  </si>
  <si>
    <t>Внепроизводственные</t>
  </si>
  <si>
    <t>В целом по предприятию:</t>
  </si>
  <si>
    <t>Товар</t>
  </si>
  <si>
    <t>Материалы</t>
  </si>
  <si>
    <t>Цеховые</t>
  </si>
  <si>
    <t>Общехоз.</t>
  </si>
  <si>
    <t>Внепроизв.</t>
  </si>
  <si>
    <t>Произв.</t>
  </si>
  <si>
    <t>Числ. Всп.</t>
  </si>
  <si>
    <t>Числ. Всп. Окр.</t>
  </si>
  <si>
    <t>Числ. ИТР</t>
  </si>
  <si>
    <t>Числ. ИТР окр.</t>
  </si>
  <si>
    <t>Цена</t>
  </si>
  <si>
    <t>Объем</t>
  </si>
  <si>
    <t>Прибыль</t>
  </si>
  <si>
    <t>Итоговая, на шт</t>
  </si>
  <si>
    <t>Рентабельность</t>
  </si>
  <si>
    <t>Основные технико-экономические показатели</t>
  </si>
  <si>
    <t>№</t>
  </si>
  <si>
    <t>Показатели</t>
  </si>
  <si>
    <t>Единица измерения</t>
  </si>
  <si>
    <t>Значение показателя</t>
  </si>
  <si>
    <t>Товарная продукция</t>
  </si>
  <si>
    <t>Себестоимость товарной продукции</t>
  </si>
  <si>
    <t>Себестоимость единицы продукции</t>
  </si>
  <si>
    <t>Изделия А</t>
  </si>
  <si>
    <t>Изделия Б</t>
  </si>
  <si>
    <t>Изделия В</t>
  </si>
  <si>
    <t>Изделия Г</t>
  </si>
  <si>
    <t>Изделия Д</t>
  </si>
  <si>
    <t>Затраты на рубль товарной продукции</t>
  </si>
  <si>
    <t>Себестоимость реализованной продукции</t>
  </si>
  <si>
    <t>Рентабельность изделий</t>
  </si>
  <si>
    <t>Численность ППП</t>
  </si>
  <si>
    <t>в том числе рабочих</t>
  </si>
  <si>
    <t>Фонд заработной платы</t>
  </si>
  <si>
    <t>Производительность труда 1 работающего</t>
  </si>
  <si>
    <t>Среднегодовая заработная плата 1 работающего</t>
  </si>
  <si>
    <t>Фондоотдача</t>
  </si>
  <si>
    <t>Фондоемкость</t>
  </si>
  <si>
    <t>Фондовооруженность</t>
  </si>
  <si>
    <t>Рентабельность основных фондов</t>
  </si>
  <si>
    <t>т. руб.</t>
  </si>
  <si>
    <t>руб.</t>
  </si>
  <si>
    <t>%</t>
  </si>
  <si>
    <t>чел.</t>
  </si>
  <si>
    <t>т. руб./чел.</t>
  </si>
  <si>
    <t>`-</t>
  </si>
  <si>
    <t>т.руб./чел.</t>
  </si>
  <si>
    <t>Совокупные постоянные расходы за год</t>
  </si>
  <si>
    <t>Цена реализации единицы продукции</t>
  </si>
  <si>
    <t>Переменные издержки на единицу продукции</t>
  </si>
  <si>
    <t>Текущий объем реализации</t>
  </si>
  <si>
    <t>Приемлемый диапазон объемов производства</t>
  </si>
  <si>
    <t>Планируемая чистая прибыль</t>
  </si>
  <si>
    <t>Сокращение совокупных постоянных расходов</t>
  </si>
  <si>
    <t>Сокращение переменных издержек</t>
  </si>
  <si>
    <t>Дополнительные постоянные издержки</t>
  </si>
  <si>
    <t>ед./год</t>
  </si>
  <si>
    <t>1800-3600</t>
  </si>
  <si>
    <t>т. руб./год</t>
  </si>
  <si>
    <t>Точка безубыточности</t>
  </si>
  <si>
    <t>Объем реализации продукции для получения планового размера чистой прибыли</t>
  </si>
  <si>
    <t>Чистая прибыль при сокращении постоянных расходов</t>
  </si>
  <si>
    <t>Рост на 2500</t>
  </si>
  <si>
    <t>Постоянные (FC)</t>
  </si>
  <si>
    <t>Цена (P)</t>
  </si>
  <si>
    <t>Переменные (AVC)</t>
  </si>
  <si>
    <t>План. Прибыль (Pц)</t>
  </si>
  <si>
    <t>Объем (Qп)</t>
  </si>
  <si>
    <t>Qб=FC/(P-AVC)</t>
  </si>
  <si>
    <t>Т. Безубыточности (Qб)</t>
  </si>
  <si>
    <t>Qп=(Pц+FC)/(P-AVC)</t>
  </si>
  <si>
    <t>Сокращение (ΔFC)</t>
  </si>
  <si>
    <t>Прибыль до (Pчист_до)</t>
  </si>
  <si>
    <t>Прибыль после (Pчист_после)</t>
  </si>
  <si>
    <t>Pчист_после=(P-AVC)*Qп-(FC-ΔFC)</t>
  </si>
  <si>
    <t>Чистая прибыль при сокращении переменных расходов</t>
  </si>
  <si>
    <t>Сокращение (ΔAVC)</t>
  </si>
  <si>
    <t>Pчист_после=(P-(AVC-ΔAVC))*Qп-FC</t>
  </si>
  <si>
    <t>Цена реализации для получения плановой чистой прибыли при текущем объеме</t>
  </si>
  <si>
    <t>Объем (Qт)</t>
  </si>
  <si>
    <t>Новая цена (Pнов)</t>
  </si>
  <si>
    <t>Рнов=(FC+Рц+AVC*Qт)/Qт</t>
  </si>
  <si>
    <t>Дополнительный объем реализации для покрытия доп. постоянных издержек</t>
  </si>
  <si>
    <t>Доп. Пост. Изд. (FCдоп)</t>
  </si>
  <si>
    <t>Доп. Объем (Qдоп)</t>
  </si>
  <si>
    <t>Рост на 1600</t>
  </si>
  <si>
    <t>Qдоп=FCдоп/(P-AVC)</t>
  </si>
  <si>
    <t>Запас финансовой прочности</t>
  </si>
  <si>
    <t>Запас (З)</t>
  </si>
  <si>
    <t>З=(Qт-Qб)/Qт</t>
  </si>
  <si>
    <t>График безубыточности</t>
  </si>
  <si>
    <t>ЗАДАЧА 20</t>
  </si>
  <si>
    <t>тыс.руб.</t>
  </si>
  <si>
    <t>ЗАДАЧА 21</t>
  </si>
  <si>
    <t>Сумма обязательств к погашению</t>
  </si>
  <si>
    <t>Сумма денежных средств</t>
  </si>
  <si>
    <t>Сумма краткосрочных вложений</t>
  </si>
  <si>
    <t>ЗАДАЧА 22</t>
  </si>
  <si>
    <t>Собственный капитал</t>
  </si>
  <si>
    <t>Заемный капитал</t>
  </si>
  <si>
    <t>Коэффициент обеспеченности</t>
  </si>
  <si>
    <t>Коэффициент ликвидности</t>
  </si>
  <si>
    <t>Коэффициент автономии</t>
  </si>
  <si>
    <t>ЗАДАЧА 23</t>
  </si>
  <si>
    <t>Долгосрочные обязательства</t>
  </si>
  <si>
    <t>Краткосрочные обязательства</t>
  </si>
  <si>
    <t>Оборотные активы</t>
  </si>
  <si>
    <t>Собственный оборотный капитал</t>
  </si>
  <si>
    <t>СОК=ОА-КО</t>
  </si>
  <si>
    <t>Ко = СК-ВА/ОА = (1-3)/2</t>
  </si>
  <si>
    <t>1 раздел (внеоборотные активы)</t>
  </si>
  <si>
    <t>2 раздел (оборотные активы)</t>
  </si>
  <si>
    <t>3 раздел (собственный капитал)</t>
  </si>
  <si>
    <t>Кл=(ДС+КФВ)/КО</t>
  </si>
  <si>
    <t>Ка=СК/(СК+ЗК)</t>
  </si>
  <si>
    <t>Выплаты по привелигированным</t>
  </si>
  <si>
    <t>Простые акции</t>
  </si>
  <si>
    <t>Привелигированные акции</t>
  </si>
  <si>
    <t>Облигации</t>
  </si>
  <si>
    <t>Номинал</t>
  </si>
  <si>
    <t>Купон по облигациям</t>
  </si>
  <si>
    <t>Дивиденд по привелигированным</t>
  </si>
  <si>
    <t>Прибыль к распределению</t>
  </si>
  <si>
    <t>Выплаты по облигациям</t>
  </si>
  <si>
    <t>Выплаты по акциям</t>
  </si>
  <si>
    <t>Дивидент по обыкновенным</t>
  </si>
  <si>
    <t>Норма доходности</t>
  </si>
  <si>
    <t>Срок погашения, лет</t>
  </si>
  <si>
    <t>Купонный доход</t>
  </si>
  <si>
    <t>Длительность периода, лет</t>
  </si>
  <si>
    <t>Ставка сравнения</t>
  </si>
  <si>
    <t>Внутренняя стоимость</t>
  </si>
  <si>
    <t>Для купонных доходов</t>
  </si>
  <si>
    <t>Для номинала</t>
  </si>
  <si>
    <t>Номинал облигации</t>
  </si>
  <si>
    <t>Срок, лет</t>
  </si>
  <si>
    <t>Купонная ставка</t>
  </si>
  <si>
    <t>Выплата в год, раз</t>
  </si>
  <si>
    <t>Ставка сравнения, в год</t>
  </si>
  <si>
    <t>1 год</t>
  </si>
  <si>
    <t>2 год</t>
  </si>
  <si>
    <t>3 год</t>
  </si>
  <si>
    <t>Дивиденд</t>
  </si>
  <si>
    <t>Альтернативная цена капитала</t>
  </si>
  <si>
    <t>Максимально возможная цена</t>
  </si>
  <si>
    <t>Эффективная ставка</t>
  </si>
  <si>
    <t>Выплат в год</t>
  </si>
  <si>
    <t>Годовой купон</t>
  </si>
  <si>
    <t>Полугодовой купон</t>
  </si>
  <si>
    <t>Норма доходности за полгода</t>
  </si>
  <si>
    <t>Периодов</t>
  </si>
  <si>
    <t>Текущая стоимость купона</t>
  </si>
  <si>
    <t>Итоговая стоимость</t>
  </si>
  <si>
    <t>Количество</t>
  </si>
  <si>
    <t>Ставка купона</t>
  </si>
  <si>
    <t>Текущая стоимость</t>
  </si>
  <si>
    <t>Ежегодный дивиденд</t>
  </si>
  <si>
    <t>Рыночная цена</t>
  </si>
  <si>
    <t>Стоимость акции</t>
  </si>
  <si>
    <t>Рост дивидендов</t>
  </si>
  <si>
    <t>Номинальная стоимость акций</t>
  </si>
  <si>
    <t>Размер дивиденда</t>
  </si>
  <si>
    <t>Размер банковской ставки</t>
  </si>
  <si>
    <t>Стоимость акции на рынке</t>
  </si>
  <si>
    <t>Стоимость</t>
  </si>
  <si>
    <t>Стоимость через 2 года</t>
  </si>
  <si>
    <t>Дивиденды</t>
  </si>
  <si>
    <t>Рыночная ставка</t>
  </si>
  <si>
    <t>Дивиденды за 1 год</t>
  </si>
  <si>
    <t>Дивиденды за 2 год</t>
  </si>
  <si>
    <t>Ежегодный доход</t>
  </si>
  <si>
    <t>Квартальный доход</t>
  </si>
  <si>
    <t>Квартальная ставка</t>
  </si>
  <si>
    <t>Внутреняя стоимость</t>
  </si>
  <si>
    <t>Дивиденд на след.год</t>
  </si>
  <si>
    <t>Прирост</t>
  </si>
  <si>
    <t>СОК=СК+ДО-КО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</si>
</sst>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ont="1" applyAlignment="1"/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0" xfId="0" applyAlignment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419101</xdr:colOff>
      <xdr:row>34</xdr:row>
      <xdr:rowOff>45720</xdr:rowOff>
    </xdr:from>
    <xdr:to>
      <xdr:col>7</xdr:col>
      <xdr:colOff>89264</xdr:colOff>
      <xdr:row>74</xdr:row>
      <xdr:rowOff>22310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55478A4-AAC0-41F7-9682-99E2EFA2B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1" y="6263640"/>
          <a:ext cx="12982303" cy="72917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586740</xdr:colOff>
      <xdr:row>1</xdr:row>
      <xdr:rowOff>7620</xdr:rowOff>
    </xdr:from>
    <xdr:ext cx="6654963" cy="1125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C38756-66C7-4AA2-BDEF-967EE4C53500}"/>
            </a:ext>
          </a:extLst>
        </xdr:cNvPr>
        <xdr:cNvSpPr txBox="1"/>
      </xdr:nvSpPr>
      <xdr:spPr>
        <a:xfrm>
          <a:off x="586740" y="190500"/>
          <a:ext cx="6654963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АО выпустило 500 простых акций, 100 привилегированных и 250 облигаций.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Номинал – 100 тыс. Купон по облигациям – 12%, дивиденд по привилегированным – 15%.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Нужно определить дивиденд от прибыли по обыкновенным акциям.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Расположить всех держателей ценных бумаг по степени убывания доходности финансовых инструментов.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Прибыль к распределению – 16 млн.</a:t>
          </a:r>
        </a:p>
        <a:p>
          <a:endParaRPr lang="ru-RU" sz="1100"/>
        </a:p>
      </xdr:txBody>
    </xdr:sp>
    <xdr:clientData/>
  </xdr:oneCellAnchor>
  <xdr:oneCellAnchor>
    <xdr:from>
      <xdr:col>0</xdr:col>
      <xdr:colOff>533400</xdr:colOff>
      <xdr:row>22</xdr:row>
      <xdr:rowOff>144780</xdr:rowOff>
    </xdr:from>
    <xdr:ext cx="4882427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BF5B320-4D57-4631-AA25-1A13304BC65B}"/>
            </a:ext>
          </a:extLst>
        </xdr:cNvPr>
        <xdr:cNvSpPr txBox="1"/>
      </xdr:nvSpPr>
      <xdr:spPr>
        <a:xfrm>
          <a:off x="533400" y="4168140"/>
          <a:ext cx="4882427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Какую цену заплатит инвестор за бескупонную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облигацию с номиналом 5 тыс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и погашением через 2 года, если требуемая норма доходности - 6%.</a:t>
          </a:r>
          <a:endParaRPr lang="ru-RU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ru-RU" sz="1100"/>
        </a:p>
      </xdr:txBody>
    </xdr:sp>
    <xdr:clientData/>
  </xdr:oneCellAnchor>
  <xdr:oneCellAnchor>
    <xdr:from>
      <xdr:col>0</xdr:col>
      <xdr:colOff>655320</xdr:colOff>
      <xdr:row>30</xdr:row>
      <xdr:rowOff>121920</xdr:rowOff>
    </xdr:from>
    <xdr:ext cx="4979953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F40BA29-4AEC-4823-AAE6-C1755AFFFB04}"/>
            </a:ext>
          </a:extLst>
        </xdr:cNvPr>
        <xdr:cNvSpPr txBox="1"/>
      </xdr:nvSpPr>
      <xdr:spPr>
        <a:xfrm>
          <a:off x="655320" y="5608320"/>
          <a:ext cx="497995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Определить внутреннюю стоимость купонной облигации, если номинал - 1000,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купонный доход - 150, длительность периода - 2 года, ставка сравнения - 12%</a:t>
          </a:r>
        </a:p>
      </xdr:txBody>
    </xdr:sp>
    <xdr:clientData/>
  </xdr:oneCellAnchor>
  <xdr:oneCellAnchor>
    <xdr:from>
      <xdr:col>0</xdr:col>
      <xdr:colOff>678180</xdr:colOff>
      <xdr:row>42</xdr:row>
      <xdr:rowOff>45720</xdr:rowOff>
    </xdr:from>
    <xdr:ext cx="4826129" cy="60901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2BCEADC-E2F7-4E6B-AAC8-6A8589CE2270}"/>
            </a:ext>
          </a:extLst>
        </xdr:cNvPr>
        <xdr:cNvSpPr txBox="1"/>
      </xdr:nvSpPr>
      <xdr:spPr>
        <a:xfrm>
          <a:off x="678180" y="7726680"/>
          <a:ext cx="4826129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Номинал облигации - 100 тыс. руб., срок - 3 года. Купонная ставка - 20%.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Выплата купона 1 раз в год. Найти внутреннюю стоимость, если приемлимая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для инвестора ставка сравнения - 23% годовых</a:t>
          </a:r>
        </a:p>
      </xdr:txBody>
    </xdr:sp>
    <xdr:clientData/>
  </xdr:oneCellAnchor>
  <xdr:oneCellAnchor>
    <xdr:from>
      <xdr:col>0</xdr:col>
      <xdr:colOff>609600</xdr:colOff>
      <xdr:row>57</xdr:row>
      <xdr:rowOff>45720</xdr:rowOff>
    </xdr:from>
    <xdr:ext cx="4769062" cy="78124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0F8E95F-53B4-406F-8C78-F207CD6C6495}"/>
            </a:ext>
          </a:extLst>
        </xdr:cNvPr>
        <xdr:cNvSpPr txBox="1"/>
      </xdr:nvSpPr>
      <xdr:spPr>
        <a:xfrm>
          <a:off x="609600" y="10469880"/>
          <a:ext cx="4769062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 привелигированной акции ежегодно выплачивается дивиденд - 6300.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Альтернативная цена капитала - 15%. Какова максимально возможная цена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покупки такой акции, если дивиденды выплачиваются поквартально?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632460</xdr:colOff>
      <xdr:row>67</xdr:row>
      <xdr:rowOff>83820</xdr:rowOff>
    </xdr:from>
    <xdr:ext cx="4833311" cy="60901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697D01F-7305-4032-BF1A-0C6C6BC88DCB}"/>
            </a:ext>
          </a:extLst>
        </xdr:cNvPr>
        <xdr:cNvSpPr txBox="1"/>
      </xdr:nvSpPr>
      <xdr:spPr>
        <a:xfrm>
          <a:off x="632460" y="12336780"/>
          <a:ext cx="4833311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Определить текущую стоимость 3-летней облигации, номинал - 8000.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Купонная ставка - 8%, выплачивается раз в полгода. Норма доходности - 11%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685800</xdr:colOff>
      <xdr:row>86</xdr:row>
      <xdr:rowOff>22860</xdr:rowOff>
    </xdr:from>
    <xdr:ext cx="4823885" cy="60901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EA832EA-D5D6-476A-8277-6343D9099A1F}"/>
            </a:ext>
          </a:extLst>
        </xdr:cNvPr>
        <xdr:cNvSpPr txBox="1"/>
      </xdr:nvSpPr>
      <xdr:spPr>
        <a:xfrm>
          <a:off x="685800" y="15750540"/>
          <a:ext cx="482388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Определить текущую стоимость 700 единиц номинала облигаций фирмы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со сроком обращения 100 лет, исходя из требуемой нормы доходности - 8%.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Ставка купона - 9%, выплачивается раз в полгода.</a:t>
          </a:r>
        </a:p>
      </xdr:txBody>
    </xdr:sp>
    <xdr:clientData/>
  </xdr:oneCellAnchor>
  <xdr:oneCellAnchor>
    <xdr:from>
      <xdr:col>0</xdr:col>
      <xdr:colOff>350520</xdr:colOff>
      <xdr:row>102</xdr:row>
      <xdr:rowOff>91440</xdr:rowOff>
    </xdr:from>
    <xdr:ext cx="3983976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383B82E-33AD-412B-8DC3-62704EEF1ABF}"/>
            </a:ext>
          </a:extLst>
        </xdr:cNvPr>
        <xdr:cNvSpPr txBox="1"/>
      </xdr:nvSpPr>
      <xdr:spPr>
        <a:xfrm>
          <a:off x="350520" y="18745200"/>
          <a:ext cx="398397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Рыночная цена акции с ежегодным дивидендом 60 равна 250.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Определить стоимость акции, если норма доходности - 20%</a:t>
          </a:r>
        </a:p>
      </xdr:txBody>
    </xdr:sp>
    <xdr:clientData/>
  </xdr:oneCellAnchor>
  <xdr:oneCellAnchor>
    <xdr:from>
      <xdr:col>0</xdr:col>
      <xdr:colOff>396240</xdr:colOff>
      <xdr:row>111</xdr:row>
      <xdr:rowOff>60960</xdr:rowOff>
    </xdr:from>
    <xdr:ext cx="3996479" cy="60901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0C310A5-1B91-40BD-B537-AF4B432C1059}"/>
            </a:ext>
          </a:extLst>
        </xdr:cNvPr>
        <xdr:cNvSpPr txBox="1"/>
      </xdr:nvSpPr>
      <xdr:spPr>
        <a:xfrm>
          <a:off x="396240" y="20360640"/>
          <a:ext cx="3996479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Рыночная цена акции с ежегодным дивидендом 60 равна 250.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Определить стоимость акции, если норма доходности - 10%.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Ожидается постоянный рост дивидендов - 2% в год</a:t>
          </a:r>
        </a:p>
      </xdr:txBody>
    </xdr:sp>
    <xdr:clientData/>
  </xdr:oneCellAnchor>
  <xdr:oneCellAnchor>
    <xdr:from>
      <xdr:col>0</xdr:col>
      <xdr:colOff>434340</xdr:colOff>
      <xdr:row>122</xdr:row>
      <xdr:rowOff>0</xdr:rowOff>
    </xdr:from>
    <xdr:ext cx="4634217" cy="60901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AF6301B-DE68-4A50-BCD0-AE0736F39E46}"/>
            </a:ext>
          </a:extLst>
        </xdr:cNvPr>
        <xdr:cNvSpPr txBox="1"/>
      </xdr:nvSpPr>
      <xdr:spPr>
        <a:xfrm>
          <a:off x="434340" y="22311360"/>
          <a:ext cx="4634217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Номинальная стоимость акции АО - 70300. Определить стоимость акции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на рынке ценных бумаг, если известно, что размер дивиденда ожидается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на уровне 15%, а размер банковской ставки - 18%</a:t>
          </a:r>
        </a:p>
      </xdr:txBody>
    </xdr:sp>
    <xdr:clientData/>
  </xdr:oneCellAnchor>
  <xdr:oneCellAnchor>
    <xdr:from>
      <xdr:col>0</xdr:col>
      <xdr:colOff>266700</xdr:colOff>
      <xdr:row>134</xdr:row>
      <xdr:rowOff>121920</xdr:rowOff>
    </xdr:from>
    <xdr:ext cx="5389745" cy="609013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4F3D9B9-6DE0-48EF-AF10-D1F0E32DF992}"/>
            </a:ext>
          </a:extLst>
        </xdr:cNvPr>
        <xdr:cNvSpPr txBox="1"/>
      </xdr:nvSpPr>
      <xdr:spPr>
        <a:xfrm>
          <a:off x="266700" y="24627840"/>
          <a:ext cx="538974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Обыкновенные акции стоят 450 рублей. За 2 года их цена вырастет до 500 р.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 этим акциям в конце следующих 2 лет будет выплачено по 50 рублей дивидендов.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Рыночная ставка - 10%. Определить внутреннюю стоимость</a:t>
          </a:r>
        </a:p>
      </xdr:txBody>
    </xdr:sp>
    <xdr:clientData/>
  </xdr:oneCellAnchor>
  <xdr:oneCellAnchor>
    <xdr:from>
      <xdr:col>0</xdr:col>
      <xdr:colOff>541020</xdr:colOff>
      <xdr:row>150</xdr:row>
      <xdr:rowOff>76200</xdr:rowOff>
    </xdr:from>
    <xdr:ext cx="5526834" cy="43678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16857A7-D19E-4634-89A1-D9721AF336F9}"/>
            </a:ext>
          </a:extLst>
        </xdr:cNvPr>
        <xdr:cNvSpPr txBox="1"/>
      </xdr:nvSpPr>
      <xdr:spPr>
        <a:xfrm>
          <a:off x="541020" y="27508200"/>
          <a:ext cx="552683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 бессрочной облигации установлен ежегодный доход 60 т. р., ставка сравнения - 23%.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Определить внутреннюю стоимость, периодичность выплат каждый квартал. </a:t>
          </a:r>
        </a:p>
      </xdr:txBody>
    </xdr:sp>
    <xdr:clientData/>
  </xdr:oneCellAnchor>
  <xdr:oneCellAnchor>
    <xdr:from>
      <xdr:col>0</xdr:col>
      <xdr:colOff>617220</xdr:colOff>
      <xdr:row>161</xdr:row>
      <xdr:rowOff>15240</xdr:rowOff>
    </xdr:from>
    <xdr:ext cx="4795287" cy="609013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2FCE2E7-9669-40D0-B709-7F050309F337}"/>
            </a:ext>
          </a:extLst>
        </xdr:cNvPr>
        <xdr:cNvSpPr txBox="1"/>
      </xdr:nvSpPr>
      <xdr:spPr>
        <a:xfrm>
          <a:off x="617220" y="29458920"/>
          <a:ext cx="4795287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 обыкновенным акциям в базисном году был выплачен дивиденд - 900 р.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 дальнейшем планируется ежегодный 13%-ный прирост дивидендов.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Альтернативная цена капитала - 25%. Определить стоимость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16D11-F66F-4B21-9171-9F171D7109D5}">
  <dimension ref="A1:Q97"/>
  <sheetViews>
    <sheetView topLeftCell="A67" zoomScaleNormal="100" workbookViewId="0">
      <selection activeCell="F74" sqref="F74"/>
    </sheetView>
  </sheetViews>
  <sheetFormatPr defaultRowHeight="14.4" x14ac:dyDescent="0.3"/>
  <cols>
    <col min="1" max="1" width="20.6640625" customWidth="1"/>
    <col min="2" max="2" width="43.77734375" customWidth="1"/>
    <col min="3" max="3" width="19.21875" customWidth="1"/>
    <col min="4" max="4" width="19.6640625" customWidth="1"/>
    <col min="5" max="5" width="19.109375" customWidth="1"/>
    <col min="6" max="6" width="18" customWidth="1"/>
    <col min="7" max="11" width="14.33203125" customWidth="1"/>
    <col min="12" max="12" width="11.21875" customWidth="1"/>
    <col min="13" max="13" width="12" bestFit="1" customWidth="1"/>
    <col min="14" max="14" width="15.21875" customWidth="1"/>
    <col min="15" max="15" width="11" bestFit="1" customWidth="1"/>
  </cols>
  <sheetData>
    <row r="1" spans="1:12" x14ac:dyDescent="0.3">
      <c r="A1" s="19" t="s">
        <v>16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x14ac:dyDescent="0.3">
      <c r="A2" s="18" t="s">
        <v>0</v>
      </c>
      <c r="B2" s="18" t="s">
        <v>1</v>
      </c>
      <c r="C2" s="18" t="s">
        <v>2</v>
      </c>
      <c r="D2" s="18"/>
      <c r="E2" s="18" t="s">
        <v>13</v>
      </c>
      <c r="F2" s="18"/>
      <c r="G2" s="18" t="s">
        <v>6</v>
      </c>
      <c r="H2" s="18"/>
      <c r="I2" s="1"/>
      <c r="J2" s="1"/>
      <c r="K2" s="1"/>
      <c r="L2" s="1"/>
    </row>
    <row r="3" spans="1:12" x14ac:dyDescent="0.3">
      <c r="A3" s="18"/>
      <c r="B3" s="18"/>
      <c r="C3" s="2" t="s">
        <v>14</v>
      </c>
      <c r="D3" s="2" t="s">
        <v>15</v>
      </c>
      <c r="E3" s="2" t="s">
        <v>4</v>
      </c>
      <c r="F3" s="2" t="s">
        <v>5</v>
      </c>
      <c r="G3" s="2" t="s">
        <v>14</v>
      </c>
      <c r="H3" s="2" t="s">
        <v>15</v>
      </c>
      <c r="I3" s="2"/>
      <c r="J3" s="2"/>
      <c r="K3" s="2"/>
    </row>
    <row r="4" spans="1:12" x14ac:dyDescent="0.3">
      <c r="A4" t="s">
        <v>7</v>
      </c>
      <c r="B4">
        <v>15.5</v>
      </c>
      <c r="C4">
        <v>750</v>
      </c>
      <c r="D4">
        <f>B4*C4</f>
        <v>11625</v>
      </c>
      <c r="E4">
        <v>10</v>
      </c>
      <c r="F4">
        <v>8</v>
      </c>
      <c r="G4">
        <f>C4+E4-F4</f>
        <v>752</v>
      </c>
      <c r="H4">
        <f>G4*B4</f>
        <v>11656</v>
      </c>
    </row>
    <row r="5" spans="1:12" x14ac:dyDescent="0.3">
      <c r="A5" t="s">
        <v>8</v>
      </c>
      <c r="B5">
        <v>12.2</v>
      </c>
      <c r="C5">
        <v>510</v>
      </c>
      <c r="D5">
        <f t="shared" ref="D5:D8" si="0">B5*C5</f>
        <v>6222</v>
      </c>
      <c r="E5">
        <v>8</v>
      </c>
      <c r="F5">
        <v>6</v>
      </c>
      <c r="G5">
        <f>C5+E5-F5</f>
        <v>512</v>
      </c>
      <c r="H5">
        <f>G5*B5</f>
        <v>6246.4</v>
      </c>
    </row>
    <row r="6" spans="1:12" x14ac:dyDescent="0.3">
      <c r="A6" t="s">
        <v>9</v>
      </c>
      <c r="B6">
        <v>10.1</v>
      </c>
      <c r="C6">
        <v>305</v>
      </c>
      <c r="D6">
        <f t="shared" si="0"/>
        <v>3080.5</v>
      </c>
      <c r="E6">
        <v>5</v>
      </c>
      <c r="F6">
        <v>7</v>
      </c>
      <c r="G6">
        <f>C6+E6-F6</f>
        <v>303</v>
      </c>
      <c r="H6">
        <f>G6*B6</f>
        <v>3060.2999999999997</v>
      </c>
    </row>
    <row r="7" spans="1:12" x14ac:dyDescent="0.3">
      <c r="A7" t="s">
        <v>10</v>
      </c>
      <c r="B7">
        <v>14.4</v>
      </c>
      <c r="C7">
        <v>944</v>
      </c>
      <c r="D7">
        <f t="shared" si="0"/>
        <v>13593.6</v>
      </c>
      <c r="E7">
        <v>20</v>
      </c>
      <c r="F7">
        <v>18</v>
      </c>
      <c r="G7">
        <f>C7+E7-F7</f>
        <v>946</v>
      </c>
      <c r="H7">
        <f>G7*B7</f>
        <v>13622.4</v>
      </c>
    </row>
    <row r="8" spans="1:12" x14ac:dyDescent="0.3">
      <c r="A8" t="s">
        <v>11</v>
      </c>
      <c r="B8">
        <v>11</v>
      </c>
      <c r="C8">
        <v>132</v>
      </c>
      <c r="D8">
        <f t="shared" si="0"/>
        <v>1452</v>
      </c>
      <c r="E8">
        <v>3</v>
      </c>
      <c r="F8">
        <v>5</v>
      </c>
      <c r="G8">
        <f>C8+E8-F8</f>
        <v>130</v>
      </c>
      <c r="H8">
        <f>G8*B8</f>
        <v>1430</v>
      </c>
    </row>
    <row r="9" spans="1:12" x14ac:dyDescent="0.3">
      <c r="A9" t="s">
        <v>12</v>
      </c>
      <c r="B9">
        <f t="shared" ref="B9:H9" si="1">SUM(B4:B8)</f>
        <v>63.199999999999996</v>
      </c>
      <c r="C9">
        <f t="shared" si="1"/>
        <v>2641</v>
      </c>
      <c r="D9">
        <f t="shared" si="1"/>
        <v>35973.1</v>
      </c>
      <c r="E9">
        <f t="shared" si="1"/>
        <v>46</v>
      </c>
      <c r="F9">
        <f t="shared" si="1"/>
        <v>44</v>
      </c>
      <c r="G9">
        <f t="shared" si="1"/>
        <v>2643</v>
      </c>
      <c r="H9">
        <f t="shared" si="1"/>
        <v>36015.1</v>
      </c>
    </row>
    <row r="11" spans="1:12" x14ac:dyDescent="0.3">
      <c r="A11" s="19" t="s">
        <v>17</v>
      </c>
      <c r="B11" s="19"/>
      <c r="C11" s="19"/>
      <c r="D11" s="19"/>
      <c r="E11" s="19"/>
      <c r="F11" s="19"/>
      <c r="G11" s="4"/>
      <c r="H11" s="4"/>
      <c r="I11" s="4"/>
      <c r="J11" s="4"/>
      <c r="K11" s="4"/>
      <c r="L11" s="4"/>
    </row>
    <row r="12" spans="1:12" x14ac:dyDescent="0.3">
      <c r="A12" s="18" t="s">
        <v>0</v>
      </c>
      <c r="B12" s="18" t="s">
        <v>14</v>
      </c>
      <c r="C12" s="18" t="s">
        <v>18</v>
      </c>
      <c r="D12" s="18"/>
      <c r="E12" s="18" t="s">
        <v>21</v>
      </c>
      <c r="F12" s="18"/>
    </row>
    <row r="13" spans="1:12" x14ac:dyDescent="0.3">
      <c r="A13" s="18"/>
      <c r="B13" s="18"/>
      <c r="C13" s="2" t="s">
        <v>22</v>
      </c>
      <c r="D13" s="2" t="s">
        <v>20</v>
      </c>
      <c r="E13" s="2" t="s">
        <v>19</v>
      </c>
      <c r="F13" s="2" t="s">
        <v>20</v>
      </c>
    </row>
    <row r="14" spans="1:12" x14ac:dyDescent="0.3">
      <c r="A14" t="s">
        <v>7</v>
      </c>
      <c r="B14">
        <v>750</v>
      </c>
      <c r="C14">
        <v>365</v>
      </c>
      <c r="D14">
        <f>B14*C14</f>
        <v>273750</v>
      </c>
      <c r="E14">
        <f>C14*0.14</f>
        <v>51.1</v>
      </c>
      <c r="F14">
        <f>B14*E14</f>
        <v>38325</v>
      </c>
    </row>
    <row r="15" spans="1:12" x14ac:dyDescent="0.3">
      <c r="A15" t="s">
        <v>8</v>
      </c>
      <c r="B15">
        <v>510</v>
      </c>
      <c r="C15">
        <v>250</v>
      </c>
      <c r="D15">
        <f t="shared" ref="D15:D18" si="2">B15*C15</f>
        <v>127500</v>
      </c>
      <c r="E15">
        <f t="shared" ref="E15:E18" si="3">C15*0.14</f>
        <v>35</v>
      </c>
      <c r="F15">
        <f t="shared" ref="F15:F18" si="4">B15*E15</f>
        <v>17850</v>
      </c>
    </row>
    <row r="16" spans="1:12" x14ac:dyDescent="0.3">
      <c r="A16" t="s">
        <v>9</v>
      </c>
      <c r="B16">
        <v>305</v>
      </c>
      <c r="C16">
        <v>228</v>
      </c>
      <c r="D16">
        <f t="shared" si="2"/>
        <v>69540</v>
      </c>
      <c r="E16">
        <f t="shared" si="3"/>
        <v>31.92</v>
      </c>
      <c r="F16">
        <f t="shared" si="4"/>
        <v>9735.6</v>
      </c>
    </row>
    <row r="17" spans="1:14" x14ac:dyDescent="0.3">
      <c r="A17" t="s">
        <v>10</v>
      </c>
      <c r="B17">
        <v>944</v>
      </c>
      <c r="C17">
        <v>348</v>
      </c>
      <c r="D17">
        <f t="shared" si="2"/>
        <v>328512</v>
      </c>
      <c r="E17">
        <f t="shared" si="3"/>
        <v>48.720000000000006</v>
      </c>
      <c r="F17">
        <f t="shared" si="4"/>
        <v>45991.680000000008</v>
      </c>
    </row>
    <row r="18" spans="1:14" x14ac:dyDescent="0.3">
      <c r="A18" t="s">
        <v>11</v>
      </c>
      <c r="B18">
        <v>132</v>
      </c>
      <c r="C18">
        <v>493</v>
      </c>
      <c r="D18">
        <f t="shared" si="2"/>
        <v>65076</v>
      </c>
      <c r="E18">
        <f t="shared" si="3"/>
        <v>69.02000000000001</v>
      </c>
      <c r="F18">
        <f t="shared" si="4"/>
        <v>9110.6400000000012</v>
      </c>
    </row>
    <row r="19" spans="1:14" x14ac:dyDescent="0.3">
      <c r="A19" t="s">
        <v>12</v>
      </c>
      <c r="B19">
        <f>SUM(B14:B18)</f>
        <v>2641</v>
      </c>
      <c r="C19">
        <f>SUM(C14:C18)</f>
        <v>1684</v>
      </c>
      <c r="D19">
        <f>SUM(D14:D18)</f>
        <v>864378</v>
      </c>
      <c r="E19">
        <f>SUM(E14:E18)</f>
        <v>235.76000000000002</v>
      </c>
      <c r="F19">
        <f>SUM(F14:F18)</f>
        <v>121012.92000000001</v>
      </c>
    </row>
    <row r="21" spans="1:14" x14ac:dyDescent="0.3">
      <c r="A21" s="19" t="s">
        <v>27</v>
      </c>
      <c r="B21" s="19"/>
      <c r="C21" s="19"/>
      <c r="D21" s="19"/>
      <c r="E21" s="19"/>
      <c r="F21" s="19"/>
      <c r="G21" s="19"/>
      <c r="H21" s="3"/>
      <c r="I21" s="3"/>
      <c r="J21" s="3"/>
      <c r="K21" s="3"/>
    </row>
    <row r="22" spans="1:14" x14ac:dyDescent="0.3">
      <c r="A22" s="5" t="s">
        <v>0</v>
      </c>
      <c r="B22" t="s">
        <v>14</v>
      </c>
      <c r="C22" s="5" t="s">
        <v>23</v>
      </c>
      <c r="D22" t="s">
        <v>24</v>
      </c>
      <c r="E22" t="s">
        <v>25</v>
      </c>
      <c r="F22" t="s">
        <v>26</v>
      </c>
      <c r="G22" t="s">
        <v>28</v>
      </c>
      <c r="H22" t="s">
        <v>57</v>
      </c>
      <c r="I22" t="s">
        <v>58</v>
      </c>
      <c r="J22" t="s">
        <v>59</v>
      </c>
      <c r="K22" t="s">
        <v>60</v>
      </c>
      <c r="L22" t="s">
        <v>31</v>
      </c>
      <c r="M22" t="s">
        <v>33</v>
      </c>
      <c r="N22" t="s">
        <v>35</v>
      </c>
    </row>
    <row r="23" spans="1:14" x14ac:dyDescent="0.3">
      <c r="A23" t="s">
        <v>7</v>
      </c>
      <c r="B23">
        <v>750</v>
      </c>
      <c r="C23">
        <v>52</v>
      </c>
      <c r="D23">
        <v>1980</v>
      </c>
      <c r="E23">
        <v>1.18</v>
      </c>
      <c r="F23">
        <f>(B23*C23)/(D23*E23)</f>
        <v>16.692347200821775</v>
      </c>
      <c r="G23">
        <f t="shared" ref="G23:G28" si="5">INT(F23)</f>
        <v>16</v>
      </c>
      <c r="H23">
        <f>G23*0.1</f>
        <v>1.6</v>
      </c>
      <c r="I23">
        <f>INT(H23)</f>
        <v>1</v>
      </c>
      <c r="J23">
        <f>(G23+I23)*0.08</f>
        <v>1.36</v>
      </c>
      <c r="K23">
        <f>INT(J23)</f>
        <v>1</v>
      </c>
      <c r="L23">
        <f>G23*D23*70</f>
        <v>2217600</v>
      </c>
      <c r="M23">
        <f>I23*D23*55</f>
        <v>108900</v>
      </c>
      <c r="N23">
        <f>L23+M23+7500*K23*12</f>
        <v>2416500</v>
      </c>
    </row>
    <row r="24" spans="1:14" x14ac:dyDescent="0.3">
      <c r="A24" t="s">
        <v>8</v>
      </c>
      <c r="B24">
        <v>510</v>
      </c>
      <c r="C24">
        <v>55</v>
      </c>
      <c r="D24">
        <v>1980</v>
      </c>
      <c r="E24">
        <v>1.18</v>
      </c>
      <c r="F24">
        <f t="shared" ref="F24:F26" si="6">(B24*C24)/(D24*E24)</f>
        <v>12.005649717514125</v>
      </c>
      <c r="G24">
        <f t="shared" si="5"/>
        <v>12</v>
      </c>
      <c r="H24">
        <f t="shared" ref="H24:H27" si="7">G24*0.1</f>
        <v>1.2000000000000002</v>
      </c>
      <c r="I24">
        <f t="shared" ref="I24:I26" si="8">INT(H24)</f>
        <v>1</v>
      </c>
      <c r="J24">
        <f t="shared" ref="J24:J27" si="9">(G24+I24)*0.08</f>
        <v>1.04</v>
      </c>
      <c r="K24">
        <f t="shared" ref="K24:K26" si="10">INT(J24)</f>
        <v>1</v>
      </c>
      <c r="L24">
        <f>G24*D24*70</f>
        <v>1663200</v>
      </c>
      <c r="M24">
        <f t="shared" ref="M24:M27" si="11">I24*D24*55</f>
        <v>108900</v>
      </c>
      <c r="N24">
        <f t="shared" ref="N24:N27" si="12">L24+M24+7500*K24*12</f>
        <v>1862100</v>
      </c>
    </row>
    <row r="25" spans="1:14" x14ac:dyDescent="0.3">
      <c r="A25" t="s">
        <v>9</v>
      </c>
      <c r="B25">
        <v>305</v>
      </c>
      <c r="C25">
        <v>65</v>
      </c>
      <c r="D25">
        <v>1980</v>
      </c>
      <c r="E25">
        <v>1.18</v>
      </c>
      <c r="F25">
        <f t="shared" si="6"/>
        <v>8.4852764937510692</v>
      </c>
      <c r="G25">
        <f t="shared" si="5"/>
        <v>8</v>
      </c>
      <c r="H25">
        <f t="shared" si="7"/>
        <v>0.8</v>
      </c>
      <c r="I25">
        <v>1</v>
      </c>
      <c r="J25">
        <f t="shared" si="9"/>
        <v>0.72</v>
      </c>
      <c r="K25">
        <v>1</v>
      </c>
      <c r="L25">
        <f>G25*D25*70</f>
        <v>1108800</v>
      </c>
      <c r="M25">
        <f t="shared" si="11"/>
        <v>108900</v>
      </c>
      <c r="N25">
        <f t="shared" si="12"/>
        <v>1307700</v>
      </c>
    </row>
    <row r="26" spans="1:14" x14ac:dyDescent="0.3">
      <c r="A26" t="s">
        <v>10</v>
      </c>
      <c r="B26">
        <v>944</v>
      </c>
      <c r="C26">
        <v>50</v>
      </c>
      <c r="D26">
        <v>1980</v>
      </c>
      <c r="E26">
        <v>1.18</v>
      </c>
      <c r="F26">
        <f t="shared" si="6"/>
        <v>20.202020202020201</v>
      </c>
      <c r="G26">
        <f t="shared" si="5"/>
        <v>20</v>
      </c>
      <c r="H26">
        <f t="shared" si="7"/>
        <v>2</v>
      </c>
      <c r="I26">
        <f t="shared" si="8"/>
        <v>2</v>
      </c>
      <c r="J26">
        <f t="shared" si="9"/>
        <v>1.76</v>
      </c>
      <c r="K26">
        <f t="shared" si="10"/>
        <v>1</v>
      </c>
      <c r="L26">
        <f>G26*D26*70</f>
        <v>2772000</v>
      </c>
      <c r="M26">
        <f t="shared" si="11"/>
        <v>217800</v>
      </c>
      <c r="N26">
        <f t="shared" si="12"/>
        <v>3079800</v>
      </c>
    </row>
    <row r="27" spans="1:14" x14ac:dyDescent="0.3">
      <c r="A27" t="s">
        <v>11</v>
      </c>
      <c r="B27">
        <v>132</v>
      </c>
      <c r="C27">
        <v>70</v>
      </c>
      <c r="D27">
        <v>1980</v>
      </c>
      <c r="E27">
        <v>1.18</v>
      </c>
      <c r="F27">
        <f>(B27*C27)/(D27*E27)</f>
        <v>3.9548022598870056</v>
      </c>
      <c r="G27">
        <f t="shared" si="5"/>
        <v>3</v>
      </c>
      <c r="H27">
        <f t="shared" si="7"/>
        <v>0.30000000000000004</v>
      </c>
      <c r="I27">
        <v>1</v>
      </c>
      <c r="J27">
        <f t="shared" si="9"/>
        <v>0.32</v>
      </c>
      <c r="K27">
        <v>1</v>
      </c>
      <c r="L27">
        <f>G27*D27*70</f>
        <v>415800</v>
      </c>
      <c r="M27">
        <f t="shared" si="11"/>
        <v>108900</v>
      </c>
      <c r="N27">
        <f t="shared" si="12"/>
        <v>614700</v>
      </c>
    </row>
    <row r="28" spans="1:14" x14ac:dyDescent="0.3">
      <c r="A28" t="s">
        <v>12</v>
      </c>
      <c r="B28">
        <f>SUM(B23:B27)</f>
        <v>2641</v>
      </c>
      <c r="C28">
        <f>SUM(C23:C27)</f>
        <v>292</v>
      </c>
      <c r="F28">
        <f>SUM(F23:F27)</f>
        <v>61.340095873994173</v>
      </c>
      <c r="G28">
        <f t="shared" si="5"/>
        <v>61</v>
      </c>
    </row>
    <row r="30" spans="1:14" x14ac:dyDescent="0.3">
      <c r="A30" t="s">
        <v>26</v>
      </c>
      <c r="B30">
        <f>(B23*C23+B24*C24+B25*C25+B26*C26+B27*C27)/(D23*E23)</f>
        <v>61.34009587399418</v>
      </c>
      <c r="C30">
        <f>INT(B30)</f>
        <v>61</v>
      </c>
    </row>
    <row r="31" spans="1:14" x14ac:dyDescent="0.3">
      <c r="A31" t="s">
        <v>29</v>
      </c>
      <c r="B31">
        <f>C30*0.1</f>
        <v>6.1000000000000005</v>
      </c>
      <c r="C31">
        <f>INT(B31)</f>
        <v>6</v>
      </c>
    </row>
    <row r="32" spans="1:14" x14ac:dyDescent="0.3">
      <c r="A32" t="s">
        <v>30</v>
      </c>
      <c r="B32">
        <f>(C30+C31)*0.08</f>
        <v>5.36</v>
      </c>
      <c r="C32">
        <f>INT(B32)</f>
        <v>5</v>
      </c>
    </row>
    <row r="34" spans="1:4" x14ac:dyDescent="0.3">
      <c r="A34" t="s">
        <v>32</v>
      </c>
      <c r="B34" s="6">
        <f>B23*C23*70+B24*C24*70+B25*C25*70+B26*C26*70+B27*C27*70</f>
        <v>10032050</v>
      </c>
    </row>
    <row r="35" spans="1:4" x14ac:dyDescent="0.3">
      <c r="A35" t="s">
        <v>31</v>
      </c>
      <c r="B35">
        <f>C30*D23*70</f>
        <v>8454600</v>
      </c>
    </row>
    <row r="36" spans="1:4" x14ac:dyDescent="0.3">
      <c r="A36" t="s">
        <v>33</v>
      </c>
      <c r="B36">
        <f>C31*D23*55</f>
        <v>653400</v>
      </c>
    </row>
    <row r="37" spans="1:4" x14ac:dyDescent="0.3">
      <c r="A37" t="s">
        <v>35</v>
      </c>
      <c r="B37" s="7">
        <f>B35+B36+7500*5*12</f>
        <v>9558000</v>
      </c>
    </row>
    <row r="38" spans="1:4" x14ac:dyDescent="0.3">
      <c r="B38" s="7"/>
    </row>
    <row r="39" spans="1:4" x14ac:dyDescent="0.3">
      <c r="A39" s="19" t="s">
        <v>34</v>
      </c>
      <c r="B39" s="19"/>
      <c r="C39" s="19"/>
      <c r="D39" s="19"/>
    </row>
    <row r="40" spans="1:4" x14ac:dyDescent="0.3">
      <c r="A40" s="21" t="s">
        <v>50</v>
      </c>
      <c r="B40" s="21"/>
      <c r="C40" s="21"/>
      <c r="D40" s="21"/>
    </row>
    <row r="41" spans="1:4" x14ac:dyDescent="0.3">
      <c r="A41" s="5" t="s">
        <v>42</v>
      </c>
      <c r="B41" s="8" t="s">
        <v>3</v>
      </c>
      <c r="C41" s="5" t="s">
        <v>43</v>
      </c>
      <c r="D41" s="5" t="s">
        <v>3</v>
      </c>
    </row>
    <row r="42" spans="1:4" x14ac:dyDescent="0.3">
      <c r="A42" t="s">
        <v>36</v>
      </c>
      <c r="B42" s="9">
        <f>$D$19</f>
        <v>864378</v>
      </c>
      <c r="C42" t="s">
        <v>44</v>
      </c>
      <c r="D42">
        <f>SUM(B42:B47)</f>
        <v>22710850.920000002</v>
      </c>
    </row>
    <row r="43" spans="1:4" x14ac:dyDescent="0.3">
      <c r="A43" t="s">
        <v>37</v>
      </c>
      <c r="B43" s="9">
        <f>$F$19</f>
        <v>121012.92000000001</v>
      </c>
      <c r="C43" t="s">
        <v>45</v>
      </c>
      <c r="D43">
        <f>D42+B48+B49</f>
        <v>29421340.920000002</v>
      </c>
    </row>
    <row r="44" spans="1:4" x14ac:dyDescent="0.3">
      <c r="A44" t="s">
        <v>38</v>
      </c>
      <c r="B44" s="9">
        <f>$B$37</f>
        <v>9558000</v>
      </c>
      <c r="C44" t="s">
        <v>46</v>
      </c>
      <c r="D44">
        <f>D43+B50</f>
        <v>30009767.738400001</v>
      </c>
    </row>
    <row r="45" spans="1:4" x14ac:dyDescent="0.3">
      <c r="A45" t="s">
        <v>39</v>
      </c>
      <c r="B45" s="9">
        <f>$B$37*0.3</f>
        <v>2867400</v>
      </c>
    </row>
    <row r="46" spans="1:4" x14ac:dyDescent="0.3">
      <c r="A46" t="s">
        <v>40</v>
      </c>
      <c r="B46" s="9">
        <f>$B$35*0.32</f>
        <v>2705472</v>
      </c>
    </row>
    <row r="47" spans="1:4" x14ac:dyDescent="0.3">
      <c r="A47" t="s">
        <v>41</v>
      </c>
      <c r="B47" s="9">
        <f>$B$35*0.78</f>
        <v>6594588</v>
      </c>
    </row>
    <row r="48" spans="1:4" x14ac:dyDescent="0.3">
      <c r="A48" t="s">
        <v>47</v>
      </c>
      <c r="B48" s="9">
        <f>$B$35*0.65</f>
        <v>5495490</v>
      </c>
    </row>
    <row r="49" spans="1:17" x14ac:dyDescent="0.3">
      <c r="A49" t="s">
        <v>48</v>
      </c>
      <c r="B49" s="9">
        <f>11250000*0.108</f>
        <v>1215000</v>
      </c>
    </row>
    <row r="50" spans="1:17" x14ac:dyDescent="0.3">
      <c r="A50" t="s">
        <v>49</v>
      </c>
      <c r="B50" s="9">
        <f>D43*0.02</f>
        <v>588426.81840000011</v>
      </c>
    </row>
    <row r="52" spans="1:17" x14ac:dyDescent="0.3">
      <c r="A52" s="22" t="s">
        <v>42</v>
      </c>
      <c r="B52" s="22"/>
      <c r="C52" s="22"/>
      <c r="D52" s="22"/>
      <c r="E52" s="22"/>
      <c r="F52" s="22"/>
      <c r="G52" s="22"/>
      <c r="H52" s="22"/>
      <c r="I52" s="22"/>
      <c r="J52" s="22"/>
      <c r="K52" s="22" t="s">
        <v>43</v>
      </c>
      <c r="L52" s="22"/>
      <c r="M52" s="22"/>
      <c r="N52" s="22"/>
      <c r="O52" s="16"/>
      <c r="P52" s="16"/>
      <c r="Q52" s="16"/>
    </row>
    <row r="53" spans="1:17" x14ac:dyDescent="0.3">
      <c r="A53" s="12" t="s">
        <v>51</v>
      </c>
      <c r="B53" t="s">
        <v>52</v>
      </c>
      <c r="C53" t="s">
        <v>37</v>
      </c>
      <c r="D53" t="s">
        <v>38</v>
      </c>
      <c r="E53" t="s">
        <v>39</v>
      </c>
      <c r="F53" t="s">
        <v>40</v>
      </c>
      <c r="G53" t="s">
        <v>53</v>
      </c>
      <c r="H53" t="s">
        <v>54</v>
      </c>
      <c r="I53" t="s">
        <v>48</v>
      </c>
      <c r="J53" t="s">
        <v>55</v>
      </c>
      <c r="K53" t="s">
        <v>44</v>
      </c>
      <c r="L53" t="s">
        <v>56</v>
      </c>
      <c r="M53" t="s">
        <v>46</v>
      </c>
      <c r="N53" t="s">
        <v>64</v>
      </c>
    </row>
    <row r="54" spans="1:17" x14ac:dyDescent="0.3">
      <c r="A54" s="13" t="s">
        <v>7</v>
      </c>
      <c r="B54" s="15">
        <f>C14</f>
        <v>365</v>
      </c>
      <c r="C54" s="15">
        <f>E14</f>
        <v>51.1</v>
      </c>
      <c r="D54" s="15">
        <f>N23</f>
        <v>2416500</v>
      </c>
      <c r="E54">
        <f>D54*0.3</f>
        <v>724950</v>
      </c>
      <c r="F54">
        <f>$L23*0.32</f>
        <v>709632</v>
      </c>
      <c r="G54">
        <f>$L23*0.78</f>
        <v>1729728</v>
      </c>
      <c r="H54">
        <f>$L23*0.65</f>
        <v>1441440</v>
      </c>
      <c r="I54">
        <f>11250000*0.108*0.2</f>
        <v>243000</v>
      </c>
      <c r="J54">
        <f>L54*0.02</f>
        <v>145313.32199999999</v>
      </c>
      <c r="K54">
        <f>SUM(B54:G54)</f>
        <v>5581226.0999999996</v>
      </c>
      <c r="L54">
        <f>K54+H54+I54</f>
        <v>7265666.0999999996</v>
      </c>
      <c r="M54">
        <f>L54+J54</f>
        <v>7410979.4219999993</v>
      </c>
      <c r="N54">
        <f>M54/C4</f>
        <v>9881.3058959999998</v>
      </c>
    </row>
    <row r="55" spans="1:17" x14ac:dyDescent="0.3">
      <c r="A55" s="13" t="s">
        <v>8</v>
      </c>
      <c r="B55" s="15">
        <f t="shared" ref="B55:B58" si="13">C15</f>
        <v>250</v>
      </c>
      <c r="C55" s="15">
        <f t="shared" ref="C55:C58" si="14">E15</f>
        <v>35</v>
      </c>
      <c r="D55" s="15">
        <f t="shared" ref="D55:D58" si="15">N24</f>
        <v>1862100</v>
      </c>
      <c r="E55">
        <f t="shared" ref="E55:E58" si="16">D55*0.3</f>
        <v>558630</v>
      </c>
      <c r="F55">
        <f t="shared" ref="F55:F58" si="17">$L24*0.32</f>
        <v>532224</v>
      </c>
      <c r="G55">
        <f t="shared" ref="G55:G58" si="18">$L24*0.78</f>
        <v>1297296</v>
      </c>
      <c r="H55">
        <f t="shared" ref="H55:H58" si="19">$L24*0.65</f>
        <v>1081080</v>
      </c>
      <c r="I55">
        <f t="shared" ref="I55:I58" si="20">11250000*0.108*0.2</f>
        <v>243000</v>
      </c>
      <c r="J55">
        <f t="shared" ref="J55:J58" si="21">L55*0.02</f>
        <v>111492.3</v>
      </c>
      <c r="K55">
        <f t="shared" ref="K55:K58" si="22">SUM(B55:G55)</f>
        <v>4250535</v>
      </c>
      <c r="L55">
        <f t="shared" ref="L55:L58" si="23">K55+H55+I55</f>
        <v>5574615</v>
      </c>
      <c r="M55">
        <f t="shared" ref="M55:M58" si="24">L55+J55</f>
        <v>5686107.2999999998</v>
      </c>
      <c r="N55">
        <f t="shared" ref="N55:N58" si="25">M55/C5</f>
        <v>11149.23</v>
      </c>
    </row>
    <row r="56" spans="1:17" x14ac:dyDescent="0.3">
      <c r="A56" s="14" t="s">
        <v>9</v>
      </c>
      <c r="B56" s="15">
        <f t="shared" si="13"/>
        <v>228</v>
      </c>
      <c r="C56" s="15">
        <f t="shared" si="14"/>
        <v>31.92</v>
      </c>
      <c r="D56" s="15">
        <f t="shared" si="15"/>
        <v>1307700</v>
      </c>
      <c r="E56">
        <f t="shared" si="16"/>
        <v>392310</v>
      </c>
      <c r="F56">
        <f t="shared" si="17"/>
        <v>354816</v>
      </c>
      <c r="G56">
        <f t="shared" si="18"/>
        <v>864864</v>
      </c>
      <c r="H56">
        <f t="shared" si="19"/>
        <v>720720</v>
      </c>
      <c r="I56">
        <f t="shared" si="20"/>
        <v>243000</v>
      </c>
      <c r="J56">
        <f t="shared" si="21"/>
        <v>77673.398400000005</v>
      </c>
      <c r="K56">
        <f t="shared" si="22"/>
        <v>2919949.92</v>
      </c>
      <c r="L56">
        <f t="shared" si="23"/>
        <v>3883669.92</v>
      </c>
      <c r="M56">
        <f t="shared" si="24"/>
        <v>3961343.3183999998</v>
      </c>
      <c r="N56">
        <f t="shared" si="25"/>
        <v>12988.01088</v>
      </c>
    </row>
    <row r="57" spans="1:17" x14ac:dyDescent="0.3">
      <c r="A57" s="14" t="s">
        <v>10</v>
      </c>
      <c r="B57" s="15">
        <f t="shared" si="13"/>
        <v>348</v>
      </c>
      <c r="C57" s="15">
        <f t="shared" si="14"/>
        <v>48.720000000000006</v>
      </c>
      <c r="D57" s="15">
        <f t="shared" si="15"/>
        <v>3079800</v>
      </c>
      <c r="E57">
        <f t="shared" si="16"/>
        <v>923940</v>
      </c>
      <c r="F57">
        <f t="shared" si="17"/>
        <v>887040</v>
      </c>
      <c r="G57">
        <f t="shared" si="18"/>
        <v>2162160</v>
      </c>
      <c r="H57">
        <f t="shared" si="19"/>
        <v>1801800</v>
      </c>
      <c r="I57">
        <f t="shared" si="20"/>
        <v>243000</v>
      </c>
      <c r="J57">
        <f t="shared" si="21"/>
        <v>181962.73440000002</v>
      </c>
      <c r="K57">
        <f t="shared" si="22"/>
        <v>7053336.7200000007</v>
      </c>
      <c r="L57">
        <f t="shared" si="23"/>
        <v>9098136.7200000007</v>
      </c>
      <c r="M57">
        <f t="shared" si="24"/>
        <v>9280099.4544000011</v>
      </c>
      <c r="N57">
        <f t="shared" si="25"/>
        <v>9830.6138288135608</v>
      </c>
    </row>
    <row r="58" spans="1:17" x14ac:dyDescent="0.3">
      <c r="A58" s="14" t="s">
        <v>11</v>
      </c>
      <c r="B58" s="15">
        <f t="shared" si="13"/>
        <v>493</v>
      </c>
      <c r="C58" s="15">
        <f t="shared" si="14"/>
        <v>69.02000000000001</v>
      </c>
      <c r="D58" s="15">
        <f t="shared" si="15"/>
        <v>614700</v>
      </c>
      <c r="E58">
        <f t="shared" si="16"/>
        <v>184410</v>
      </c>
      <c r="F58">
        <f t="shared" si="17"/>
        <v>133056</v>
      </c>
      <c r="G58">
        <f t="shared" si="18"/>
        <v>324324</v>
      </c>
      <c r="H58">
        <f t="shared" si="19"/>
        <v>270270</v>
      </c>
      <c r="I58">
        <f t="shared" si="20"/>
        <v>243000</v>
      </c>
      <c r="J58">
        <f t="shared" si="21"/>
        <v>35406.440399999999</v>
      </c>
      <c r="K58">
        <f t="shared" si="22"/>
        <v>1257052.02</v>
      </c>
      <c r="L58">
        <f t="shared" si="23"/>
        <v>1770322.02</v>
      </c>
      <c r="M58">
        <f t="shared" si="24"/>
        <v>1805728.4604</v>
      </c>
      <c r="N58">
        <f t="shared" si="25"/>
        <v>13679.761063636364</v>
      </c>
    </row>
    <row r="59" spans="1:17" x14ac:dyDescent="0.3">
      <c r="A59" s="11"/>
      <c r="B59" s="11"/>
      <c r="C59" s="11"/>
      <c r="D59" s="11"/>
    </row>
    <row r="60" spans="1:17" x14ac:dyDescent="0.3">
      <c r="A60" s="14" t="s">
        <v>51</v>
      </c>
      <c r="B60" s="11" t="s">
        <v>61</v>
      </c>
      <c r="C60" s="11" t="s">
        <v>43</v>
      </c>
      <c r="D60" s="11" t="s">
        <v>62</v>
      </c>
      <c r="E60" s="17" t="s">
        <v>63</v>
      </c>
      <c r="F60" s="17" t="s">
        <v>65</v>
      </c>
    </row>
    <row r="61" spans="1:17" x14ac:dyDescent="0.3">
      <c r="A61" s="13" t="s">
        <v>7</v>
      </c>
      <c r="B61" s="11">
        <f>B4*1000</f>
        <v>15500</v>
      </c>
      <c r="C61" s="11">
        <f>N54</f>
        <v>9881.3058959999998</v>
      </c>
      <c r="D61" s="11">
        <f>G4</f>
        <v>752</v>
      </c>
      <c r="E61">
        <f>(B61-C61)*D61</f>
        <v>4225257.9662079997</v>
      </c>
      <c r="F61">
        <f>((B61-C61)/C61)*100</f>
        <v>56.86185776593026</v>
      </c>
    </row>
    <row r="62" spans="1:17" x14ac:dyDescent="0.3">
      <c r="A62" s="13" t="s">
        <v>8</v>
      </c>
      <c r="B62" s="11">
        <f t="shared" ref="B62:B65" si="26">B5*1000</f>
        <v>12200</v>
      </c>
      <c r="C62" s="11">
        <f t="shared" ref="C62:C65" si="27">N55</f>
        <v>11149.23</v>
      </c>
      <c r="D62" s="11">
        <f t="shared" ref="D62:D65" si="28">G5</f>
        <v>512</v>
      </c>
      <c r="E62">
        <f t="shared" ref="E62:E65" si="29">(B62-C62)*D62</f>
        <v>537994.24000000022</v>
      </c>
      <c r="F62">
        <f t="shared" ref="F62:F65" si="30">((B62-C62)/C62)*100</f>
        <v>9.4245970349521944</v>
      </c>
    </row>
    <row r="63" spans="1:17" x14ac:dyDescent="0.3">
      <c r="A63" s="14" t="s">
        <v>9</v>
      </c>
      <c r="B63" s="11">
        <f t="shared" si="26"/>
        <v>10100</v>
      </c>
      <c r="C63" s="11">
        <f t="shared" si="27"/>
        <v>12988.01088</v>
      </c>
      <c r="D63" s="11">
        <f t="shared" si="28"/>
        <v>303</v>
      </c>
      <c r="E63">
        <f t="shared" si="29"/>
        <v>-875067.29663999996</v>
      </c>
      <c r="F63">
        <f t="shared" si="30"/>
        <v>-22.235975213473182</v>
      </c>
    </row>
    <row r="64" spans="1:17" x14ac:dyDescent="0.3">
      <c r="A64" s="14" t="s">
        <v>10</v>
      </c>
      <c r="B64" s="11">
        <f t="shared" si="26"/>
        <v>14400</v>
      </c>
      <c r="C64" s="11">
        <f t="shared" si="27"/>
        <v>9830.6138288135608</v>
      </c>
      <c r="D64" s="11">
        <f t="shared" si="28"/>
        <v>946</v>
      </c>
      <c r="E64">
        <f t="shared" si="29"/>
        <v>4322639.3179423716</v>
      </c>
      <c r="F64">
        <f t="shared" si="30"/>
        <v>46.481188771687414</v>
      </c>
    </row>
    <row r="65" spans="1:6" x14ac:dyDescent="0.3">
      <c r="A65" s="14" t="s">
        <v>11</v>
      </c>
      <c r="B65" s="11">
        <f t="shared" si="26"/>
        <v>11000</v>
      </c>
      <c r="C65" s="11">
        <f t="shared" si="27"/>
        <v>13679.761063636364</v>
      </c>
      <c r="D65" s="11">
        <f t="shared" si="28"/>
        <v>130</v>
      </c>
      <c r="E65">
        <f t="shared" si="29"/>
        <v>-348368.93827272736</v>
      </c>
      <c r="F65">
        <f t="shared" si="30"/>
        <v>-19.589238811778106</v>
      </c>
    </row>
    <row r="66" spans="1:6" x14ac:dyDescent="0.3">
      <c r="A66" s="10"/>
      <c r="B66" s="10"/>
      <c r="C66" s="10"/>
      <c r="D66" s="10"/>
      <c r="E66">
        <f>SUM(E61:E65)</f>
        <v>7862455.2892376445</v>
      </c>
      <c r="F66">
        <f>E66/D44*100</f>
        <v>26.1996539186039</v>
      </c>
    </row>
    <row r="67" spans="1:6" x14ac:dyDescent="0.3">
      <c r="A67" s="11"/>
      <c r="B67" s="11"/>
      <c r="C67" s="11"/>
      <c r="D67" s="11"/>
    </row>
    <row r="68" spans="1:6" x14ac:dyDescent="0.3">
      <c r="A68" s="20" t="s">
        <v>66</v>
      </c>
      <c r="B68" s="20"/>
      <c r="C68" s="20"/>
      <c r="D68" s="20"/>
    </row>
    <row r="69" spans="1:6" x14ac:dyDescent="0.3">
      <c r="A69" s="11" t="s">
        <v>67</v>
      </c>
      <c r="B69" s="11" t="s">
        <v>68</v>
      </c>
      <c r="C69" s="11" t="s">
        <v>69</v>
      </c>
      <c r="D69" s="17" t="s">
        <v>70</v>
      </c>
    </row>
    <row r="70" spans="1:6" x14ac:dyDescent="0.3">
      <c r="A70" s="11">
        <v>1</v>
      </c>
      <c r="B70" s="11" t="s">
        <v>71</v>
      </c>
      <c r="C70" s="11" t="s">
        <v>91</v>
      </c>
      <c r="D70" s="11">
        <f>D9</f>
        <v>35973.1</v>
      </c>
    </row>
    <row r="71" spans="1:6" x14ac:dyDescent="0.3">
      <c r="A71" s="11">
        <v>2</v>
      </c>
      <c r="B71" s="11" t="s">
        <v>6</v>
      </c>
      <c r="C71" s="11" t="s">
        <v>91</v>
      </c>
      <c r="D71" s="11">
        <f>H9</f>
        <v>36015.1</v>
      </c>
    </row>
    <row r="72" spans="1:6" x14ac:dyDescent="0.3">
      <c r="A72" s="11">
        <v>3</v>
      </c>
      <c r="B72" s="17" t="s">
        <v>72</v>
      </c>
      <c r="C72" s="17" t="s">
        <v>91</v>
      </c>
      <c r="D72" s="11">
        <f>D44/1000</f>
        <v>30009.767738400002</v>
      </c>
    </row>
    <row r="73" spans="1:6" x14ac:dyDescent="0.3">
      <c r="A73" s="17">
        <v>4</v>
      </c>
      <c r="B73" s="17" t="s">
        <v>73</v>
      </c>
      <c r="C73" s="17" t="s">
        <v>91</v>
      </c>
      <c r="D73" s="11"/>
    </row>
    <row r="74" spans="1:6" x14ac:dyDescent="0.3">
      <c r="A74" s="17"/>
      <c r="B74" s="17" t="s">
        <v>74</v>
      </c>
      <c r="C74" s="17"/>
      <c r="D74" s="11">
        <f>N54</f>
        <v>9881.3058959999998</v>
      </c>
    </row>
    <row r="75" spans="1:6" x14ac:dyDescent="0.3">
      <c r="B75" s="17" t="s">
        <v>75</v>
      </c>
      <c r="C75" s="17"/>
      <c r="D75" s="11">
        <f t="shared" ref="D75:D78" si="31">N55</f>
        <v>11149.23</v>
      </c>
    </row>
    <row r="76" spans="1:6" x14ac:dyDescent="0.3">
      <c r="B76" s="17" t="s">
        <v>76</v>
      </c>
      <c r="C76" s="17"/>
      <c r="D76" s="11">
        <f t="shared" si="31"/>
        <v>12988.01088</v>
      </c>
    </row>
    <row r="77" spans="1:6" x14ac:dyDescent="0.3">
      <c r="B77" s="17" t="s">
        <v>77</v>
      </c>
      <c r="C77" s="17"/>
      <c r="D77" s="11">
        <f t="shared" si="31"/>
        <v>9830.6138288135608</v>
      </c>
    </row>
    <row r="78" spans="1:6" x14ac:dyDescent="0.3">
      <c r="B78" s="17" t="s">
        <v>78</v>
      </c>
      <c r="C78" s="17"/>
      <c r="D78" s="11">
        <f t="shared" si="31"/>
        <v>13679.761063636364</v>
      </c>
    </row>
    <row r="79" spans="1:6" x14ac:dyDescent="0.3">
      <c r="A79">
        <v>5</v>
      </c>
      <c r="B79" s="17" t="s">
        <v>79</v>
      </c>
      <c r="C79" s="17" t="s">
        <v>92</v>
      </c>
      <c r="D79" s="17">
        <f>D44/(D9*1000)</f>
        <v>0.834228013109796</v>
      </c>
    </row>
    <row r="80" spans="1:6" x14ac:dyDescent="0.3">
      <c r="A80">
        <v>6</v>
      </c>
      <c r="B80" s="17" t="s">
        <v>80</v>
      </c>
      <c r="C80" s="17" t="s">
        <v>91</v>
      </c>
      <c r="D80" s="17" t="s">
        <v>96</v>
      </c>
    </row>
    <row r="81" spans="1:4" x14ac:dyDescent="0.3">
      <c r="A81">
        <v>7</v>
      </c>
      <c r="B81" s="17" t="s">
        <v>63</v>
      </c>
      <c r="C81" s="17" t="s">
        <v>91</v>
      </c>
      <c r="D81">
        <f>D71-D72</f>
        <v>6005.3322615999969</v>
      </c>
    </row>
    <row r="82" spans="1:4" x14ac:dyDescent="0.3">
      <c r="A82">
        <v>8</v>
      </c>
      <c r="B82" s="17" t="s">
        <v>81</v>
      </c>
      <c r="C82" s="17" t="s">
        <v>93</v>
      </c>
    </row>
    <row r="83" spans="1:4" x14ac:dyDescent="0.3">
      <c r="B83" s="17" t="s">
        <v>74</v>
      </c>
      <c r="D83">
        <f>F61</f>
        <v>56.86185776593026</v>
      </c>
    </row>
    <row r="84" spans="1:4" x14ac:dyDescent="0.3">
      <c r="B84" s="17" t="s">
        <v>75</v>
      </c>
      <c r="D84">
        <f t="shared" ref="D84:D87" si="32">F62</f>
        <v>9.4245970349521944</v>
      </c>
    </row>
    <row r="85" spans="1:4" x14ac:dyDescent="0.3">
      <c r="B85" s="17" t="s">
        <v>76</v>
      </c>
      <c r="D85">
        <f t="shared" si="32"/>
        <v>-22.235975213473182</v>
      </c>
    </row>
    <row r="86" spans="1:4" x14ac:dyDescent="0.3">
      <c r="B86" s="17" t="s">
        <v>77</v>
      </c>
      <c r="D86">
        <f t="shared" si="32"/>
        <v>46.481188771687414</v>
      </c>
    </row>
    <row r="87" spans="1:4" x14ac:dyDescent="0.3">
      <c r="B87" s="17" t="s">
        <v>78</v>
      </c>
      <c r="D87">
        <f t="shared" si="32"/>
        <v>-19.589238811778106</v>
      </c>
    </row>
    <row r="88" spans="1:4" x14ac:dyDescent="0.3">
      <c r="A88">
        <v>9</v>
      </c>
      <c r="B88" s="17" t="s">
        <v>82</v>
      </c>
      <c r="C88" t="s">
        <v>94</v>
      </c>
      <c r="D88">
        <f>C30+C31+C32</f>
        <v>72</v>
      </c>
    </row>
    <row r="89" spans="1:4" x14ac:dyDescent="0.3">
      <c r="B89" s="17" t="s">
        <v>83</v>
      </c>
      <c r="C89" t="s">
        <v>94</v>
      </c>
      <c r="D89">
        <f>C30</f>
        <v>61</v>
      </c>
    </row>
    <row r="90" spans="1:4" x14ac:dyDescent="0.3">
      <c r="A90">
        <v>10</v>
      </c>
      <c r="B90" s="17" t="s">
        <v>84</v>
      </c>
      <c r="C90" t="s">
        <v>91</v>
      </c>
      <c r="D90">
        <f>B37</f>
        <v>9558000</v>
      </c>
    </row>
    <row r="91" spans="1:4" x14ac:dyDescent="0.3">
      <c r="B91" s="17" t="s">
        <v>83</v>
      </c>
      <c r="C91" t="s">
        <v>91</v>
      </c>
      <c r="D91">
        <f>B35</f>
        <v>8454600</v>
      </c>
    </row>
    <row r="92" spans="1:4" x14ac:dyDescent="0.3">
      <c r="A92">
        <v>11</v>
      </c>
      <c r="B92" s="17" t="s">
        <v>85</v>
      </c>
      <c r="C92" t="s">
        <v>95</v>
      </c>
      <c r="D92">
        <f>D70/D88</f>
        <v>499.62638888888887</v>
      </c>
    </row>
    <row r="93" spans="1:4" x14ac:dyDescent="0.3">
      <c r="A93">
        <v>12</v>
      </c>
      <c r="B93" s="17" t="s">
        <v>86</v>
      </c>
      <c r="C93" t="s">
        <v>92</v>
      </c>
      <c r="D93">
        <f>D90/D88</f>
        <v>132750</v>
      </c>
    </row>
    <row r="94" spans="1:4" x14ac:dyDescent="0.3">
      <c r="A94">
        <v>13</v>
      </c>
      <c r="B94" s="17" t="s">
        <v>87</v>
      </c>
      <c r="C94" t="s">
        <v>92</v>
      </c>
      <c r="D94">
        <f>D71/11250</f>
        <v>3.2013422222222223</v>
      </c>
    </row>
    <row r="95" spans="1:4" x14ac:dyDescent="0.3">
      <c r="A95">
        <v>14</v>
      </c>
      <c r="B95" s="17" t="s">
        <v>88</v>
      </c>
      <c r="C95" t="s">
        <v>92</v>
      </c>
      <c r="D95">
        <f>1/D94</f>
        <v>0.31236897856732315</v>
      </c>
    </row>
    <row r="96" spans="1:4" x14ac:dyDescent="0.3">
      <c r="A96">
        <v>15</v>
      </c>
      <c r="B96" s="17" t="s">
        <v>89</v>
      </c>
      <c r="C96" t="s">
        <v>97</v>
      </c>
      <c r="D96">
        <f>11250/D88</f>
        <v>156.25</v>
      </c>
    </row>
    <row r="97" spans="1:4" x14ac:dyDescent="0.3">
      <c r="A97">
        <v>16</v>
      </c>
      <c r="B97" s="17" t="s">
        <v>90</v>
      </c>
      <c r="C97" t="s">
        <v>93</v>
      </c>
      <c r="D97">
        <f>D81/11250*100</f>
        <v>53.380731214222202</v>
      </c>
    </row>
  </sheetData>
  <mergeCells count="17">
    <mergeCell ref="A68:D68"/>
    <mergeCell ref="A40:D40"/>
    <mergeCell ref="A52:J52"/>
    <mergeCell ref="K52:N52"/>
    <mergeCell ref="A21:G21"/>
    <mergeCell ref="A39:D39"/>
    <mergeCell ref="A12:A13"/>
    <mergeCell ref="B12:B13"/>
    <mergeCell ref="C12:D12"/>
    <mergeCell ref="E12:F12"/>
    <mergeCell ref="A11:F11"/>
    <mergeCell ref="C2:D2"/>
    <mergeCell ref="E2:F2"/>
    <mergeCell ref="A2:A3"/>
    <mergeCell ref="B2:B3"/>
    <mergeCell ref="A1:L1"/>
    <mergeCell ref="G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D5DFE-D71E-4741-A54F-2970BB5E5663}">
  <dimension ref="A1:L33"/>
  <sheetViews>
    <sheetView zoomScaleNormal="100" workbookViewId="0">
      <selection activeCell="H12" sqref="H12"/>
    </sheetView>
  </sheetViews>
  <sheetFormatPr defaultRowHeight="14.4" x14ac:dyDescent="0.3"/>
  <cols>
    <col min="1" max="1" width="72.33203125" customWidth="1"/>
    <col min="2" max="2" width="21.88671875" customWidth="1"/>
    <col min="3" max="3" width="21.33203125" customWidth="1"/>
    <col min="4" max="4" width="17.77734375" customWidth="1"/>
    <col min="5" max="5" width="23.109375" customWidth="1"/>
    <col min="6" max="6" width="17" customWidth="1"/>
    <col min="7" max="7" width="20.6640625" customWidth="1"/>
    <col min="8" max="8" width="26.21875" customWidth="1"/>
  </cols>
  <sheetData>
    <row r="1" spans="1:8" x14ac:dyDescent="0.3">
      <c r="A1" t="s">
        <v>98</v>
      </c>
      <c r="B1">
        <v>14000</v>
      </c>
      <c r="C1" t="s">
        <v>91</v>
      </c>
    </row>
    <row r="2" spans="1:8" x14ac:dyDescent="0.3">
      <c r="A2" t="s">
        <v>99</v>
      </c>
      <c r="B2">
        <v>14</v>
      </c>
      <c r="C2" t="s">
        <v>91</v>
      </c>
    </row>
    <row r="3" spans="1:8" x14ac:dyDescent="0.3">
      <c r="A3" t="s">
        <v>100</v>
      </c>
      <c r="B3">
        <v>8</v>
      </c>
      <c r="C3" t="s">
        <v>91</v>
      </c>
    </row>
    <row r="4" spans="1:8" x14ac:dyDescent="0.3">
      <c r="A4" t="s">
        <v>101</v>
      </c>
      <c r="B4">
        <v>2500</v>
      </c>
      <c r="C4" t="s">
        <v>107</v>
      </c>
    </row>
    <row r="5" spans="1:8" x14ac:dyDescent="0.3">
      <c r="A5" t="s">
        <v>102</v>
      </c>
      <c r="B5" t="s">
        <v>108</v>
      </c>
      <c r="C5" t="s">
        <v>107</v>
      </c>
    </row>
    <row r="6" spans="1:8" x14ac:dyDescent="0.3">
      <c r="A6" t="s">
        <v>103</v>
      </c>
      <c r="B6">
        <v>4000</v>
      </c>
      <c r="C6" t="s">
        <v>109</v>
      </c>
    </row>
    <row r="7" spans="1:8" x14ac:dyDescent="0.3">
      <c r="A7" t="s">
        <v>104</v>
      </c>
      <c r="B7">
        <v>2500</v>
      </c>
      <c r="C7" t="s">
        <v>109</v>
      </c>
    </row>
    <row r="8" spans="1:8" x14ac:dyDescent="0.3">
      <c r="A8" t="s">
        <v>105</v>
      </c>
      <c r="B8">
        <v>8</v>
      </c>
      <c r="C8" t="s">
        <v>93</v>
      </c>
    </row>
    <row r="9" spans="1:8" x14ac:dyDescent="0.3">
      <c r="A9" t="s">
        <v>106</v>
      </c>
      <c r="B9">
        <v>1400</v>
      </c>
      <c r="C9" t="s">
        <v>109</v>
      </c>
    </row>
    <row r="12" spans="1:8" x14ac:dyDescent="0.3">
      <c r="A12" t="s">
        <v>110</v>
      </c>
      <c r="B12" t="s">
        <v>114</v>
      </c>
      <c r="C12" t="s">
        <v>115</v>
      </c>
      <c r="D12" t="s">
        <v>116</v>
      </c>
      <c r="E12" t="s">
        <v>120</v>
      </c>
      <c r="H12" t="s">
        <v>119</v>
      </c>
    </row>
    <row r="13" spans="1:8" x14ac:dyDescent="0.3">
      <c r="B13">
        <f>B1</f>
        <v>14000</v>
      </c>
      <c r="C13">
        <f>B2</f>
        <v>14</v>
      </c>
      <c r="D13">
        <f>B3</f>
        <v>8</v>
      </c>
      <c r="E13">
        <f>_xlfn.FLOOR.MATH(B1/(B2-B3))</f>
        <v>2333</v>
      </c>
    </row>
    <row r="15" spans="1:8" x14ac:dyDescent="0.3">
      <c r="A15" t="s">
        <v>111</v>
      </c>
      <c r="B15" t="s">
        <v>117</v>
      </c>
      <c r="C15" t="s">
        <v>114</v>
      </c>
      <c r="D15" t="s">
        <v>115</v>
      </c>
      <c r="E15" t="s">
        <v>116</v>
      </c>
      <c r="F15" t="s">
        <v>118</v>
      </c>
      <c r="H15" t="s">
        <v>121</v>
      </c>
    </row>
    <row r="16" spans="1:8" x14ac:dyDescent="0.3">
      <c r="B16">
        <f>B6</f>
        <v>4000</v>
      </c>
      <c r="C16">
        <f>B1</f>
        <v>14000</v>
      </c>
      <c r="D16">
        <f>B2</f>
        <v>14</v>
      </c>
      <c r="E16">
        <f>B3</f>
        <v>8</v>
      </c>
      <c r="F16">
        <f>_xlfn.FLOOR.MATH((B6+B1)/(B2-B3))</f>
        <v>3000</v>
      </c>
    </row>
    <row r="18" spans="1:12" x14ac:dyDescent="0.3">
      <c r="A18" t="s">
        <v>112</v>
      </c>
      <c r="B18" t="s">
        <v>114</v>
      </c>
      <c r="C18" t="s">
        <v>122</v>
      </c>
      <c r="D18" t="s">
        <v>115</v>
      </c>
      <c r="E18" t="s">
        <v>116</v>
      </c>
      <c r="F18" t="s">
        <v>130</v>
      </c>
      <c r="G18" t="s">
        <v>123</v>
      </c>
      <c r="H18" t="s">
        <v>124</v>
      </c>
    </row>
    <row r="19" spans="1:12" x14ac:dyDescent="0.3">
      <c r="B19">
        <f>B1</f>
        <v>14000</v>
      </c>
      <c r="C19">
        <f>B7</f>
        <v>2500</v>
      </c>
      <c r="D19">
        <f>B2</f>
        <v>14</v>
      </c>
      <c r="E19">
        <f>B3</f>
        <v>8</v>
      </c>
      <c r="F19">
        <f>B4</f>
        <v>2500</v>
      </c>
      <c r="G19">
        <f>(D19-E19)*F19-B19</f>
        <v>1000</v>
      </c>
      <c r="H19">
        <f>(D19-E19)*F19-(B19-C19)</f>
        <v>3500</v>
      </c>
      <c r="I19" t="s">
        <v>113</v>
      </c>
      <c r="L19" t="s">
        <v>125</v>
      </c>
    </row>
    <row r="21" spans="1:12" x14ac:dyDescent="0.3">
      <c r="A21" t="s">
        <v>126</v>
      </c>
      <c r="B21" t="s">
        <v>114</v>
      </c>
      <c r="C21" t="s">
        <v>127</v>
      </c>
      <c r="D21" t="s">
        <v>115</v>
      </c>
      <c r="E21" t="s">
        <v>116</v>
      </c>
      <c r="F21" t="s">
        <v>130</v>
      </c>
      <c r="G21" t="s">
        <v>123</v>
      </c>
      <c r="H21" t="s">
        <v>124</v>
      </c>
    </row>
    <row r="22" spans="1:12" x14ac:dyDescent="0.3">
      <c r="B22">
        <f>B1</f>
        <v>14000</v>
      </c>
      <c r="C22">
        <f>E22*B8/100</f>
        <v>0.64</v>
      </c>
      <c r="D22">
        <f>B2</f>
        <v>14</v>
      </c>
      <c r="E22">
        <f>B3</f>
        <v>8</v>
      </c>
      <c r="F22">
        <f>B4</f>
        <v>2500</v>
      </c>
      <c r="G22">
        <f>(D22-E22)*F22-B22</f>
        <v>1000</v>
      </c>
      <c r="H22">
        <f>(D22-(E22-C22))*F22-B22</f>
        <v>2600</v>
      </c>
      <c r="I22" t="s">
        <v>136</v>
      </c>
      <c r="L22" t="s">
        <v>128</v>
      </c>
    </row>
    <row r="24" spans="1:12" x14ac:dyDescent="0.3">
      <c r="A24" t="s">
        <v>129</v>
      </c>
      <c r="B24" t="s">
        <v>114</v>
      </c>
      <c r="C24" t="s">
        <v>116</v>
      </c>
      <c r="D24" t="s">
        <v>117</v>
      </c>
      <c r="E24" t="s">
        <v>130</v>
      </c>
      <c r="F24" t="s">
        <v>131</v>
      </c>
      <c r="H24" t="s">
        <v>132</v>
      </c>
    </row>
    <row r="25" spans="1:12" x14ac:dyDescent="0.3">
      <c r="B25">
        <f>B1</f>
        <v>14000</v>
      </c>
      <c r="C25">
        <f>B3</f>
        <v>8</v>
      </c>
      <c r="D25">
        <f>B6</f>
        <v>4000</v>
      </c>
      <c r="E25">
        <f>B7</f>
        <v>2500</v>
      </c>
      <c r="F25">
        <f>(B25+D25+C25*E25)/E25</f>
        <v>15.2</v>
      </c>
    </row>
    <row r="27" spans="1:12" x14ac:dyDescent="0.3">
      <c r="A27" t="s">
        <v>133</v>
      </c>
      <c r="B27" t="s">
        <v>134</v>
      </c>
      <c r="C27" t="s">
        <v>115</v>
      </c>
      <c r="D27" t="s">
        <v>116</v>
      </c>
      <c r="E27" t="s">
        <v>135</v>
      </c>
      <c r="G27" t="s">
        <v>137</v>
      </c>
    </row>
    <row r="28" spans="1:12" x14ac:dyDescent="0.3">
      <c r="B28">
        <f>B9</f>
        <v>1400</v>
      </c>
      <c r="C28">
        <f>B2</f>
        <v>14</v>
      </c>
      <c r="D28">
        <f>B3</f>
        <v>8</v>
      </c>
      <c r="E28">
        <f>B28/(C28-D28)</f>
        <v>233.33333333333334</v>
      </c>
    </row>
    <row r="30" spans="1:12" x14ac:dyDescent="0.3">
      <c r="A30" t="s">
        <v>138</v>
      </c>
      <c r="B30" t="s">
        <v>130</v>
      </c>
      <c r="C30" t="s">
        <v>120</v>
      </c>
      <c r="D30" t="s">
        <v>139</v>
      </c>
      <c r="G30" t="s">
        <v>140</v>
      </c>
    </row>
    <row r="31" spans="1:12" x14ac:dyDescent="0.3">
      <c r="B31">
        <f>B4</f>
        <v>2500</v>
      </c>
      <c r="C31">
        <f>E13</f>
        <v>2333</v>
      </c>
      <c r="D31">
        <f>(B31-C31)/B31*100</f>
        <v>6.68</v>
      </c>
      <c r="E31" t="s">
        <v>93</v>
      </c>
    </row>
    <row r="33" spans="1:1" x14ac:dyDescent="0.3">
      <c r="A33" t="s">
        <v>141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65F5-F734-4E8A-B295-CF5613B86141}">
  <dimension ref="A9:B172"/>
  <sheetViews>
    <sheetView topLeftCell="A152" workbookViewId="0">
      <selection activeCell="B178" sqref="B178"/>
    </sheetView>
  </sheetViews>
  <sheetFormatPr defaultRowHeight="14.4" x14ac:dyDescent="0.3"/>
  <cols>
    <col min="1" max="1" width="36.77734375" customWidth="1"/>
    <col min="2" max="2" width="12" bestFit="1" customWidth="1"/>
  </cols>
  <sheetData>
    <row r="9" spans="1:2" x14ac:dyDescent="0.3">
      <c r="A9" t="s">
        <v>167</v>
      </c>
      <c r="B9">
        <v>500</v>
      </c>
    </row>
    <row r="10" spans="1:2" x14ac:dyDescent="0.3">
      <c r="A10" t="s">
        <v>168</v>
      </c>
      <c r="B10">
        <v>100</v>
      </c>
    </row>
    <row r="11" spans="1:2" x14ac:dyDescent="0.3">
      <c r="A11" t="s">
        <v>169</v>
      </c>
      <c r="B11">
        <v>250</v>
      </c>
    </row>
    <row r="12" spans="1:2" x14ac:dyDescent="0.3">
      <c r="A12" t="s">
        <v>170</v>
      </c>
      <c r="B12">
        <v>100000</v>
      </c>
    </row>
    <row r="13" spans="1:2" x14ac:dyDescent="0.3">
      <c r="A13" t="s">
        <v>171</v>
      </c>
      <c r="B13">
        <v>0.12</v>
      </c>
    </row>
    <row r="14" spans="1:2" x14ac:dyDescent="0.3">
      <c r="A14" t="s">
        <v>172</v>
      </c>
      <c r="B14">
        <v>0.15</v>
      </c>
    </row>
    <row r="15" spans="1:2" x14ac:dyDescent="0.3">
      <c r="A15" t="s">
        <v>173</v>
      </c>
      <c r="B15">
        <v>16000000</v>
      </c>
    </row>
    <row r="18" spans="1:2" x14ac:dyDescent="0.3">
      <c r="A18" t="s">
        <v>166</v>
      </c>
      <c r="B18">
        <f>B12*B10*B14</f>
        <v>1500000</v>
      </c>
    </row>
    <row r="19" spans="1:2" x14ac:dyDescent="0.3">
      <c r="A19" t="s">
        <v>174</v>
      </c>
      <c r="B19">
        <f>B12*B11*B13</f>
        <v>3000000</v>
      </c>
    </row>
    <row r="20" spans="1:2" x14ac:dyDescent="0.3">
      <c r="A20" t="s">
        <v>176</v>
      </c>
      <c r="B20">
        <f>((B15-B18-B19)/B12)/B9</f>
        <v>0.23</v>
      </c>
    </row>
    <row r="21" spans="1:2" x14ac:dyDescent="0.3">
      <c r="A21" t="s">
        <v>175</v>
      </c>
      <c r="B21">
        <f>B12*B9*B20</f>
        <v>11500000</v>
      </c>
    </row>
    <row r="27" spans="1:2" x14ac:dyDescent="0.3">
      <c r="A27" t="s">
        <v>170</v>
      </c>
      <c r="B27">
        <v>5000</v>
      </c>
    </row>
    <row r="28" spans="1:2" x14ac:dyDescent="0.3">
      <c r="A28" t="s">
        <v>178</v>
      </c>
      <c r="B28">
        <v>2</v>
      </c>
    </row>
    <row r="29" spans="1:2" x14ac:dyDescent="0.3">
      <c r="A29" t="s">
        <v>177</v>
      </c>
      <c r="B29">
        <v>0.06</v>
      </c>
    </row>
    <row r="30" spans="1:2" x14ac:dyDescent="0.3">
      <c r="A30" t="s">
        <v>61</v>
      </c>
      <c r="B30">
        <f>B27/(1+B29)^B28</f>
        <v>4449.9822000711993</v>
      </c>
    </row>
    <row r="35" spans="1:2" x14ac:dyDescent="0.3">
      <c r="A35" t="s">
        <v>170</v>
      </c>
      <c r="B35">
        <v>1000</v>
      </c>
    </row>
    <row r="36" spans="1:2" x14ac:dyDescent="0.3">
      <c r="A36" t="s">
        <v>179</v>
      </c>
      <c r="B36">
        <v>150</v>
      </c>
    </row>
    <row r="37" spans="1:2" x14ac:dyDescent="0.3">
      <c r="A37" t="s">
        <v>180</v>
      </c>
      <c r="B37">
        <v>2</v>
      </c>
    </row>
    <row r="38" spans="1:2" x14ac:dyDescent="0.3">
      <c r="A38" t="s">
        <v>181</v>
      </c>
      <c r="B38">
        <v>0.12</v>
      </c>
    </row>
    <row r="39" spans="1:2" x14ac:dyDescent="0.3">
      <c r="A39" t="s">
        <v>183</v>
      </c>
      <c r="B39">
        <f>B36/(1+B38)+B36/(1+B38)^2</f>
        <v>253.50765306122446</v>
      </c>
    </row>
    <row r="40" spans="1:2" x14ac:dyDescent="0.3">
      <c r="A40" t="s">
        <v>184</v>
      </c>
      <c r="B40">
        <f>B35/(1+B38)^2</f>
        <v>797.19387755102025</v>
      </c>
    </row>
    <row r="41" spans="1:2" x14ac:dyDescent="0.3">
      <c r="A41" t="s">
        <v>182</v>
      </c>
      <c r="B41">
        <f>B39+B40</f>
        <v>1050.7015306122448</v>
      </c>
    </row>
    <row r="47" spans="1:2" x14ac:dyDescent="0.3">
      <c r="A47" t="s">
        <v>185</v>
      </c>
      <c r="B47">
        <v>100000</v>
      </c>
    </row>
    <row r="48" spans="1:2" x14ac:dyDescent="0.3">
      <c r="A48" t="s">
        <v>186</v>
      </c>
      <c r="B48">
        <v>3</v>
      </c>
    </row>
    <row r="49" spans="1:2" x14ac:dyDescent="0.3">
      <c r="A49" t="s">
        <v>187</v>
      </c>
      <c r="B49">
        <v>0.2</v>
      </c>
    </row>
    <row r="50" spans="1:2" x14ac:dyDescent="0.3">
      <c r="A50" t="s">
        <v>188</v>
      </c>
      <c r="B50">
        <v>1</v>
      </c>
    </row>
    <row r="51" spans="1:2" x14ac:dyDescent="0.3">
      <c r="A51" t="s">
        <v>189</v>
      </c>
      <c r="B51">
        <v>0.23</v>
      </c>
    </row>
    <row r="53" spans="1:2" x14ac:dyDescent="0.3">
      <c r="A53" t="s">
        <v>190</v>
      </c>
      <c r="B53">
        <f>(B47*B49)/(1+B51)</f>
        <v>16260.162601626016</v>
      </c>
    </row>
    <row r="54" spans="1:2" x14ac:dyDescent="0.3">
      <c r="A54" t="s">
        <v>191</v>
      </c>
      <c r="B54">
        <f>(B47*B49)/(1+B51)^2</f>
        <v>13219.644391565867</v>
      </c>
    </row>
    <row r="55" spans="1:2" x14ac:dyDescent="0.3">
      <c r="A55" t="s">
        <v>192</v>
      </c>
      <c r="B55">
        <f>((B47*B49)+B47)/(1+B51)^3</f>
        <v>64486.070202760333</v>
      </c>
    </row>
    <row r="56" spans="1:2" x14ac:dyDescent="0.3">
      <c r="A56" t="s">
        <v>182</v>
      </c>
      <c r="B56">
        <f>SUM(B53:B55)</f>
        <v>93965.877195952213</v>
      </c>
    </row>
    <row r="63" spans="1:2" x14ac:dyDescent="0.3">
      <c r="A63" t="s">
        <v>193</v>
      </c>
      <c r="B63">
        <v>6300</v>
      </c>
    </row>
    <row r="64" spans="1:2" x14ac:dyDescent="0.3">
      <c r="A64" t="s">
        <v>194</v>
      </c>
      <c r="B64">
        <v>0.15</v>
      </c>
    </row>
    <row r="65" spans="1:2" x14ac:dyDescent="0.3">
      <c r="A65" t="s">
        <v>196</v>
      </c>
      <c r="B65">
        <f>(1+B64/4)^4-1</f>
        <v>0.15865041503906308</v>
      </c>
    </row>
    <row r="66" spans="1:2" x14ac:dyDescent="0.3">
      <c r="A66" t="s">
        <v>195</v>
      </c>
      <c r="B66">
        <f>B63/B65</f>
        <v>39709.949693159055</v>
      </c>
    </row>
    <row r="72" spans="1:2" x14ac:dyDescent="0.3">
      <c r="A72" t="s">
        <v>186</v>
      </c>
      <c r="B72">
        <v>3</v>
      </c>
    </row>
    <row r="73" spans="1:2" x14ac:dyDescent="0.3">
      <c r="A73" t="s">
        <v>170</v>
      </c>
      <c r="B73">
        <v>8000</v>
      </c>
    </row>
    <row r="74" spans="1:2" x14ac:dyDescent="0.3">
      <c r="A74" t="s">
        <v>187</v>
      </c>
      <c r="B74">
        <v>0.08</v>
      </c>
    </row>
    <row r="75" spans="1:2" x14ac:dyDescent="0.3">
      <c r="A75" t="s">
        <v>197</v>
      </c>
      <c r="B75">
        <v>2</v>
      </c>
    </row>
    <row r="76" spans="1:2" x14ac:dyDescent="0.3">
      <c r="A76" t="s">
        <v>177</v>
      </c>
      <c r="B76">
        <v>0.11</v>
      </c>
    </row>
    <row r="79" spans="1:2" x14ac:dyDescent="0.3">
      <c r="A79" t="s">
        <v>198</v>
      </c>
      <c r="B79">
        <f>B73*B74</f>
        <v>640</v>
      </c>
    </row>
    <row r="80" spans="1:2" x14ac:dyDescent="0.3">
      <c r="A80" t="s">
        <v>199</v>
      </c>
      <c r="B80">
        <f>B79/2</f>
        <v>320</v>
      </c>
    </row>
    <row r="81" spans="1:2" x14ac:dyDescent="0.3">
      <c r="A81" t="s">
        <v>200</v>
      </c>
      <c r="B81">
        <f>B76/2</f>
        <v>5.5E-2</v>
      </c>
    </row>
    <row r="82" spans="1:2" x14ac:dyDescent="0.3">
      <c r="A82" t="s">
        <v>201</v>
      </c>
      <c r="B82">
        <f>B72*B75</f>
        <v>6</v>
      </c>
    </row>
    <row r="83" spans="1:2" x14ac:dyDescent="0.3">
      <c r="A83" t="s">
        <v>202</v>
      </c>
      <c r="B83">
        <f>B80/(1+B81)+B80/(1+B81)^2+B80/(1+B81)^3+B80/(1+B81)^4+B80/(1+B81)^5+B80/(1+B81)^6</f>
        <v>1598.5696987659844</v>
      </c>
    </row>
    <row r="84" spans="1:2" x14ac:dyDescent="0.3">
      <c r="A84" t="s">
        <v>170</v>
      </c>
      <c r="B84">
        <f>B73/(1+B81)^6</f>
        <v>5801.9666641967724</v>
      </c>
    </row>
    <row r="85" spans="1:2" x14ac:dyDescent="0.3">
      <c r="A85" t="s">
        <v>203</v>
      </c>
      <c r="B85">
        <f>B83+B84</f>
        <v>7400.5363629627573</v>
      </c>
    </row>
    <row r="91" spans="1:2" x14ac:dyDescent="0.3">
      <c r="A91" t="s">
        <v>204</v>
      </c>
      <c r="B91">
        <v>700</v>
      </c>
    </row>
    <row r="92" spans="1:2" x14ac:dyDescent="0.3">
      <c r="A92" t="s">
        <v>186</v>
      </c>
      <c r="B92">
        <v>100</v>
      </c>
    </row>
    <row r="93" spans="1:2" x14ac:dyDescent="0.3">
      <c r="A93" t="s">
        <v>177</v>
      </c>
      <c r="B93">
        <v>0.08</v>
      </c>
    </row>
    <row r="94" spans="1:2" x14ac:dyDescent="0.3">
      <c r="A94" t="s">
        <v>205</v>
      </c>
      <c r="B94">
        <v>0.09</v>
      </c>
    </row>
    <row r="95" spans="1:2" x14ac:dyDescent="0.3">
      <c r="A95" t="s">
        <v>197</v>
      </c>
      <c r="B95">
        <v>2</v>
      </c>
    </row>
    <row r="98" spans="1:2" x14ac:dyDescent="0.3">
      <c r="A98" t="s">
        <v>198</v>
      </c>
      <c r="B98">
        <f>B91*B94</f>
        <v>63</v>
      </c>
    </row>
    <row r="99" spans="1:2" x14ac:dyDescent="0.3">
      <c r="A99" t="s">
        <v>199</v>
      </c>
      <c r="B99">
        <f>B98/B95</f>
        <v>31.5</v>
      </c>
    </row>
    <row r="100" spans="1:2" x14ac:dyDescent="0.3">
      <c r="A100" t="s">
        <v>200</v>
      </c>
      <c r="B100">
        <f>B93/2</f>
        <v>0.04</v>
      </c>
    </row>
    <row r="101" spans="1:2" x14ac:dyDescent="0.3">
      <c r="A101" t="s">
        <v>206</v>
      </c>
      <c r="B101">
        <f>(B99/B100)</f>
        <v>787.5</v>
      </c>
    </row>
    <row r="107" spans="1:2" x14ac:dyDescent="0.3">
      <c r="A107" t="s">
        <v>207</v>
      </c>
      <c r="B107">
        <v>60</v>
      </c>
    </row>
    <row r="108" spans="1:2" x14ac:dyDescent="0.3">
      <c r="A108" t="s">
        <v>208</v>
      </c>
      <c r="B108">
        <v>250</v>
      </c>
    </row>
    <row r="109" spans="1:2" x14ac:dyDescent="0.3">
      <c r="A109" t="s">
        <v>177</v>
      </c>
      <c r="B109">
        <v>0.2</v>
      </c>
    </row>
    <row r="110" spans="1:2" x14ac:dyDescent="0.3">
      <c r="A110" t="s">
        <v>209</v>
      </c>
      <c r="B110">
        <f>B107/B109</f>
        <v>300</v>
      </c>
    </row>
    <row r="117" spans="1:2" x14ac:dyDescent="0.3">
      <c r="A117" t="s">
        <v>207</v>
      </c>
      <c r="B117">
        <v>60</v>
      </c>
    </row>
    <row r="118" spans="1:2" x14ac:dyDescent="0.3">
      <c r="A118" t="s">
        <v>208</v>
      </c>
      <c r="B118">
        <v>250</v>
      </c>
    </row>
    <row r="119" spans="1:2" x14ac:dyDescent="0.3">
      <c r="A119" t="s">
        <v>177</v>
      </c>
      <c r="B119">
        <v>0.1</v>
      </c>
    </row>
    <row r="120" spans="1:2" x14ac:dyDescent="0.3">
      <c r="A120" t="s">
        <v>210</v>
      </c>
      <c r="B120">
        <v>0.02</v>
      </c>
    </row>
    <row r="121" spans="1:2" x14ac:dyDescent="0.3">
      <c r="A121" t="s">
        <v>209</v>
      </c>
      <c r="B121">
        <f>B117/(B119-B120)</f>
        <v>750</v>
      </c>
    </row>
    <row r="128" spans="1:2" x14ac:dyDescent="0.3">
      <c r="A128" t="s">
        <v>211</v>
      </c>
      <c r="B128">
        <v>70300</v>
      </c>
    </row>
    <row r="129" spans="1:2" x14ac:dyDescent="0.3">
      <c r="A129" t="s">
        <v>212</v>
      </c>
      <c r="B129">
        <v>0.15</v>
      </c>
    </row>
    <row r="130" spans="1:2" x14ac:dyDescent="0.3">
      <c r="A130" t="s">
        <v>213</v>
      </c>
      <c r="B130">
        <v>0.18</v>
      </c>
    </row>
    <row r="133" spans="1:2" x14ac:dyDescent="0.3">
      <c r="A133" t="s">
        <v>193</v>
      </c>
      <c r="B133">
        <f>B128*B129</f>
        <v>10545</v>
      </c>
    </row>
    <row r="134" spans="1:2" x14ac:dyDescent="0.3">
      <c r="A134" t="s">
        <v>214</v>
      </c>
      <c r="B134">
        <f>B133/B130</f>
        <v>58583.333333333336</v>
      </c>
    </row>
    <row r="140" spans="1:2" x14ac:dyDescent="0.3">
      <c r="A140" t="s">
        <v>215</v>
      </c>
      <c r="B140">
        <v>450</v>
      </c>
    </row>
    <row r="141" spans="1:2" x14ac:dyDescent="0.3">
      <c r="A141" t="s">
        <v>186</v>
      </c>
      <c r="B141">
        <v>2</v>
      </c>
    </row>
    <row r="142" spans="1:2" x14ac:dyDescent="0.3">
      <c r="A142" t="s">
        <v>216</v>
      </c>
      <c r="B142">
        <v>500</v>
      </c>
    </row>
    <row r="143" spans="1:2" x14ac:dyDescent="0.3">
      <c r="A143" t="s">
        <v>217</v>
      </c>
      <c r="B143">
        <v>50</v>
      </c>
    </row>
    <row r="144" spans="1:2" x14ac:dyDescent="0.3">
      <c r="A144" t="s">
        <v>218</v>
      </c>
      <c r="B144">
        <v>0.1</v>
      </c>
    </row>
    <row r="147" spans="1:2" x14ac:dyDescent="0.3">
      <c r="A147" t="s">
        <v>219</v>
      </c>
      <c r="B147">
        <f xml:space="preserve"> B143/(1+B144)</f>
        <v>45.454545454545453</v>
      </c>
    </row>
    <row r="148" spans="1:2" x14ac:dyDescent="0.3">
      <c r="A148" t="s">
        <v>220</v>
      </c>
      <c r="B148">
        <f>(B143+B142)/(1+B144)^2</f>
        <v>454.54545454545445</v>
      </c>
    </row>
    <row r="149" spans="1:2" x14ac:dyDescent="0.3">
      <c r="A149" t="s">
        <v>182</v>
      </c>
      <c r="B149">
        <f>B148+B147</f>
        <v>499.99999999999989</v>
      </c>
    </row>
    <row r="155" spans="1:2" x14ac:dyDescent="0.3">
      <c r="A155" t="s">
        <v>221</v>
      </c>
      <c r="B155">
        <v>60000</v>
      </c>
    </row>
    <row r="156" spans="1:2" x14ac:dyDescent="0.3">
      <c r="A156" t="s">
        <v>181</v>
      </c>
      <c r="B156">
        <v>0.23</v>
      </c>
    </row>
    <row r="158" spans="1:2" x14ac:dyDescent="0.3">
      <c r="A158" t="s">
        <v>222</v>
      </c>
      <c r="B158">
        <f>B155/4</f>
        <v>15000</v>
      </c>
    </row>
    <row r="159" spans="1:2" x14ac:dyDescent="0.3">
      <c r="A159" t="s">
        <v>223</v>
      </c>
      <c r="B159">
        <f>B156/4</f>
        <v>5.7500000000000002E-2</v>
      </c>
    </row>
    <row r="160" spans="1:2" x14ac:dyDescent="0.3">
      <c r="A160" t="s">
        <v>224</v>
      </c>
      <c r="B160">
        <f>B158/B159</f>
        <v>260869.5652173913</v>
      </c>
    </row>
    <row r="166" spans="1:2" x14ac:dyDescent="0.3">
      <c r="A166" t="s">
        <v>193</v>
      </c>
      <c r="B166">
        <v>900</v>
      </c>
    </row>
    <row r="167" spans="1:2" x14ac:dyDescent="0.3">
      <c r="A167" t="s">
        <v>226</v>
      </c>
      <c r="B167">
        <v>0.13</v>
      </c>
    </row>
    <row r="168" spans="1:2" x14ac:dyDescent="0.3">
      <c r="A168" t="s">
        <v>194</v>
      </c>
      <c r="B168">
        <v>0.25</v>
      </c>
    </row>
    <row r="171" spans="1:2" x14ac:dyDescent="0.3">
      <c r="A171" t="s">
        <v>225</v>
      </c>
      <c r="B171">
        <f>B166*(1+B167)</f>
        <v>1016.9999999999999</v>
      </c>
    </row>
    <row r="172" spans="1:2" x14ac:dyDescent="0.3">
      <c r="A172" t="s">
        <v>215</v>
      </c>
      <c r="B172">
        <f>B171/(B168-B167)</f>
        <v>8475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6288B-4EBD-4C03-99A7-FC8CBCF3C643}">
  <dimension ref="A1:Q33"/>
  <sheetViews>
    <sheetView tabSelected="1" workbookViewId="0">
      <selection activeCell="B22" sqref="B22"/>
    </sheetView>
  </sheetViews>
  <sheetFormatPr defaultRowHeight="14.4" x14ac:dyDescent="0.3"/>
  <cols>
    <col min="1" max="1" width="30.88671875" customWidth="1"/>
  </cols>
  <sheetData>
    <row r="1" spans="1:8" x14ac:dyDescent="0.3">
      <c r="A1" s="23" t="s">
        <v>142</v>
      </c>
    </row>
    <row r="2" spans="1:8" x14ac:dyDescent="0.3">
      <c r="A2" t="s">
        <v>161</v>
      </c>
      <c r="B2">
        <v>9000</v>
      </c>
      <c r="C2" t="s">
        <v>143</v>
      </c>
    </row>
    <row r="3" spans="1:8" x14ac:dyDescent="0.3">
      <c r="A3" t="s">
        <v>162</v>
      </c>
      <c r="B3">
        <v>4000</v>
      </c>
      <c r="C3" t="s">
        <v>143</v>
      </c>
    </row>
    <row r="4" spans="1:8" x14ac:dyDescent="0.3">
      <c r="A4" t="s">
        <v>163</v>
      </c>
      <c r="B4">
        <v>10000</v>
      </c>
      <c r="C4" t="s">
        <v>143</v>
      </c>
    </row>
    <row r="5" spans="1:8" x14ac:dyDescent="0.3">
      <c r="A5" t="s">
        <v>151</v>
      </c>
      <c r="B5">
        <f>(B4-B2)/B3</f>
        <v>0.25</v>
      </c>
      <c r="D5" t="s">
        <v>160</v>
      </c>
    </row>
    <row r="7" spans="1:8" x14ac:dyDescent="0.3">
      <c r="A7" s="23" t="s">
        <v>144</v>
      </c>
      <c r="B7" s="23"/>
      <c r="C7" s="23"/>
      <c r="D7" s="23"/>
      <c r="E7" s="23"/>
      <c r="F7" s="23"/>
    </row>
    <row r="8" spans="1:8" x14ac:dyDescent="0.3">
      <c r="A8" s="24" t="s">
        <v>145</v>
      </c>
      <c r="B8" s="24">
        <v>186</v>
      </c>
      <c r="C8" s="24" t="s">
        <v>143</v>
      </c>
      <c r="D8" s="24"/>
      <c r="E8" s="24"/>
      <c r="F8" s="24"/>
      <c r="G8" s="24"/>
    </row>
    <row r="9" spans="1:8" x14ac:dyDescent="0.3">
      <c r="A9" s="24" t="s">
        <v>146</v>
      </c>
      <c r="B9" s="24">
        <v>24</v>
      </c>
      <c r="C9" s="24" t="s">
        <v>143</v>
      </c>
      <c r="D9" s="24"/>
      <c r="E9" s="24"/>
      <c r="F9" s="24"/>
      <c r="G9" s="24"/>
    </row>
    <row r="10" spans="1:8" x14ac:dyDescent="0.3">
      <c r="A10" s="24" t="s">
        <v>147</v>
      </c>
      <c r="B10" s="24">
        <v>68</v>
      </c>
      <c r="C10" s="24" t="s">
        <v>143</v>
      </c>
      <c r="D10" s="24"/>
      <c r="E10" s="24"/>
      <c r="F10" s="24"/>
      <c r="G10" s="24"/>
    </row>
    <row r="11" spans="1:8" x14ac:dyDescent="0.3">
      <c r="A11" s="24" t="s">
        <v>152</v>
      </c>
      <c r="B11" s="24">
        <f>(B9+B10)/B8</f>
        <v>0.4946236559139785</v>
      </c>
      <c r="C11" s="24"/>
      <c r="D11" s="24" t="s">
        <v>164</v>
      </c>
      <c r="E11" s="24"/>
      <c r="F11" s="24"/>
      <c r="G11" s="24"/>
    </row>
    <row r="12" spans="1:8" x14ac:dyDescent="0.3">
      <c r="A12" s="23"/>
      <c r="B12" s="23"/>
      <c r="C12" s="23"/>
      <c r="D12" s="23"/>
      <c r="E12" s="23"/>
      <c r="F12" s="23"/>
    </row>
    <row r="13" spans="1:8" x14ac:dyDescent="0.3">
      <c r="A13" s="23" t="s">
        <v>148</v>
      </c>
      <c r="B13" s="23"/>
      <c r="C13" s="23"/>
      <c r="D13" s="23"/>
      <c r="E13" s="23"/>
      <c r="F13" s="23"/>
    </row>
    <row r="14" spans="1:8" x14ac:dyDescent="0.3">
      <c r="A14" s="24" t="s">
        <v>149</v>
      </c>
      <c r="B14" s="24">
        <v>52000</v>
      </c>
      <c r="C14" s="24" t="s">
        <v>143</v>
      </c>
      <c r="D14" s="24"/>
      <c r="E14" s="24"/>
      <c r="F14" s="24"/>
      <c r="G14" s="24"/>
      <c r="H14" s="24"/>
    </row>
    <row r="15" spans="1:8" x14ac:dyDescent="0.3">
      <c r="A15" s="24" t="s">
        <v>150</v>
      </c>
      <c r="B15" s="24">
        <v>64000</v>
      </c>
      <c r="C15" s="24" t="s">
        <v>143</v>
      </c>
      <c r="D15" s="24"/>
      <c r="E15" s="24"/>
      <c r="F15" s="24"/>
      <c r="G15" s="24"/>
      <c r="H15" s="24"/>
    </row>
    <row r="16" spans="1:8" x14ac:dyDescent="0.3">
      <c r="A16" s="24" t="s">
        <v>153</v>
      </c>
      <c r="B16" s="24">
        <f>B14/(B14+B15)</f>
        <v>0.44827586206896552</v>
      </c>
      <c r="C16" s="24"/>
      <c r="D16" s="24" t="s">
        <v>165</v>
      </c>
      <c r="E16" s="24"/>
      <c r="F16" s="24"/>
      <c r="G16" s="24"/>
      <c r="H16" s="24"/>
    </row>
    <row r="17" spans="1:17" x14ac:dyDescent="0.3">
      <c r="A17" s="23"/>
      <c r="B17" s="23"/>
      <c r="C17" s="23"/>
      <c r="D17" s="23"/>
      <c r="E17" s="23"/>
      <c r="F17" s="23"/>
    </row>
    <row r="18" spans="1:17" x14ac:dyDescent="0.3">
      <c r="A18" s="23" t="s">
        <v>154</v>
      </c>
      <c r="B18" s="23"/>
      <c r="C18" s="23"/>
      <c r="D18" s="23"/>
      <c r="E18" s="23"/>
      <c r="F18" s="23"/>
    </row>
    <row r="19" spans="1:17" x14ac:dyDescent="0.3">
      <c r="A19" s="24" t="s">
        <v>149</v>
      </c>
      <c r="B19" s="24">
        <v>7000</v>
      </c>
      <c r="C19" s="24" t="s">
        <v>143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3"/>
    </row>
    <row r="20" spans="1:17" x14ac:dyDescent="0.3">
      <c r="A20" s="24" t="s">
        <v>155</v>
      </c>
      <c r="B20" s="24">
        <v>5000</v>
      </c>
      <c r="C20" s="24" t="s">
        <v>143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3"/>
    </row>
    <row r="21" spans="1:17" x14ac:dyDescent="0.3">
      <c r="A21" s="24" t="s">
        <v>156</v>
      </c>
      <c r="B21" s="24">
        <v>6000</v>
      </c>
      <c r="C21" s="24" t="s">
        <v>143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3"/>
    </row>
    <row r="22" spans="1:17" x14ac:dyDescent="0.3">
      <c r="A22" s="24" t="s">
        <v>157</v>
      </c>
      <c r="B22" s="24">
        <v>12000</v>
      </c>
      <c r="C22" s="24" t="s">
        <v>143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3"/>
    </row>
    <row r="23" spans="1:17" x14ac:dyDescent="0.3">
      <c r="A23" s="24" t="s">
        <v>158</v>
      </c>
      <c r="B23" s="24">
        <f>B22-B21</f>
        <v>6000</v>
      </c>
      <c r="C23" s="24"/>
      <c r="D23" s="24"/>
      <c r="E23" s="24" t="s">
        <v>159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3"/>
    </row>
    <row r="24" spans="1:17" x14ac:dyDescent="0.3">
      <c r="A24" s="24"/>
      <c r="B24" s="24">
        <f>B19+B20-B21</f>
        <v>6000</v>
      </c>
      <c r="C24" s="24"/>
      <c r="D24" s="24"/>
      <c r="E24" s="24" t="s">
        <v>227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3"/>
    </row>
    <row r="25" spans="1:17" x14ac:dyDescent="0.3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3"/>
    </row>
    <row r="26" spans="1:17" x14ac:dyDescent="0.3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3"/>
    </row>
    <row r="27" spans="1:17" x14ac:dyDescent="0.3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3"/>
    </row>
    <row r="28" spans="1:17" x14ac:dyDescent="0.3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3"/>
    </row>
    <row r="29" spans="1:17" x14ac:dyDescent="0.3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3"/>
    </row>
    <row r="30" spans="1:17" x14ac:dyDescent="0.3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</row>
    <row r="31" spans="1:17" x14ac:dyDescent="0.3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</row>
    <row r="32" spans="1:17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</row>
    <row r="33" spans="1:16" x14ac:dyDescent="0.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ПР1</vt:lpstr>
      <vt:lpstr>ПР2</vt:lpstr>
      <vt:lpstr>ПР3</vt:lpstr>
      <vt:lpstr>ПР4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2024-11-14T09:27:32Z</dcterms:created>
  <dcterms:modified xsi:type="dcterms:W3CDTF">2024-12-05T11:31:49Z</dcterms:modified>
</cp:coreProperties>
</file>