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2d6e6b37b94b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每日行程" sheetId="1" r:id="R051b8972f11d4884"/>
    <x:sheet xmlns:r="http://schemas.openxmlformats.org/officeDocument/2006/relationships" name="兩人旅費" sheetId="2" r:id="R4b34374d76914502"/>
    <x:sheet xmlns:r="http://schemas.openxmlformats.org/officeDocument/2006/relationships" name="逛街與備案" sheetId="4" r:id="Rdfac0ec19c924ed4"/>
    <x:sheet xmlns:r="http://schemas.openxmlformats.org/officeDocument/2006/relationships" name="華沙餐廳" sheetId="6" r:id="R08d9b6060ce346f0"/>
    <x:sheet xmlns:r="http://schemas.openxmlformats.org/officeDocument/2006/relationships" name="伊斯坦堡餐廳" sheetId="7" r:id="Re5153adb30674beb"/>
    <x:sheet xmlns:r="http://schemas.openxmlformats.org/officeDocument/2006/relationships" name="華沙景點指南" sheetId="8" r:id="R9a5062e36dcd4851"/>
    <x:sheet xmlns:r="http://schemas.openxmlformats.org/officeDocument/2006/relationships" name="伊斯坦堡景點指南" sheetId="9" r:id="R5308ade84fa2481c"/>
    <x:sheet xmlns:r="http://schemas.openxmlformats.org/officeDocument/2006/relationships" name="華沙推薦總覽" sheetId="10" r:id="Rc93676daacdd41a4"/>
    <x:sheet xmlns:r="http://schemas.openxmlformats.org/officeDocument/2006/relationships" name="華沙茶咖啡" sheetId="11" r:id="Rb03651e58de54b57"/>
    <x:sheet xmlns:r="http://schemas.openxmlformats.org/officeDocument/2006/relationships" name="伊斯坦堡茶咖啡" sheetId="12" r:id="Rdf43db07be2e4e03"/>
    <x:sheet xmlns:r="http://schemas.openxmlformats.org/officeDocument/2006/relationships" name="伊斯坦堡推薦總覽" sheetId="13" r:id="R67d2060f69c540a2"/>
    <x:sheet xmlns:r="http://schemas.openxmlformats.org/officeDocument/2006/relationships" name="華沙當地特色菜" sheetId="14" r:id="R453320266cb845a7"/>
    <x:sheet xmlns:r="http://schemas.openxmlformats.org/officeDocument/2006/relationships" name="伊斯坦堡當地特色菜" sheetId="15" r:id="R8cb36ca24df54c77"/>
    <x:sheet xmlns:r="http://schemas.openxmlformats.org/officeDocument/2006/relationships" name="訂位與待辦" sheetId="16" r:id="R4a83f4df66ad4590"/>
    <x:sheet xmlns:r="http://schemas.openxmlformats.org/officeDocument/2006/relationships" name="支出明細" sheetId="17" r:id="Rcd3f495540364d06"/>
  </x:sheets>
</x:workbook>
</file>

<file path=xl/sharedStrings.xml><?xml version="1.0" encoding="utf-8"?>
<sst xmlns="http://schemas.openxmlformats.org/spreadsheetml/2006/main">
  <si>
    <t xml:space="preserve">城市</t>
  </si>
  <si>
    <t xml:space="preserve">香港 → 阿布扎比</t>
  </si>
  <si>
    <t xml:space="preserve">華沙</t>
  </si>
  <si>
    <t xml:space="preserve">華沙 → 伊斯坦堡</t>
  </si>
  <si>
    <t xml:space="preserve">伊斯坦堡</t>
  </si>
  <si>
    <t xml:space="preserve">伊斯坦堡 → 阿布扎比</t>
  </si>
  <si>
    <t xml:space="preserve">香港</t>
  </si>
  <si>
    <t xml:space="preserve">日期（當地）</t>
  </si>
  <si>
    <t xml:space="preserve">出發・機上休息</t>
  </si>
  <si>
    <t xml:space="preserve">回程・國際航班</t>
  </si>
  <si>
    <t xml:space="preserve">返港・休息</t>
  </si>
  <si>
    <t xml:space="preserve">06:00–07:00</t>
  </si>
  <si>
    <t xml:space="preserve">06:20–07:45
抵達華沙 WAW・入境領行李</t>
  </si>
  <si>
    <t xml:space="preserve">07:00–08:00</t>
  </si>
  <si>
    <t xml:space="preserve">08:00–09:00</t>
  </si>
  <si>
    <t xml:space="preserve">09:00–10:00</t>
  </si>
  <si>
    <t xml:space="preserve">10:00–11:00</t>
  </si>
  <si>
    <t xml:space="preserve">11:00–12:00</t>
  </si>
  <si>
    <t xml:space="preserve">12:00–13:00</t>
  </si>
  <si>
    <t xml:space="preserve">13:00–14:00</t>
  </si>
  <si>
    <t xml:space="preserve">14:00–15:00</t>
  </si>
  <si>
    <t xml:space="preserve">15:00–16:00</t>
  </si>
  <si>
    <t xml:space="preserve">16:00–17:00</t>
  </si>
  <si>
    <t xml:space="preserve">16:15–17:30
抵達 HKG・辦理登機</t>
  </si>
  <si>
    <t xml:space="preserve">17:00–18:00</t>
  </si>
  <si>
    <t xml:space="preserve">17:30–18:35
晚餐／貴賓室
香港｜機場</t>
  </si>
  <si>
    <t xml:space="preserve">17:35–20:45
IST 入境 → 10 Karaköy 入住</t>
  </si>
  <si>
    <t xml:space="preserve">18:00–19:00</t>
  </si>
  <si>
    <t xml:space="preserve">19:00–20:00</t>
  </si>
  <si>
    <t xml:space="preserve">19:35–翌日 00:25
EY871 香港 → 阿布扎比</t>
  </si>
  <si>
    <t xml:space="preserve">19:25–待確認
AUH 轉機 → 香港（資料待補）</t>
  </si>
  <si>
    <t xml:space="preserve">20:00–21:00</t>
  </si>
  <si>
    <t xml:space="preserve">21:00–22:00</t>
  </si>
  <si>
    <t xml:space="preserve">22:00–23:00</t>
  </si>
  <si>
    <t xml:space="preserve">跨午夜航段</t>
  </si>
  <si>
    <t xml:space="preserve">EY871：12/22 19:35 HKG →12/23 00:25 AUH
轉機 2 小時 30 分</t>
  </si>
  <si>
    <t xml:space="preserve">EY159：12/23 02:55 AUH →06:20 WAW
時間均為當地時間</t>
  </si>
  <si>
    <t xml:space="preserve">EY542：13:55 IST →19:25 AUH
AUH–HKG 最終航班待補</t>
  </si>
  <si>
    <t xml:space="preserve">住宿（暫定）</t>
  </si>
  <si>
    <t xml:space="preserve">機上</t>
  </si>
  <si>
    <t xml:space="preserve">PURO Warszawa Centrum</t>
  </si>
  <si>
    <t xml:space="preserve">10 Karaköy Istanbul</t>
  </si>
  <si>
    <t xml:space="preserve">酒店／入住提示</t>
  </si>
  <si>
    <t xml:space="preserve">19:35 EY871；16:15 抵達 HKG</t>
  </si>
  <si>
    <t xml:space="preserve">Widok 9｜第 1 晚；15:00 正式入住</t>
  </si>
  <si>
    <r>
      <rPr>
        <sz val="11"/>
        <color rgb="FF202124"/>
        <rFont val="Noto Sans CJK TC"/>
        <family val="2"/>
      </rPr>
      <t xml:space="preserve">第 </t>
    </r>
    <r>
      <rPr>
        <sz val="11"/>
        <color rgb="FF202124"/>
        <rFont val="Noto Sans CJK TC"/>
      </rPr>
      <t xml:space="preserve">2 </t>
    </r>
    <r>
      <rPr>
        <sz val="11"/>
        <color rgb="FF202124"/>
        <rFont val="Noto Sans CJK TC"/>
        <family val="2"/>
      </rPr>
      <t xml:space="preserve">晚；老城來回用車減少受寒</t>
    </r>
  </si>
  <si>
    <r>
      <rPr>
        <sz val="11"/>
        <color rgb="FF202124"/>
        <rFont val="Noto Sans CJK TC"/>
        <family val="2"/>
      </rPr>
      <t xml:space="preserve">第 </t>
    </r>
    <r>
      <rPr>
        <sz val="11"/>
        <color rgb="FF202124"/>
        <rFont val="Noto Sans CJK TC"/>
      </rPr>
      <t xml:space="preserve">3 </t>
    </r>
    <r>
      <rPr>
        <sz val="11"/>
        <color rgb="FF202124"/>
        <rFont val="Noto Sans CJK TC"/>
        <family val="2"/>
      </rPr>
      <t xml:space="preserve">晚；節日餐飲選擇少</t>
    </r>
  </si>
  <si>
    <r>
      <rPr>
        <sz val="11"/>
        <color rgb="FF202124"/>
        <rFont val="Noto Sans CJK TC"/>
        <family val="2"/>
      </rPr>
      <t xml:space="preserve">第 </t>
    </r>
    <r>
      <rPr>
        <sz val="11"/>
        <color rgb="FF202124"/>
        <rFont val="Noto Sans CJK TC"/>
      </rPr>
      <t xml:space="preserve">4 </t>
    </r>
    <r>
      <rPr>
        <sz val="11"/>
        <color rgb="FF202124"/>
        <rFont val="Noto Sans CJK TC"/>
        <family val="2"/>
      </rPr>
      <t xml:space="preserve">晚；晚上收拾行李</t>
    </r>
  </si>
  <si>
    <t xml:space="preserve">Kemeralti Cd. No:10｜第 1 晚</t>
  </si>
  <si>
    <r>
      <rPr>
        <sz val="11"/>
        <color rgb="FF202124"/>
        <rFont val="Noto Sans CJK TC"/>
        <family val="2"/>
      </rPr>
      <t xml:space="preserve">第 </t>
    </r>
    <r>
      <rPr>
        <sz val="11"/>
        <color rgb="FF202124"/>
        <rFont val="Noto Sans CJK TC"/>
      </rPr>
      <t xml:space="preserve">2 </t>
    </r>
    <r>
      <rPr>
        <sz val="11"/>
        <color rgb="FF202124"/>
        <rFont val="Noto Sans CJK TC"/>
        <family val="2"/>
      </rPr>
      <t xml:space="preserve">晚；</t>
    </r>
    <r>
      <rPr>
        <sz val="11"/>
        <color rgb="FF202124"/>
        <rFont val="Noto Sans CJK TC"/>
      </rPr>
      <t xml:space="preserve">T1 Karaköy </t>
    </r>
    <r>
      <rPr>
        <sz val="11"/>
        <color rgb="FF202124"/>
        <rFont val="Noto Sans CJK TC"/>
        <family val="2"/>
      </rPr>
      <t xml:space="preserve">往返老城</t>
    </r>
  </si>
  <si>
    <r>
      <rPr>
        <sz val="11"/>
        <color rgb="FF202124"/>
        <rFont val="Noto Sans CJK TC"/>
        <family val="2"/>
      </rPr>
      <t xml:space="preserve">第 </t>
    </r>
    <r>
      <rPr>
        <sz val="11"/>
        <color rgb="FF202124"/>
        <rFont val="Noto Sans CJK TC"/>
      </rPr>
      <t xml:space="preserve">3 </t>
    </r>
    <r>
      <rPr>
        <sz val="11"/>
        <color rgb="FF202124"/>
        <rFont val="Noto Sans CJK TC"/>
        <family val="2"/>
      </rPr>
      <t xml:space="preserve">晚；下午步行回酒店</t>
    </r>
  </si>
  <si>
    <r>
      <rPr>
        <sz val="11"/>
        <color rgb="FF202124"/>
        <rFont val="Noto Sans CJK TC"/>
        <family val="2"/>
      </rPr>
      <t xml:space="preserve">第 </t>
    </r>
    <r>
      <rPr>
        <sz val="11"/>
        <color rgb="FF202124"/>
        <rFont val="Noto Sans CJK TC"/>
      </rPr>
      <t xml:space="preserve">4 </t>
    </r>
    <r>
      <rPr>
        <sz val="11"/>
        <color rgb="FF202124"/>
        <rFont val="Noto Sans CJK TC"/>
        <family val="2"/>
      </rPr>
      <t xml:space="preserve">晚；下午休息、整理購物</t>
    </r>
  </si>
  <si>
    <t xml:space="preserve">13:55 EY542；最遲 10:45 到 IST</t>
  </si>
  <si>
    <t xml:space="preserve">天氣：歷史參考</t>
  </si>
  <si>
    <t xml:space="preserve">—</t>
  </si>
  <si>
    <r>
      <rPr>
        <sz val="11"/>
        <color rgb="FF202124"/>
        <rFont val="Noto Sans CJK TC"/>
        <family val="2"/>
      </rPr>
      <t xml:space="preserve">歷史參考：日 </t>
    </r>
    <r>
      <rPr>
        <sz val="11"/>
        <color rgb="FF202124"/>
        <rFont val="Noto Sans CJK TC"/>
      </rPr>
      <t xml:space="preserve">0–4°C</t>
    </r>
    <r>
      <rPr>
        <sz val="11"/>
        <color rgb="FF202124"/>
        <rFont val="Noto Sans CJK TC"/>
        <family val="2"/>
      </rPr>
      <t xml:space="preserve">／夜 −</t>
    </r>
    <r>
      <rPr>
        <sz val="11"/>
        <color rgb="FF202124"/>
        <rFont val="Noto Sans CJK TC"/>
      </rPr>
      <t xml:space="preserve">4–0°C</t>
    </r>
  </si>
  <si>
    <r>
      <rPr>
        <sz val="11"/>
        <color rgb="FF202124"/>
        <rFont val="Noto Sans CJK TC"/>
        <family val="2"/>
      </rPr>
      <t xml:space="preserve">伊斯坦堡：日 </t>
    </r>
    <r>
      <rPr>
        <sz val="11"/>
        <color rgb="FF202124"/>
        <rFont val="Noto Sans CJK TC"/>
      </rPr>
      <t xml:space="preserve">8–12°C</t>
    </r>
    <r>
      <rPr>
        <sz val="11"/>
        <color rgb="FF202124"/>
        <rFont val="Noto Sans CJK TC"/>
        <family val="2"/>
      </rPr>
      <t xml:space="preserve">／夜 </t>
    </r>
    <r>
      <rPr>
        <sz val="11"/>
        <color rgb="FF202124"/>
        <rFont val="Noto Sans CJK TC"/>
      </rPr>
      <t xml:space="preserve">4–7°C</t>
    </r>
  </si>
  <si>
    <r>
      <rPr>
        <sz val="11"/>
        <color rgb="FF202124"/>
        <rFont val="Noto Sans CJK TC"/>
        <family val="2"/>
      </rPr>
      <t xml:space="preserve">歷史參考：日 </t>
    </r>
    <r>
      <rPr>
        <sz val="11"/>
        <color rgb="FF202124"/>
        <rFont val="Noto Sans CJK TC"/>
      </rPr>
      <t xml:space="preserve">8–12°C</t>
    </r>
    <r>
      <rPr>
        <sz val="11"/>
        <color rgb="FF202124"/>
        <rFont val="Noto Sans CJK TC"/>
        <family val="2"/>
      </rPr>
      <t xml:space="preserve">／夜 </t>
    </r>
    <r>
      <rPr>
        <sz val="11"/>
        <color rgb="FF202124"/>
        <rFont val="Noto Sans CJK TC"/>
      </rPr>
      <t xml:space="preserve">4–7°C</t>
    </r>
  </si>
  <si>
    <t xml:space="preserve">可能下雨；機場交通多留緩衝</t>
  </si>
  <si>
    <t xml:space="preserve">香港天氣出發前再查</t>
  </si>
  <si>
    <t xml:space="preserve">訂位與開放提醒</t>
  </si>
  <si>
    <t xml:space="preserve">AUH–HKG 航班截圖未完整；須核对電子機票</t>
  </si>
  <si>
    <r>
      <rPr>
        <b/>
        <sz val="11"/>
        <color rgb="FF202124"/>
        <rFont val="Noto Sans CJK TC"/>
        <family val="2"/>
      </rPr>
      <t xml:space="preserve">兩人預算 </t>
    </r>
    <r>
      <rPr>
        <b/>
        <sz val="11"/>
        <color rgb="FF202124"/>
        <rFont val="Noto Sans CJK TC"/>
      </rPr>
      <t xml:space="preserve">HKD</t>
    </r>
  </si>
  <si>
    <r>
      <rPr>
        <b/>
        <sz val="11"/>
        <color rgb="FF202124"/>
        <rFont val="Noto Sans CJK TC"/>
        <family val="2"/>
      </rPr>
      <t xml:space="preserve">每人預算 </t>
    </r>
    <r>
      <rPr>
        <b/>
        <sz val="11"/>
        <color rgb="FF202124"/>
        <rFont val="Noto Sans CJK TC"/>
      </rPr>
      <t xml:space="preserve">HKD</t>
    </r>
  </si>
  <si>
    <t xml:space="preserve">低調拍照點</t>
  </si>
  <si>
    <t xml:space="preserve">雨雪／疲倦替代</t>
  </si>
  <si>
    <t xml:space="preserve">以航班／接送為主</t>
  </si>
</sst>
</file>

<file path=xl/styles.xml><?xml version="1.0" encoding="utf-8"?>
<x:styleSheet xmlns:x="http://schemas.openxmlformats.org/spreadsheetml/2006/main">
  <x:numFmts count="16">
    <x:numFmt numFmtId="164" formatCode="General"/>
    <x:numFmt numFmtId="165" formatCode="_(* #,##0.00_);_(* \(#,##0.00\);_(* \-??_);_(@_)"/>
    <x:numFmt numFmtId="166" formatCode="_(* #,##0_);_(* \(#,##0\);_(* \-_);_(@_)"/>
    <x:numFmt numFmtId="167" formatCode="_(\$* #,##0.00_);_(\$* \(#,##0.00\);_(\$* \-??_);_(@_)"/>
    <x:numFmt numFmtId="168" formatCode="_(\$* #,##0_);_(\$* \(#,##0\);_(\$* \-_);_(@_)"/>
    <x:numFmt numFmtId="169" formatCode="0%"/>
    <x:numFmt numFmtId="170" formatCode="m/d\ ddd"/>
    <x:numFmt numFmtId="171" formatCode="#,##0"/>
    <x:numFmt numFmtId="172" formatCode="hh:mm"/>
    <x:numFmt numFmtId="173" formatCode="mm/dd\ ddd"/>
    <x:numFmt numFmtId="174" formatCode="0.0"/>
    <x:numFmt numFmtId="175" formatCode="yyyy\-mm\-dd"/>
    <x:numFmt numFmtId="200" formatCode="#,##0.00"/>
    <x:numFmt numFmtId="201" formatCode="yyyy-mm-dd"/>
    <x:numFmt numFmtId="202" formatCode="0.00"/>
    <x:numFmt numFmtId="203" formatCode="mm/dd ddd"/>
  </x:numFmts>
  <x:fonts count="84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name val="Calibri"/>
    </x:font>
    <x:font>
      <x:sz val="16"/>
      <x:color rgb="FF202124"/>
      <x:name val="Noto Sans CJK TC"/>
    </x:font>
    <x:font>
      <x:sz val="16"/>
      <x:color rgb="FF202124"/>
      <x:name val="Noto Sans CJK TC"/>
    </x:font>
    <x:font>
      <x:sz val="11"/>
      <x:color rgb="FF202124"/>
      <x:name val="Noto Sans CJK TC"/>
    </x:font>
    <x:font>
      <x:b/>
      <x:sz val="11"/>
      <x:color rgb="FF202124"/>
      <x:name val="Noto Sans CJK TC"/>
    </x:font>
    <x:font>
      <x:b/>
      <x:sz val="11"/>
      <x:color rgb="FF202124"/>
      <x:name val="Noto Sans CJK TC"/>
    </x:font>
    <x:font>
      <x:sz val="11"/>
      <x:color rgb="FF202124"/>
      <x:name val="Noto Sans CJK TC"/>
    </x:font>
    <x:font>
      <x:sz val="10"/>
      <x:color rgb="FF202124"/>
      <x:name val="Noto Sans CJK TC"/>
    </x:font>
    <x:font>
      <x:sz val="11"/>
      <x:color rgb="FF172B1B"/>
      <x:name val="Noto Sans CJK TC"/>
    </x:font>
    <x:font>
      <x:sz val="10"/>
      <x:color rgb="FF666666"/>
      <x:name val="Noto Sans CJK TC"/>
    </x:font>
    <x:font>
      <x:sz val="10"/>
      <x:color rgb="FF666666"/>
      <x:name val="Noto Sans CJK TC"/>
    </x:font>
    <x:font>
      <x:b/>
      <x:sz val="12"/>
      <x:color rgb="FF202124"/>
      <x:name val="Noto Sans CJK TC"/>
    </x:font>
    <x:font>
      <x:b/>
      <x:sz val="12"/>
      <x:color rgb="FF202124"/>
      <x:name val="Noto Sans CJK TC"/>
    </x:font>
    <x:font>
      <x:sz val="11"/>
      <x:color rgb="FF202124"/>
      <x:name val="Noto Sans"/>
    </x:font>
    <x:font>
      <x:b/>
      <x:sz val="11"/>
      <x:color rgb="FFFFFFFF"/>
      <x:name val="Noto Sans CJK TC"/>
    </x:font>
    <x:font>
      <x:b/>
      <x:sz val="12"/>
      <x:color rgb="FFFFFFFF"/>
      <x:name val="Noto Sans CJK TC"/>
    </x:font>
    <x:font>
      <x:b/>
      <x:sz val="12"/>
      <x:color rgb="FFFFFFFF"/>
      <x:name val="Noto Sans CJK TC"/>
    </x:font>
    <x:font>
      <x:b/>
      <x:sz val="12"/>
      <x:color rgb="FF243C53"/>
      <x:name val="Noto Sans CJK TC"/>
    </x:font>
    <x:font>
      <x:b/>
      <x:sz val="12"/>
      <x:color rgb="FF243C53"/>
      <x:name val="Noto Sans CJK TC"/>
    </x:font>
    <x:font>
      <x:sz val="11"/>
      <x:color rgb="FF243C53"/>
      <x:name val="Noto Sans CJK TC"/>
    </x:font>
    <x:font>
      <x:sz val="11"/>
      <x:color rgb="FF243C53"/>
      <x:name val="Noto Sans CJK TC"/>
    </x:font>
    <x:font>
      <x:b/>
      <x:sz val="11"/>
      <x:color rgb="FF243C53"/>
      <x:name val="Noto Sans CJK TC"/>
    </x:font>
    <x:font>
      <x:b/>
      <x:sz val="11"/>
      <x:color rgb="FF243C53"/>
      <x:name val="Noto Sans CJK TC"/>
    </x:font>
    <x:font>
      <x:b/>
      <x:sz val="11"/>
      <x:color rgb="FFFFFFFF"/>
      <x:name val="Noto Sans CJK TC"/>
    </x:font>
    <x:font>
      <x:b/>
      <x:sz val="12"/>
      <x:color rgb="FF243C53"/>
      <x:name val="Noto Sans"/>
    </x:font>
    <x:font>
      <x:sz val="11"/>
      <x:color rgb="FF0563C1"/>
      <x:name val="Noto Sans CJK TC"/>
    </x:font>
    <x:font>
      <x:sz val="11"/>
      <x:color rgb="FF243C53"/>
      <x:name val="Noto Sans"/>
    </x:font>
    <x:font>
      <x:b/>
      <x:sz val="11"/>
      <x:color rgb="FF0563C1"/>
      <x:name val="Noto Sans CJK TC"/>
    </x:font>
    <x:font>
      <x:b/>
      <x:sz val="12"/>
      <x:name val="Noto Sans CJK TC"/>
    </x:font>
    <x:font>
      <x:sz val="11"/>
      <x:name val="Noto Sans CJK TC"/>
    </x:font>
    <x:font>
      <x:sz val="10"/>
      <x:color rgb="FF17689B"/>
      <x:name val="Noto Sans CJK TC"/>
    </x:font>
    <x:font>
      <x:sz val="10"/>
      <x:name val="Noto Sans CJK TC"/>
    </x:font>
    <x:font>
      <x:b/>
      <x:sz val="16"/>
      <x:color rgb="FFFFFFFF"/>
      <x:name val="Noto Sans CJK TC"/>
    </x:font>
    <x:font>
      <x:b/>
      <x:sz val="16"/>
      <x:color rgb="FFFFFFFF"/>
      <x:name val="Arial"/>
    </x:font>
    <x:font>
      <x:b/>
      <x:i/>
      <x:sz val="12"/>
      <x:color rgb="FF1F1F1F"/>
      <x:name val="Noto Sans CJK TC"/>
    </x:font>
    <x:font>
      <x:i/>
      <x:sz val="10"/>
      <x:color rgb="FF1F1F1F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b/>
      <x:sz val="10"/>
      <x:color rgb="FFC65911"/>
      <x:name val="Arial"/>
    </x:font>
    <x:font>
      <x:b/>
      <x:sz val="10"/>
      <x:color rgb="FF274E13"/>
      <x:name val="Arial"/>
    </x:font>
    <x:font>
      <x:b/>
      <x:sz val="10"/>
      <x:color rgb="FF7F6000"/>
      <x:name val="Arial"/>
    </x:font>
    <x:font>
      <x:sz val="10"/>
      <x:color rgb="FF666666"/>
      <x:name val="Arial"/>
    </x:font>
    <x:font>
      <x:b/>
      <x:sz val="10"/>
      <x:color rgb="FFC00000"/>
      <x:name val="Arial"/>
    </x:font>
    <x:font>
      <x:sz val="10"/>
      <x:color rgb="FF222222"/>
      <x:name val="Arial"/>
    </x:font>
    <x:font>
      <x:sz val="10"/>
      <x:color rgb="FF1F1F1F"/>
      <x:name val="Arial"/>
    </x:font>
    <x:font>
      <x:b/>
      <x:sz val="10"/>
      <x:color rgb="FF666666"/>
      <x:name val="Arial"/>
    </x:font>
    <x:font>
      <x:b/>
      <x:sz val="14"/>
      <x:color rgb="FFFFFFFF"/>
      <x:name val="Arial"/>
    </x:font>
    <x:font>
      <x:sz val="10"/>
      <x:color rgb="FF7F6000"/>
      <x:name val="Arial"/>
    </x:font>
    <x:font>
      <x:b/>
      <x:sz val="17"/>
      <x:color rgb="FFFFFFFF"/>
      <x:name val="Arial"/>
    </x:font>
    <x:font>
      <x:b/>
      <x:sz val="11"/>
      <x:color rgb="FF7F6000"/>
      <x:name val="Noto Sans CJK TC"/>
    </x:font>
    <x:font>
      <x:b/>
      <x:sz val="11"/>
      <x:color rgb="FF9C6500"/>
      <x:name val="Noto Sans CJK TC"/>
    </x:font>
    <x:font>
      <x:sz val="10"/>
      <x:color rgb="FF8A3151"/>
      <x:name val="Noto Sans CJK TC"/>
    </x:font>
    <x:font>
      <x:sz val="11"/>
      <x:color rgb="FF8A3151"/>
      <x:name val="Noto Sans CJK TC"/>
    </x:font>
    <x:font>
      <x:b/>
      <x:sz val="16"/>
      <x:color rgb="FF8A3151"/>
      <x:name val="Noto Sans CJK TC"/>
    </x:font>
    <x:font>
      <x:b/>
      <x:sz val="10"/>
      <x:color rgb="FF9C6500"/>
      <x:name val="Noto Sans CJK TC"/>
    </x:font>
    <x:font>
      <x:b/>
      <x:sz val="11"/>
      <x:color rgb="FF8A3151"/>
      <x:name val="Noto Sans CJK TC"/>
    </x:font>
    <x:font>
      <x:sz val="10"/>
      <x:color rgb="FF9C0006"/>
      <x:name val="Arial"/>
    </x:font>
    <x:font>
      <x:b/>
      <x:sz val="10"/>
      <x:color rgb="FF9C0006"/>
      <x:name val="Arial"/>
    </x:font>
    <x:font>
      <x:sz val="10"/>
      <x:color rgb="FF8A3151"/>
      <x:name val="Arial"/>
    </x:font>
    <x:font>
      <x:b/>
      <x:sz val="14"/>
      <x:color rgb="FFC00000"/>
      <x:name val="Arial"/>
    </x:font>
    <x:font>
      <x:sz val="11"/>
      <x:color rgb="FF666666"/>
      <x:name val="Noto Sans CJK TC"/>
    </x:font>
    <x:font>
      <x:b/>
      <x:sz val="15"/>
      <x:color rgb="FF202124"/>
      <x:name val="Noto Sans CJK TC"/>
    </x:font>
    <x:font>
      <x:b/>
      <x:i/>
      <x:sz val="11"/>
      <x:color rgb="FF1F1F1F"/>
      <x:name val="Noto Sans CJK TC"/>
    </x:font>
    <x:font>
      <x:i/>
      <x:sz val="11"/>
      <x:color rgb="FF1F1F1F"/>
      <x:name val="Noto Sans CJK TC"/>
    </x:font>
    <x:font>
      <x:b/>
      <x:sz val="11"/>
      <x:name val="Noto Sans CJK TC"/>
    </x:font>
    <x:font>
      <x:b/>
      <x:sz val="15"/>
      <x:color rgb="FFFFFFFF"/>
      <x:name val="Noto Sans CJK TC"/>
    </x:font>
    <x:font>
      <x:b/>
      <x:sz val="15"/>
      <x:color rgb="FF8A3151"/>
      <x:name val="Noto Sans CJK TC"/>
    </x:font>
    <x:font>
      <x:sz val="11"/>
      <x:color rgb="FF1F1F1F"/>
      <x:name val="Noto Sans CJK TC"/>
    </x:font>
    <x:font>
      <x:sz val="11"/>
      <x:color rgb="FF7F6000"/>
      <x:name val="Noto Sans CJK TC"/>
    </x:font>
    <x:font>
      <x:b/>
      <x:sz val="11"/>
      <x:color rgb="FFC00000"/>
      <x:name val="Noto Sans CJK TC"/>
    </x:font>
    <x:font>
      <x:b/>
      <x:sz val="11"/>
      <x:color rgb="FF274E13"/>
      <x:name val="Noto Sans CJK TC"/>
    </x:font>
    <x:font>
      <x:b/>
      <x:sz val="11"/>
      <x:color rgb="FF9C0006"/>
      <x:name val="Noto Sans CJK TC"/>
    </x:font>
    <x:font>
      <x:sz val="11"/>
      <x:color rgb="FF222222"/>
      <x:name val="Noto Sans CJK TC"/>
    </x:font>
    <x:font>
      <x:b/>
      <x:sz val="11"/>
      <x:color rgb="FFC65911"/>
      <x:name val="Noto Sans CJK TC"/>
    </x:font>
    <x:font>
      <x:b/>
      <x:sz val="11"/>
      <x:color rgb="FF666666"/>
      <x:name val="Noto Sans CJK TC"/>
    </x:font>
    <x:font>
      <x:sz val="11"/>
      <x:color rgb="FF9C0006"/>
      <x:name val="Noto Sans CJK TC"/>
    </x:font>
    <x:font>
      <x:b/>
      <x:sz val="15"/>
      <x:name val="Noto Sans CJK TC"/>
    </x:font>
    <x:font>
      <x:sz val="11"/>
      <x:color rgb="FF263746"/>
      <x:name val="Noto Sans CJK TC"/>
    </x:font>
    <x:font>
      <x:b/>
      <x:sz val="11"/>
      <x:color rgb="FF263746"/>
      <x:name val="Noto Sans CJK TC"/>
    </x:font>
  </x:fonts>
  <x:fills count="120">
    <x:fill>
      <x:patternFill patternType="none"/>
    </x:fill>
    <x:fill>
      <x:patternFill patternType="gray125"/>
    </x:fill>
    <x:fill>
      <x:patternFill patternType="solid">
        <x:fgColor rgb="FFEAD1DC"/>
      </x:patternFill>
    </x:fill>
    <x:fill>
      <x:patternFill patternType="solid">
        <x:fgColor rgb="FFFCE5CD"/>
      </x:patternFill>
    </x:fill>
    <x:fill>
      <x:patternFill patternType="solid">
        <x:fgColor rgb="FFD0E0E3"/>
      </x:patternFill>
    </x:fill>
    <x:fill>
      <x:patternFill patternType="solid">
        <x:fgColor rgb="FFF3F3F3"/>
      </x:patternFill>
    </x:fill>
    <x:fill>
      <x:patternFill patternType="solid">
        <x:fgColor rgb="FFD9EAD3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D9E2F3"/>
      </x:patternFill>
    </x:fill>
    <x:fill>
      <x:patternFill patternType="solid">
        <x:fgColor rgb="FF44546A"/>
      </x:patternFill>
    </x:fill>
    <x:fill>
      <x:patternFill patternType="solid">
        <x:fgColor rgb="FFE8EDF5"/>
      </x:patternFill>
    </x:fill>
    <x:fill>
      <x:patternFill patternType="solid">
        <x:fgColor rgb="FFF4F6F8"/>
      </x:patternFill>
    </x:fill>
    <x:fill>
      <x:patternFill patternType="solid">
        <x:fgColor rgb="FF243C53"/>
      </x:patternFill>
    </x:fill>
    <x:fill>
      <x:patternFill patternType="solid">
        <x:fgColor rgb="FFFFF2CC"/>
      </x:patternFill>
    </x:fill>
    <x:fill>
      <x:patternFill patternType="solid">
        <x:fgColor rgb="FFF4F7FA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2F5597"/>
      </x:patternFill>
    </x:fill>
    <x:fill>
      <x:patternFill patternType="solid">
        <x:fgColor rgb="FFFCE4D6"/>
      </x:patternFill>
    </x:fill>
    <x:fill>
      <x:patternFill patternType="solid">
        <x:fgColor rgb="FF548235"/>
      </x:patternFill>
    </x:fill>
    <x:fill>
      <x:patternFill patternType="solid">
        <x:fgColor rgb="FFC55A11"/>
      </x:patternFill>
    </x:fill>
    <x:fill>
      <x:patternFill patternType="solid">
        <x:fgColor rgb="FF4472C4"/>
      </x:patternFill>
    </x:fill>
    <x:fill>
      <x:patternFill patternType="solid">
        <x:fgColor rgb="FFED7D31"/>
      </x:patternFill>
    </x:fill>
    <x:fill>
      <x:patternFill patternType="solid">
        <x:fgColor rgb="FFEDEDED"/>
      </x:patternFill>
    </x:fill>
    <x:fill>
      <x:patternFill patternType="solid">
        <x:fgColor rgb="FF7F6000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EDEDE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EDEDE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  <x:fill>
      <x:patternFill patternType="solid">
        <x:fgColor rgb="FFFCE4D6"/>
      </x:patternFill>
    </x:fill>
    <x:fill>
      <x:patternFill patternType="solid">
        <x:fgColor rgb="FFEDEDED"/>
      </x:patternFill>
    </x:fill>
    <x:fill>
      <x:patternFill patternType="solid">
        <x:fgColor rgb="FFEAF2F8"/>
      </x:patternFill>
    </x:fill>
    <x:fill>
      <x:patternFill patternType="solid">
        <x:fgColor rgb="FFFFE699"/>
      </x:patternFill>
    </x:fill>
    <x:fill>
      <x:patternFill patternType="solid">
        <x:fgColor rgb="FF203864"/>
      </x:patternFill>
    </x:fill>
    <x:fill>
      <x:patternFill patternType="solid">
        <x:fgColor rgb="FF4472C4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  <x:fill>
      <x:patternFill patternType="solid">
        <x:fgColor rgb="FFFCE4D6"/>
      </x:patternFill>
    </x:fill>
    <x:fill>
      <x:patternFill patternType="solid">
        <x:fgColor rgb="FFEDEDED"/>
      </x:patternFill>
    </x:fill>
    <x:fill>
      <x:patternFill patternType="solid">
        <x:fgColor rgb="FFFFE699"/>
      </x:patternFill>
    </x:fill>
    <x:fill>
      <x:patternFill patternType="solid">
        <x:fgColor rgb="FF6F4E37"/>
      </x:patternFill>
    </x:fill>
    <x:fill>
      <x:patternFill patternType="solid">
        <x:fgColor rgb="FFEADBC8"/>
      </x:patternFill>
    </x:fill>
    <x:fill>
      <x:patternFill patternType="solid">
        <x:fgColor rgb="FFA67C52"/>
      </x:patternFill>
    </x:fill>
    <x:fill>
      <x:patternFill patternType="solid">
        <x:fgColor rgb="FFFCE4EC"/>
      </x:patternFill>
    </x:fill>
    <x:fill>
      <x:patternFill patternType="solid">
        <x:fgColor rgb="FF244062"/>
      </x:patternFill>
    </x:fill>
    <x:fill>
      <x:patternFill patternType="solid">
        <x:fgColor rgb="FF548235"/>
      </x:patternFill>
    </x:fill>
    <x:fill>
      <x:patternFill patternType="solid">
        <x:fgColor rgb="FF70AD47"/>
      </x:patternFill>
    </x:fill>
    <x:fill>
      <x:patternFill patternType="solid">
        <x:fgColor rgb="FF806000"/>
      </x:patternFill>
    </x:fill>
    <x:fill>
      <x:patternFill patternType="solid">
        <x:fgColor rgb="FFBF9000"/>
      </x:patternFill>
    </x:fill>
    <x:fill>
      <x:patternFill patternType="solid">
        <x:fgColor rgb="FF203864"/>
      </x:patternFill>
    </x:fill>
    <x:fill>
      <x:patternFill patternType="solid">
        <x:fgColor rgb="FF4472C4"/>
      </x:patternFill>
    </x:fill>
    <x:fill>
      <x:patternFill patternType="solid">
        <x:fgColor rgb="FFFFE699"/>
      </x:patternFill>
    </x:fill>
    <x:fill>
      <x:patternFill patternType="solid">
        <x:fgColor rgb="FFFFF2CC"/>
      </x:patternFill>
    </x:fill>
    <x:fill>
      <x:patternFill patternType="solid">
        <x:fgColor rgb="FFFCE4EC"/>
      </x:patternFill>
    </x:fill>
    <x:fill>
      <x:patternFill patternType="solid">
        <x:fgColor rgb="FF7F6000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BF9000"/>
      </x:patternFill>
    </x:fill>
    <x:fill>
      <x:patternFill patternType="solid">
        <x:fgColor rgb="FFD9EAD3"/>
      </x:patternFill>
    </x:fill>
    <x:fill>
      <x:patternFill patternType="solid">
        <x:fgColor rgb="FFEDEDED"/>
      </x:patternFill>
    </x:fill>
    <x:fill>
      <x:patternFill patternType="solid">
        <x:fgColor rgb="FFFCE4EC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C65911"/>
      </x:patternFill>
    </x:fill>
    <x:fill>
      <x:patternFill patternType="solid">
        <x:fgColor rgb="FFF4CCCC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70AD47"/>
      </x:patternFill>
    </x:fill>
    <x:fill>
      <x:patternFill patternType="solid">
        <x:fgColor rgb="FFED7D31"/>
      </x:patternFill>
    </x:fill>
    <x:fill>
      <x:patternFill patternType="solid">
        <x:fgColor rgb="FF203864"/>
      </x:patternFill>
    </x:fill>
    <x:fill>
      <x:patternFill patternType="solid">
        <x:fgColor rgb="FF4472C4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  <x:fill>
      <x:patternFill patternType="solid">
        <x:fgColor rgb="FFF4CCCC"/>
      </x:patternFill>
    </x:fill>
    <x:fill>
      <x:patternFill patternType="solid">
        <x:fgColor rgb="FFFFE699"/>
      </x:patternFill>
    </x:fill>
    <x:fill>
      <x:patternFill patternType="solid">
        <x:fgColor rgb="FF6F4E37"/>
      </x:patternFill>
    </x:fill>
    <x:fill>
      <x:patternFill patternType="solid">
        <x:fgColor rgb="FFEADBC8"/>
      </x:patternFill>
    </x:fill>
    <x:fill>
      <x:patternFill patternType="solid">
        <x:fgColor rgb="FFA67C52"/>
      </x:patternFill>
    </x:fill>
    <x:fill>
      <x:patternFill patternType="solid">
        <x:fgColor rgb="FF8B4513"/>
      </x:patternFill>
    </x:fill>
    <x:fill>
      <x:patternFill patternType="solid">
        <x:fgColor rgb="FFFCE4D6"/>
      </x:patternFill>
    </x:fill>
    <x:fill>
      <x:patternFill patternType="solid">
        <x:fgColor rgb="FFC65911"/>
      </x:patternFill>
    </x:fill>
    <x:fill>
      <x:patternFill patternType="solid">
        <x:fgColor rgb="FFEDEDED"/>
      </x:patternFill>
    </x:fill>
    <x:fill>
      <x:patternFill patternType="solid">
        <x:fgColor rgb="FF4472C4"/>
      </x:patternFill>
    </x:fill>
    <x:fill>
      <x:patternFill patternType="solid">
        <x:fgColor rgb="FF244062"/>
      </x:patternFill>
    </x:fill>
    <x:fill>
      <x:patternFill patternType="solid">
        <x:fgColor rgb="FFE2F0D9"/>
      </x:patternFill>
    </x:fill>
    <x:fill>
      <x:patternFill patternType="solid">
        <x:fgColor rgb="FFE4DFEC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F3E5D8"/>
      </x:patternFill>
    </x:fill>
    <x:fill>
      <x:patternFill patternType="solid">
        <x:fgColor rgb="FFFFF2CC"/>
      </x:patternFill>
    </x:fill>
    <x:fill>
      <x:patternFill patternType="solid">
        <x:fgColor rgb="FFFCE4EC"/>
      </x:patternFill>
    </x:fill>
    <x:fill>
      <x:patternFill patternType="solid">
        <x:fgColor rgb="FFFFF0CE"/>
      </x:patternFill>
    </x:fill>
    <x:fill>
      <x:patternFill patternType="solid">
        <x:fgColor rgb="FF29465B"/>
      </x:patternFill>
    </x:fill>
    <x:fill>
      <x:patternFill patternType="solid">
        <x:fgColor rgb="FFE5F0DB"/>
      </x:patternFill>
    </x:fill>
    <x:fill>
      <x:patternFill patternType="solid">
        <x:fgColor rgb="FFEAF0F5"/>
      </x:patternFill>
    </x:fill>
  </x:fills>
  <x:borders count="4">
    <x:border diagonalUp="0" diagonalDown="0"/>
    <x:border diagonalUp="0" diagonalDown="0">
      <x:left style="thin">
        <x:color rgb="FFBBC2C9"/>
      </x:left>
      <x:right style="thin">
        <x:color rgb="FFBBC2C9"/>
      </x:right>
      <x:top style="thin">
        <x:color rgb="FFBBC2C9"/>
      </x:top>
      <x:bottom style="thin">
        <x:color rgb="FFBBC2C9"/>
      </x:bottom>
    </x:border>
    <x:border diagonalUp="0" diagonalDown="0"/>
    <x:border diagonalUp="0" diagonalDown="0">
      <x:left style="thin">
        <x:color rgb="FFBBC2C9"/>
      </x:left>
      <x:right style="thin">
        <x:color rgb="FFBBC2C9"/>
      </x:right>
      <x:top style="thin">
        <x:color rgb="FFBBC2C9"/>
      </x:top>
      <x:bottom style="thin">
        <x:color rgb="FFBBC2C9"/>
      </x:bottom>
    </x:border>
  </x:borders>
  <x:cellStyleXfs count="27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0" applyAlignment="0" applyProtection="0"/>
    <x:xf numFmtId="167" fontId="4" fillId="0" borderId="0" applyFont="1" applyBorder="0" applyAlignment="0" applyProtection="0"/>
    <x:xf numFmtId="168" fontId="4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9" fontId="4" fillId="0" borderId="0" applyFont="1" applyBorder="0" applyAlignment="0" applyProtection="0"/>
  </x:cellStyleXfs>
  <x:cellXfs count="1276">
    <x:xf numFmtId="164" fontId="0" fillId="0" borderId="0" xfId="0" applyFont="0" applyBorder="0" applyAlignment="0">
      <x:alignment horizontal="general" vertical="bottom" wrapText="0"/>
    </x:xf>
    <x:xf numFmtId="164" fontId="6" fillId="0" borderId="0" xfId="25" applyFont="1" applyBorder="1" applyAlignment="1">
      <x:alignment horizontal="general" vertical="center" wrapText="1"/>
    </x:xf>
    <x:xf numFmtId="164" fontId="8" fillId="0" borderId="1" xfId="25" applyFont="1" applyBorder="1" applyAlignment="1">
      <x:alignment horizontal="general" vertical="center" wrapText="1"/>
    </x:xf>
    <x:xf numFmtId="164" fontId="9" fillId="2" borderId="1" xfId="25" applyFont="1" applyBorder="1" applyAlignment="1">
      <x:alignment horizontal="center" vertical="center" wrapText="1"/>
    </x:xf>
    <x:xf numFmtId="164" fontId="9" fillId="3" borderId="1" xfId="25" applyFont="1" applyBorder="1" applyAlignment="1">
      <x:alignment horizontal="center" vertical="center" wrapText="1"/>
    </x:xf>
    <x:xf numFmtId="164" fontId="9" fillId="4" borderId="1" xfId="25" applyFont="1" applyBorder="1" applyAlignment="1">
      <x:alignment horizontal="center" vertical="center" wrapText="1"/>
    </x:xf>
    <x:xf numFmtId="170" fontId="10" fillId="2" borderId="1" xfId="25" applyFont="1" applyBorder="1" applyAlignment="1">
      <x:alignment horizontal="center" vertical="center" wrapText="1"/>
    </x:xf>
    <x:xf numFmtId="170" fontId="10" fillId="3" borderId="1" xfId="25" applyFont="1" applyBorder="1" applyAlignment="1">
      <x:alignment horizontal="center" vertical="center" wrapText="1"/>
    </x:xf>
    <x:xf numFmtId="170" fontId="10" fillId="4" borderId="1" xfId="25" applyFont="1" applyBorder="1" applyAlignment="1">
      <x:alignment horizontal="center" vertical="center" wrapText="1"/>
    </x:xf>
    <x:xf numFmtId="164" fontId="11" fillId="0" borderId="1" xfId="25" applyFont="1" applyBorder="1" applyAlignment="1">
      <x:alignment horizontal="general" vertical="center" wrapText="1"/>
    </x:xf>
    <x:xf numFmtId="164" fontId="12" fillId="5" borderId="1" xfId="25" applyFont="1" applyBorder="1" applyAlignment="1">
      <x:alignment horizontal="general" vertical="top" wrapText="1"/>
    </x:xf>
    <x:xf numFmtId="164" fontId="11" fillId="6" borderId="1" xfId="24" applyFont="1" applyBorder="1" applyAlignment="1">
      <x:alignment horizontal="general" vertical="top" wrapText="1"/>
    </x:xf>
    <x:xf numFmtId="164" fontId="12" fillId="7" borderId="1" xfId="25" applyFont="1" applyBorder="1" applyAlignment="1">
      <x:alignment horizontal="general" vertical="top" wrapText="1"/>
    </x:xf>
    <x:xf numFmtId="164" fontId="12" fillId="8" borderId="1" xfId="25" applyFont="1" applyBorder="1" applyAlignment="1">
      <x:alignment horizontal="general" vertical="top" wrapText="1"/>
    </x:xf>
    <x:xf numFmtId="164" fontId="12" fillId="6" borderId="1" xfId="25" applyFont="1" applyBorder="1" applyAlignment="1">
      <x:alignment horizontal="general" vertical="top" wrapText="1"/>
    </x:xf>
    <x:xf numFmtId="164" fontId="11" fillId="8" borderId="1" xfId="24" applyFont="1" applyBorder="1" applyAlignment="1">
      <x:alignment horizontal="general" vertical="top" wrapText="1"/>
    </x:xf>
    <x:xf numFmtId="164" fontId="13" fillId="6" borderId="1" xfId="24" applyFont="1" applyBorder="1" applyAlignment="1">
      <x:alignment horizontal="general" vertical="top" wrapText="1"/>
    </x:xf>
    <x:xf numFmtId="164" fontId="12" fillId="2" borderId="1" xfId="25" applyFont="1" applyBorder="1" applyAlignment="1">
      <x:alignment horizontal="general" vertical="top" wrapText="1"/>
    </x:xf>
    <x:xf numFmtId="164" fontId="14" fillId="5" borderId="1" xfId="25" applyFont="1" applyBorder="1" applyAlignment="1">
      <x:alignment horizontal="general" vertical="top" wrapText="1"/>
    </x:xf>
    <x:xf numFmtId="164" fontId="11" fillId="5" borderId="1" xfId="25" applyFont="1" applyBorder="1" applyAlignment="1">
      <x:alignment horizontal="general" vertical="center" wrapText="1"/>
    </x:xf>
    <x:xf numFmtId="164" fontId="15" fillId="5" borderId="1" xfId="25" applyFont="1" applyBorder="1" applyAlignment="1">
      <x:alignment horizontal="general" vertical="center" wrapText="1"/>
    </x:xf>
    <x:xf numFmtId="164" fontId="8" fillId="0" borderId="0" xfId="25" applyFont="1" applyBorder="1" applyAlignment="1">
      <x:alignment horizontal="general" vertical="center" wrapText="1"/>
    </x:xf>
    <x:xf numFmtId="164" fontId="11" fillId="0" borderId="0" xfId="25" applyFont="1" applyBorder="1" applyAlignment="1">
      <x:alignment horizontal="general" vertical="center" wrapText="1"/>
    </x:xf>
    <x:xf numFmtId="164" fontId="9" fillId="9" borderId="0" xfId="25" applyFont="1" applyBorder="1" applyAlignment="1">
      <x:alignment horizontal="general" vertical="center" wrapText="1"/>
    </x:xf>
    <x:xf numFmtId="171" fontId="11" fillId="0" borderId="0" xfId="25" applyFont="1" applyBorder="1" applyAlignment="1">
      <x:alignment horizontal="general" vertical="center" wrapText="1"/>
    </x:xf>
    <x:xf numFmtId="164" fontId="16" fillId="10" borderId="0" xfId="25" applyFont="1" applyBorder="1" applyAlignment="1">
      <x:alignment horizontal="general" vertical="center" wrapText="1"/>
    </x:xf>
    <x:xf numFmtId="164" fontId="19" fillId="11" borderId="0" xfId="25" applyFont="1" applyBorder="1" applyAlignment="1">
      <x:alignment horizontal="center" vertical="center" wrapText="1"/>
    </x:xf>
    <x:xf numFmtId="170" fontId="11" fillId="12" borderId="0" xfId="25" applyFont="1" applyBorder="1" applyAlignment="1">
      <x:alignment horizontal="general" vertical="center" wrapText="1"/>
    </x:xf>
    <x:xf numFmtId="172" fontId="11" fillId="12" borderId="0" xfId="25" applyFont="1" applyBorder="1" applyAlignment="1">
      <x:alignment horizontal="general" vertical="center" wrapText="1"/>
    </x:xf>
    <x:xf numFmtId="164" fontId="8" fillId="12" borderId="0" xfId="25" applyFont="1" applyBorder="1" applyAlignment="1">
      <x:alignment horizontal="general" vertical="center" wrapText="1"/>
    </x:xf>
    <x:xf numFmtId="170" fontId="11" fillId="6" borderId="0" xfId="25" applyFont="1" applyBorder="1" applyAlignment="1">
      <x:alignment horizontal="general" vertical="center" wrapText="1"/>
    </x:xf>
    <x:xf numFmtId="172" fontId="11" fillId="6" borderId="0" xfId="25" applyFont="1" applyBorder="1" applyAlignment="1">
      <x:alignment horizontal="general" vertical="center" wrapText="1"/>
    </x:xf>
    <x:xf numFmtId="164" fontId="8" fillId="6" borderId="0" xfId="25" applyFont="1" applyBorder="1" applyAlignment="1">
      <x:alignment horizontal="general" vertical="center" wrapText="1"/>
    </x:xf>
    <x:xf numFmtId="170" fontId="11" fillId="2" borderId="0" xfId="25" applyFont="1" applyBorder="1" applyAlignment="1">
      <x:alignment horizontal="general" vertical="center" wrapText="1"/>
    </x:xf>
    <x:xf numFmtId="172" fontId="11" fillId="2" borderId="0" xfId="25" applyFont="1" applyBorder="1" applyAlignment="1">
      <x:alignment horizontal="general" vertical="center" wrapText="1"/>
    </x:xf>
    <x:xf numFmtId="164" fontId="11" fillId="2" borderId="0" xfId="25" applyFont="1" applyBorder="1" applyAlignment="1">
      <x:alignment horizontal="general" vertical="center" wrapText="1"/>
    </x:xf>
    <x:xf numFmtId="164" fontId="11" fillId="12" borderId="0" xfId="25" applyFont="1" applyBorder="1" applyAlignment="1">
      <x:alignment horizontal="general" vertical="center" wrapText="1"/>
    </x:xf>
    <x:xf numFmtId="164" fontId="11" fillId="6" borderId="0" xfId="25" applyFont="1" applyBorder="1" applyAlignment="1">
      <x:alignment horizontal="general" vertical="center" wrapText="1"/>
    </x:xf>
    <x:xf numFmtId="170" fontId="11" fillId="8" borderId="0" xfId="25" applyFont="1" applyBorder="1" applyAlignment="1">
      <x:alignment horizontal="general" vertical="center" wrapText="1"/>
    </x:xf>
    <x:xf numFmtId="172" fontId="11" fillId="8" borderId="0" xfId="25" applyFont="1" applyBorder="1" applyAlignment="1">
      <x:alignment horizontal="general" vertical="center" wrapText="1"/>
    </x:xf>
    <x:xf numFmtId="164" fontId="8" fillId="8" borderId="0" xfId="25" applyFont="1" applyBorder="1" applyAlignment="1">
      <x:alignment horizontal="general" vertical="center" wrapText="1"/>
    </x:xf>
    <x:xf numFmtId="164" fontId="11" fillId="8" borderId="0" xfId="25" applyFont="1" applyBorder="1" applyAlignment="1">
      <x:alignment horizontal="general" vertical="center" wrapText="1"/>
    </x:xf>
    <x:xf numFmtId="164" fontId="11" fillId="6" borderId="0" xfId="24" applyFont="1" applyBorder="1" applyAlignment="1">
      <x:alignment horizontal="general" vertical="center" wrapText="1"/>
    </x:xf>
    <x:xf numFmtId="170" fontId="11" fillId="5" borderId="0" xfId="25" applyFont="1" applyBorder="1" applyAlignment="1">
      <x:alignment horizontal="general" vertical="center" wrapText="1"/>
    </x:xf>
    <x:xf numFmtId="172" fontId="11" fillId="5" borderId="0" xfId="25" applyFont="1" applyBorder="1" applyAlignment="1">
      <x:alignment horizontal="general" vertical="center" wrapText="1"/>
    </x:xf>
    <x:xf numFmtId="164" fontId="8" fillId="5" borderId="0" xfId="25" applyFont="1" applyBorder="1" applyAlignment="1">
      <x:alignment horizontal="general" vertical="center" wrapText="1"/>
    </x:xf>
    <x:xf numFmtId="172" fontId="8" fillId="2" borderId="0" xfId="25" applyFont="1" applyBorder="1" applyAlignment="1">
      <x:alignment horizontal="general" vertical="center" wrapText="1"/>
    </x:xf>
    <x:xf numFmtId="164" fontId="8" fillId="13" borderId="0" xfId="25" applyFont="1" applyBorder="1" applyAlignment="1">
      <x:alignment horizontal="general" vertical="center" wrapText="1"/>
    </x:xf>
    <x:xf numFmtId="164" fontId="11" fillId="13" borderId="0" xfId="25" applyFont="1" applyBorder="1" applyAlignment="1">
      <x:alignment horizontal="general" vertical="center" wrapText="1"/>
    </x:xf>
    <x:xf numFmtId="164" fontId="20" fillId="14" borderId="0" xfId="25" applyFont="1" applyBorder="1" applyAlignment="1">
      <x:alignment horizontal="general" vertical="center" wrapText="1"/>
    </x:xf>
    <x:xf numFmtId="164" fontId="22" fillId="15" borderId="0" xfId="25" applyFont="1" applyBorder="1" applyAlignment="1">
      <x:alignment horizontal="general" vertical="center" wrapText="1"/>
    </x:xf>
    <x:xf numFmtId="164" fontId="24" fillId="0" borderId="0" xfId="25" applyFont="1" applyBorder="1" applyAlignment="1">
      <x:alignment horizontal="general" vertical="center" wrapText="1"/>
    </x:xf>
    <x:xf numFmtId="164" fontId="25" fillId="0" borderId="0" xfId="25" applyFont="1" applyBorder="1" applyAlignment="1">
      <x:alignment horizontal="general" vertical="center" wrapText="1"/>
    </x:xf>
    <x:xf numFmtId="169" fontId="24" fillId="15" borderId="0" xfId="25" applyFont="1" applyBorder="1" applyAlignment="1">
      <x:alignment horizontal="general" vertical="center" wrapText="1"/>
    </x:xf>
    <x:xf numFmtId="164" fontId="24" fillId="15" borderId="0" xfId="25" applyFont="1" applyBorder="1" applyAlignment="1">
      <x:alignment horizontal="general" vertical="center" wrapText="1"/>
    </x:xf>
    <x:xf numFmtId="171" fontId="24" fillId="15" borderId="0" xfId="25" applyFont="1" applyBorder="1" applyAlignment="1">
      <x:alignment horizontal="general" vertical="center" wrapText="1"/>
    </x:xf>
    <x:xf numFmtId="164" fontId="19" fillId="14" borderId="0" xfId="25" applyFont="1" applyBorder="1" applyAlignment="1">
      <x:alignment horizontal="general" vertical="center" wrapText="1"/>
    </x:xf>
    <x:xf numFmtId="173" fontId="24" fillId="7" borderId="0" xfId="25" applyFont="1" applyBorder="1" applyAlignment="1">
      <x:alignment horizontal="general" vertical="center" wrapText="1"/>
    </x:xf>
    <x:xf numFmtId="164" fontId="25" fillId="7" borderId="0" xfId="25" applyFont="1" applyBorder="1" applyAlignment="1">
      <x:alignment horizontal="general" vertical="center" wrapText="1"/>
    </x:xf>
    <x:xf numFmtId="171" fontId="24" fillId="7" borderId="0" xfId="25" applyFont="1" applyBorder="1" applyAlignment="1">
      <x:alignment horizontal="general" vertical="center" wrapText="1"/>
    </x:xf>
    <x:xf numFmtId="173" fontId="24" fillId="16" borderId="0" xfId="25" applyFont="1" applyBorder="1" applyAlignment="1">
      <x:alignment horizontal="general" vertical="center" wrapText="1"/>
    </x:xf>
    <x:xf numFmtId="164" fontId="25" fillId="16" borderId="0" xfId="25" applyFont="1" applyBorder="1" applyAlignment="1">
      <x:alignment horizontal="general" vertical="center" wrapText="1"/>
    </x:xf>
    <x:xf numFmtId="171" fontId="24" fillId="16" borderId="0" xfId="25" applyFont="1" applyBorder="1" applyAlignment="1">
      <x:alignment horizontal="general" vertical="center" wrapText="1"/>
    </x:xf>
    <x:xf numFmtId="164" fontId="24" fillId="16" borderId="0" xfId="25" applyFont="1" applyBorder="1" applyAlignment="1">
      <x:alignment horizontal="general" vertical="center" wrapText="1"/>
    </x:xf>
    <x:xf numFmtId="164" fontId="24" fillId="7" borderId="0" xfId="25" applyFont="1" applyBorder="1" applyAlignment="1">
      <x:alignment horizontal="general" vertical="center" wrapText="1"/>
    </x:xf>
    <x:xf numFmtId="164" fontId="26" fillId="5" borderId="0" xfId="25" applyFont="1" applyBorder="1" applyAlignment="1">
      <x:alignment horizontal="general" vertical="center" wrapText="1"/>
    </x:xf>
    <x:xf numFmtId="171" fontId="27" fillId="5" borderId="0" xfId="25" applyFont="1" applyBorder="1" applyAlignment="1">
      <x:alignment horizontal="general" vertical="center" wrapText="1"/>
    </x:xf>
    <x:xf numFmtId="164" fontId="27" fillId="5" borderId="0" xfId="25" applyFont="1" applyBorder="1" applyAlignment="1">
      <x:alignment horizontal="general" vertical="center" wrapText="1"/>
    </x:xf>
    <x:xf numFmtId="171" fontId="28" fillId="14" borderId="0" xfId="25" applyFont="1" applyBorder="1" applyAlignment="1">
      <x:alignment horizontal="general" vertical="center" wrapText="1"/>
    </x:xf>
    <x:xf numFmtId="164" fontId="22" fillId="5" borderId="0" xfId="25" applyFont="1" applyBorder="1" applyAlignment="1">
      <x:alignment horizontal="general" vertical="center" wrapText="1"/>
    </x:xf>
    <x:xf numFmtId="164" fontId="24" fillId="0" borderId="0" xfId="25" applyFont="1" applyBorder="1" applyAlignment="1">
      <x:alignment horizontal="general" vertical="top" wrapText="1"/>
    </x:xf>
    <x:xf numFmtId="164" fontId="23" fillId="15" borderId="0" xfId="25" applyFont="1" applyBorder="1" applyAlignment="1">
      <x:alignment horizontal="general" vertical="center" wrapText="1"/>
    </x:xf>
    <x:xf numFmtId="164" fontId="19" fillId="14" borderId="0" xfId="25" applyFont="1" applyBorder="1" applyAlignment="1">
      <x:alignment horizontal="general" vertical="top" wrapText="1"/>
    </x:xf>
    <x:xf numFmtId="164" fontId="28" fillId="14" borderId="0" xfId="25" applyFont="1" applyBorder="1" applyAlignment="1">
      <x:alignment horizontal="general" vertical="top" wrapText="1"/>
    </x:xf>
    <x:xf numFmtId="164" fontId="25" fillId="3" borderId="0" xfId="25" applyFont="1" applyBorder="1" applyAlignment="1">
      <x:alignment horizontal="general" vertical="top" wrapText="1"/>
    </x:xf>
    <x:xf numFmtId="164" fontId="24" fillId="3" borderId="0" xfId="25" applyFont="1" applyBorder="1" applyAlignment="1">
      <x:alignment horizontal="general" vertical="top" wrapText="1"/>
    </x:xf>
    <x:xf numFmtId="164" fontId="24" fillId="0" borderId="0" xfId="24" applyFont="1" applyBorder="1" applyAlignment="1">
      <x:alignment horizontal="general" vertical="top" wrapText="1"/>
    </x:xf>
    <x:xf numFmtId="164" fontId="25" fillId="0" borderId="0" xfId="24" applyFont="1" applyBorder="1" applyAlignment="1">
      <x:alignment horizontal="general" vertical="top" wrapText="1"/>
    </x:xf>
    <x:xf numFmtId="174" fontId="24" fillId="0" borderId="0" xfId="25" applyFont="1" applyBorder="1" applyAlignment="1">
      <x:alignment horizontal="general" vertical="top" wrapText="1"/>
    </x:xf>
    <x:xf numFmtId="171" fontId="24" fillId="0" borderId="0" xfId="25" applyFont="1" applyBorder="1" applyAlignment="1">
      <x:alignment horizontal="general" vertical="top" wrapText="1"/>
    </x:xf>
    <x:xf numFmtId="164" fontId="30" fillId="0" borderId="0" xfId="25" applyFont="1" applyBorder="1" applyAlignment="1">
      <x:alignment horizontal="general" vertical="top" wrapText="1"/>
    </x:xf>
    <x:xf numFmtId="164" fontId="25" fillId="0" borderId="0" xfId="25" applyFont="1" applyBorder="1" applyAlignment="1">
      <x:alignment horizontal="general" vertical="top" wrapText="1"/>
    </x:xf>
    <x:xf numFmtId="164" fontId="25" fillId="4" borderId="0" xfId="25" applyFont="1" applyBorder="1" applyAlignment="1">
      <x:alignment horizontal="general" vertical="top" wrapText="1"/>
    </x:xf>
    <x:xf numFmtId="164" fontId="31" fillId="0" borderId="0" xfId="24" applyFont="1" applyBorder="1" applyAlignment="1">
      <x:alignment horizontal="general" vertical="top" wrapText="1"/>
    </x:xf>
    <x:xf numFmtId="164" fontId="19" fillId="14" borderId="0" xfId="24" applyFont="1" applyBorder="1" applyAlignment="1">
      <x:alignment horizontal="general" vertical="top" wrapText="1"/>
    </x:xf>
    <x:xf numFmtId="174" fontId="28" fillId="14" borderId="0" xfId="25" applyFont="1" applyBorder="1" applyAlignment="1">
      <x:alignment horizontal="general" vertical="top" wrapText="1"/>
    </x:xf>
    <x:xf numFmtId="171" fontId="28" fillId="14" borderId="0" xfId="25" applyFont="1" applyBorder="1" applyAlignment="1">
      <x:alignment horizontal="general" vertical="top" wrapText="1"/>
    </x:xf>
    <x:xf numFmtId="164" fontId="32" fillId="14" borderId="0" xfId="25" applyFont="1" applyBorder="1" applyAlignment="1">
      <x:alignment horizontal="general" vertical="top" wrapText="1"/>
    </x:xf>
    <x:xf numFmtId="175" fontId="24" fillId="0" borderId="0" xfId="25" applyFont="1" applyBorder="1" applyAlignment="1">
      <x:alignment horizontal="general" vertical="top" wrapText="1"/>
    </x:xf>
    <x:xf numFmtId="174" fontId="25" fillId="0" borderId="0" xfId="25" applyFont="1" applyBorder="1" applyAlignment="1">
      <x:alignment horizontal="general" vertical="top" wrapText="1"/>
    </x:xf>
    <x:xf numFmtId="164" fontId="33" fillId="6" borderId="0" xfId="24" applyFont="1" applyBorder="1" applyAlignment="1">
      <x:alignment horizontal="general" vertical="bottom" wrapText="0"/>
    </x:xf>
    <x:xf numFmtId="164" fontId="34" fillId="0" borderId="0" xfId="24" applyFont="1" applyBorder="1" applyAlignment="1">
      <x:alignment horizontal="general" vertical="bottom" wrapText="1"/>
    </x:xf>
    <x:xf numFmtId="164" fontId="22" fillId="8" borderId="0" xfId="25" applyFont="1" applyBorder="1" applyAlignment="1">
      <x:alignment horizontal="general" vertical="center" wrapText="1"/>
    </x:xf>
    <x:xf numFmtId="164" fontId="35" fillId="0" borderId="0" xfId="24" applyFont="1" applyBorder="1" applyAlignment="1">
      <x:alignment horizontal="general" vertical="top" wrapText="1"/>
    </x:xf>
    <x:xf numFmtId="164" fontId="36" fillId="0" borderId="0" xfId="24" applyFont="1" applyBorder="1" applyAlignment="1">
      <x:alignment horizontal="general" vertical="bottom" wrapText="1"/>
    </x:xf>
    <x:xf numFmtId="164" fontId="24" fillId="7" borderId="0" xfId="24" applyFont="1" applyBorder="1" applyAlignment="1">
      <x:alignment horizontal="general" vertical="top" wrapText="1"/>
    </x:xf>
    <x:xf numFmtId="164" fontId="4" fillId="0" borderId="0" xfId="24" applyFont="1" applyBorder="1" applyAlignment="1">
      <x:alignment horizontal="general" vertical="bottom" wrapText="1"/>
    </x:xf>
    <x:xf numFmtId="164" fontId="24" fillId="8" borderId="0" xfId="24" applyFont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bottom" wrapText="0"/>
    </x:xf>
    <x:xf numFmtId="164" fontId="6" fillId="0" borderId="2" xfId="0" applyNumberFormat="1" applyFont="1" applyFill="1" applyBorder="1" applyAlignment="1">
      <x:alignment horizontal="general" vertical="center" wrapText="1"/>
    </x:xf>
    <x:xf numFmtId="164" fontId="8" fillId="0" borderId="3" xfId="0" applyNumberFormat="1" applyFont="1" applyFill="1" applyBorder="1" applyAlignment="1">
      <x:alignment horizontal="general" vertical="center" wrapText="1"/>
    </x:xf>
    <x:xf numFmtId="164" fontId="9" fillId="2" borderId="3" xfId="0" applyNumberFormat="1" applyFont="1" applyFill="1" applyBorder="1" applyAlignment="1">
      <x:alignment horizontal="center" vertical="center" wrapText="1"/>
    </x:xf>
    <x:xf numFmtId="164" fontId="9" fillId="3" borderId="3" xfId="0" applyNumberFormat="1" applyFont="1" applyFill="1" applyBorder="1" applyAlignment="1">
      <x:alignment horizontal="center" vertical="center" wrapText="1"/>
    </x:xf>
    <x:xf numFmtId="164" fontId="9" fillId="4" borderId="3" xfId="0" applyNumberFormat="1" applyFont="1" applyFill="1" applyBorder="1" applyAlignment="1">
      <x:alignment horizontal="center" vertical="center" wrapText="1"/>
    </x:xf>
    <x:xf numFmtId="170" fontId="9" fillId="2" borderId="3" xfId="0" applyNumberFormat="1" applyFont="1" applyFill="1" applyBorder="1" applyAlignment="1">
      <x:alignment horizontal="center" vertical="center" wrapText="1"/>
    </x:xf>
    <x:xf numFmtId="170" fontId="9" fillId="3" borderId="3" xfId="0" applyNumberFormat="1" applyFont="1" applyFill="1" applyBorder="1" applyAlignment="1">
      <x:alignment horizontal="center" vertical="center" wrapText="1"/>
    </x:xf>
    <x:xf numFmtId="170" fontId="9" fillId="4" borderId="3" xfId="0" applyNumberFormat="1" applyFont="1" applyFill="1" applyBorder="1" applyAlignment="1">
      <x:alignment horizontal="center" vertical="center" wrapText="1"/>
    </x:xf>
    <x:xf numFmtId="164" fontId="12" fillId="5" borderId="3" xfId="0" applyNumberFormat="1" applyFont="1" applyFill="1" applyBorder="1" applyAlignment="1">
      <x:alignment horizontal="general" vertical="top" wrapText="1"/>
    </x:xf>
    <x:xf numFmtId="164" fontId="8" fillId="6" borderId="3" xfId="0" applyNumberFormat="1" applyFont="1" applyFill="1" applyBorder="1" applyAlignment="1">
      <x:alignment horizontal="general" vertical="top" wrapText="1"/>
    </x:xf>
    <x:xf numFmtId="164" fontId="12" fillId="7" borderId="3" xfId="0" applyNumberFormat="1" applyFont="1" applyFill="1" applyBorder="1" applyAlignment="1">
      <x:alignment horizontal="general" vertical="top" wrapText="1"/>
    </x:xf>
    <x:xf numFmtId="164" fontId="12" fillId="8" borderId="3" xfId="0" applyNumberFormat="1" applyFont="1" applyFill="1" applyBorder="1" applyAlignment="1">
      <x:alignment horizontal="general" vertical="top" wrapText="1"/>
    </x:xf>
    <x:xf numFmtId="164" fontId="12" fillId="6" borderId="3" xfId="0" applyNumberFormat="1" applyFont="1" applyFill="1" applyBorder="1" applyAlignment="1">
      <x:alignment horizontal="general" vertical="top" wrapText="1"/>
    </x:xf>
    <x:xf numFmtId="164" fontId="8" fillId="8" borderId="3" xfId="0" applyNumberFormat="1" applyFont="1" applyFill="1" applyBorder="1" applyAlignment="1">
      <x:alignment horizontal="general" vertical="top" wrapText="1"/>
    </x:xf>
    <x:xf numFmtId="164" fontId="13" fillId="6" borderId="3" xfId="0" applyNumberFormat="1" applyFont="1" applyFill="1" applyBorder="1" applyAlignment="1">
      <x:alignment horizontal="general" vertical="top" wrapText="1"/>
    </x:xf>
    <x:xf numFmtId="164" fontId="12" fillId="2" borderId="3" xfId="0" applyNumberFormat="1" applyFont="1" applyFill="1" applyBorder="1" applyAlignment="1">
      <x:alignment horizontal="general" vertical="top" wrapText="1"/>
    </x:xf>
    <x:xf numFmtId="164" fontId="14" fillId="5" borderId="3" xfId="0" applyNumberFormat="1" applyFont="1" applyFill="1" applyBorder="1" applyAlignment="1">
      <x:alignment horizontal="general" vertical="top" wrapText="1"/>
    </x:xf>
    <x:xf numFmtId="164" fontId="8" fillId="5" borderId="3" xfId="0" applyNumberFormat="1" applyFont="1" applyFill="1" applyBorder="1" applyAlignment="1">
      <x:alignment horizontal="general" vertical="center" wrapText="1"/>
    </x:xf>
    <x:xf numFmtId="164" fontId="14" fillId="5" borderId="3" xfId="0" applyNumberFormat="1" applyFont="1" applyFill="1" applyBorder="1" applyAlignment="1">
      <x:alignment horizontal="general" vertical="center" wrapText="1"/>
    </x:xf>
    <x:xf numFmtId="164" fontId="8" fillId="0" borderId="2" xfId="0" applyNumberFormat="1" applyFont="1" applyFill="1" applyBorder="1" applyAlignment="1">
      <x:alignment horizontal="general" vertical="center" wrapText="1"/>
    </x:xf>
    <x:xf numFmtId="164" fontId="9" fillId="9" borderId="2" xfId="0" applyNumberFormat="1" applyFont="1" applyFill="1" applyBorder="1" applyAlignment="1">
      <x:alignment horizontal="general" vertical="center" wrapText="1"/>
    </x:xf>
    <x:xf numFmtId="171" fontId="8" fillId="0" borderId="2" xfId="0" applyNumberFormat="1" applyFont="1" applyFill="1" applyBorder="1" applyAlignment="1">
      <x:alignment horizontal="general" vertical="center" wrapText="1"/>
    </x:xf>
    <x:xf numFmtId="164" fontId="16" fillId="10" borderId="2" xfId="0" applyNumberFormat="1" applyFont="1" applyFill="1" applyBorder="1" applyAlignment="1">
      <x:alignment horizontal="general" vertical="center" wrapText="1"/>
    </x:xf>
    <x:xf numFmtId="164" fontId="19" fillId="11" borderId="2" xfId="0" applyNumberFormat="1" applyFont="1" applyFill="1" applyBorder="1" applyAlignment="1">
      <x:alignment horizontal="center" vertical="center" wrapText="1"/>
    </x:xf>
    <x:xf numFmtId="170" fontId="8" fillId="12" borderId="2" xfId="0" applyNumberFormat="1" applyFont="1" applyFill="1" applyBorder="1" applyAlignment="1">
      <x:alignment horizontal="general" vertical="center" wrapText="1"/>
    </x:xf>
    <x:xf numFmtId="172" fontId="8" fillId="12" borderId="2" xfId="0" applyNumberFormat="1" applyFont="1" applyFill="1" applyBorder="1" applyAlignment="1">
      <x:alignment horizontal="general" vertical="center" wrapText="1"/>
    </x:xf>
    <x:xf numFmtId="164" fontId="8" fillId="12" borderId="2" xfId="0" applyNumberFormat="1" applyFont="1" applyFill="1" applyBorder="1" applyAlignment="1">
      <x:alignment horizontal="general" vertical="center" wrapText="1"/>
    </x:xf>
    <x:xf numFmtId="170" fontId="8" fillId="6" borderId="2" xfId="0" applyNumberFormat="1" applyFont="1" applyFill="1" applyBorder="1" applyAlignment="1">
      <x:alignment horizontal="general" vertical="center" wrapText="1"/>
    </x:xf>
    <x:xf numFmtId="172" fontId="8" fillId="6" borderId="2" xfId="0" applyNumberFormat="1" applyFont="1" applyFill="1" applyBorder="1" applyAlignment="1">
      <x:alignment horizontal="general" vertical="center" wrapText="1"/>
    </x:xf>
    <x:xf numFmtId="164" fontId="8" fillId="6" borderId="2" xfId="0" applyNumberFormat="1" applyFont="1" applyFill="1" applyBorder="1" applyAlignment="1">
      <x:alignment horizontal="general" vertical="center" wrapText="1"/>
    </x:xf>
    <x:xf numFmtId="170" fontId="8" fillId="2" borderId="2" xfId="0" applyNumberFormat="1" applyFont="1" applyFill="1" applyBorder="1" applyAlignment="1">
      <x:alignment horizontal="general" vertical="center" wrapText="1"/>
    </x:xf>
    <x:xf numFmtId="172" fontId="8" fillId="2" borderId="2" xfId="0" applyNumberFormat="1" applyFont="1" applyFill="1" applyBorder="1" applyAlignment="1">
      <x:alignment horizontal="general" vertical="center" wrapText="1"/>
    </x:xf>
    <x:xf numFmtId="164" fontId="8" fillId="2" borderId="2" xfId="0" applyNumberFormat="1" applyFont="1" applyFill="1" applyBorder="1" applyAlignment="1">
      <x:alignment horizontal="general" vertical="center" wrapText="1"/>
    </x:xf>
    <x:xf numFmtId="170" fontId="8" fillId="8" borderId="2" xfId="0" applyNumberFormat="1" applyFont="1" applyFill="1" applyBorder="1" applyAlignment="1">
      <x:alignment horizontal="general" vertical="center" wrapText="1"/>
    </x:xf>
    <x:xf numFmtId="172" fontId="8" fillId="8" borderId="2" xfId="0" applyNumberFormat="1" applyFont="1" applyFill="1" applyBorder="1" applyAlignment="1">
      <x:alignment horizontal="general" vertical="center" wrapText="1"/>
    </x:xf>
    <x:xf numFmtId="164" fontId="8" fillId="8" borderId="2" xfId="0" applyNumberFormat="1" applyFont="1" applyFill="1" applyBorder="1" applyAlignment="1">
      <x:alignment horizontal="general" vertical="center" wrapText="1"/>
    </x:xf>
    <x:xf numFmtId="170" fontId="8" fillId="5" borderId="2" xfId="0" applyNumberFormat="1" applyFont="1" applyFill="1" applyBorder="1" applyAlignment="1">
      <x:alignment horizontal="general" vertical="center" wrapText="1"/>
    </x:xf>
    <x:xf numFmtId="172" fontId="8" fillId="5" borderId="2" xfId="0" applyNumberFormat="1" applyFont="1" applyFill="1" applyBorder="1" applyAlignment="1">
      <x:alignment horizontal="general" vertical="center" wrapText="1"/>
    </x:xf>
    <x:xf numFmtId="164" fontId="8" fillId="5" borderId="2" xfId="0" applyNumberFormat="1" applyFont="1" applyFill="1" applyBorder="1" applyAlignment="1">
      <x:alignment horizontal="general" vertical="center" wrapText="1"/>
    </x:xf>
    <x:xf numFmtId="164" fontId="8" fillId="13" borderId="2" xfId="0" applyNumberFormat="1" applyFont="1" applyFill="1" applyBorder="1" applyAlignment="1">
      <x:alignment horizontal="general" vertical="center" wrapText="1"/>
    </x:xf>
    <x:xf numFmtId="164" fontId="20" fillId="14" borderId="2" xfId="0" applyNumberFormat="1" applyFont="1" applyFill="1" applyBorder="1" applyAlignment="1">
      <x:alignment horizontal="general" vertical="center" wrapText="1"/>
    </x:xf>
    <x:xf numFmtId="164" fontId="22" fillId="15" borderId="2" xfId="0" applyNumberFormat="1" applyFont="1" applyFill="1" applyBorder="1" applyAlignment="1">
      <x:alignment horizontal="general" vertical="center" wrapText="1"/>
    </x:xf>
    <x:xf numFmtId="164" fontId="24" fillId="0" borderId="2" xfId="0" applyNumberFormat="1" applyFont="1" applyFill="1" applyBorder="1" applyAlignment="1">
      <x:alignment horizontal="general" vertical="center" wrapText="1"/>
    </x:xf>
    <x:xf numFmtId="169" fontId="24" fillId="15" borderId="2" xfId="0" applyNumberFormat="1" applyFont="1" applyFill="1" applyBorder="1" applyAlignment="1">
      <x:alignment horizontal="general" vertical="center" wrapText="1"/>
    </x:xf>
    <x:xf numFmtId="164" fontId="24" fillId="15" borderId="2" xfId="0" applyNumberFormat="1" applyFont="1" applyFill="1" applyBorder="1" applyAlignment="1">
      <x:alignment horizontal="general" vertical="center" wrapText="1"/>
    </x:xf>
    <x:xf numFmtId="171" fontId="24" fillId="15" borderId="2" xfId="0" applyNumberFormat="1" applyFont="1" applyFill="1" applyBorder="1" applyAlignment="1">
      <x:alignment horizontal="general" vertical="center" wrapText="1"/>
    </x:xf>
    <x:xf numFmtId="164" fontId="19" fillId="14" borderId="2" xfId="0" applyNumberFormat="1" applyFont="1" applyFill="1" applyBorder="1" applyAlignment="1">
      <x:alignment horizontal="general" vertical="center" wrapText="1"/>
    </x:xf>
    <x:xf numFmtId="173" fontId="24" fillId="7" borderId="2" xfId="0" applyNumberFormat="1" applyFont="1" applyFill="1" applyBorder="1" applyAlignment="1">
      <x:alignment horizontal="general" vertical="center" wrapText="1"/>
    </x:xf>
    <x:xf numFmtId="164" fontId="24" fillId="7" borderId="2" xfId="0" applyNumberFormat="1" applyFont="1" applyFill="1" applyBorder="1" applyAlignment="1">
      <x:alignment horizontal="general" vertical="center" wrapText="1"/>
    </x:xf>
    <x:xf numFmtId="171" fontId="24" fillId="7" borderId="2" xfId="0" applyNumberFormat="1" applyFont="1" applyFill="1" applyBorder="1" applyAlignment="1">
      <x:alignment horizontal="general" vertical="center" wrapText="1"/>
    </x:xf>
    <x:xf numFmtId="173" fontId="24" fillId="16" borderId="2" xfId="0" applyNumberFormat="1" applyFont="1" applyFill="1" applyBorder="1" applyAlignment="1">
      <x:alignment horizontal="general" vertical="center" wrapText="1"/>
    </x:xf>
    <x:xf numFmtId="164" fontId="24" fillId="16" borderId="2" xfId="0" applyNumberFormat="1" applyFont="1" applyFill="1" applyBorder="1" applyAlignment="1">
      <x:alignment horizontal="general" vertical="center" wrapText="1"/>
    </x:xf>
    <x:xf numFmtId="171" fontId="24" fillId="16" borderId="2" xfId="0" applyNumberFormat="1" applyFont="1" applyFill="1" applyBorder="1" applyAlignment="1">
      <x:alignment horizontal="general" vertical="center" wrapText="1"/>
    </x:xf>
    <x:xf numFmtId="164" fontId="26" fillId="5" borderId="2" xfId="0" applyNumberFormat="1" applyFont="1" applyFill="1" applyBorder="1" applyAlignment="1">
      <x:alignment horizontal="general" vertical="center" wrapText="1"/>
    </x:xf>
    <x:xf numFmtId="171" fontId="26" fillId="5" borderId="2" xfId="0" applyNumberFormat="1" applyFont="1" applyFill="1" applyBorder="1" applyAlignment="1">
      <x:alignment horizontal="general" vertical="center" wrapText="1"/>
    </x:xf>
    <x:xf numFmtId="171" fontId="19" fillId="14" borderId="2" xfId="0" applyNumberFormat="1" applyFont="1" applyFill="1" applyBorder="1" applyAlignment="1">
      <x:alignment horizontal="general" vertical="center" wrapText="1"/>
    </x:xf>
    <x:xf numFmtId="164" fontId="22" fillId="5" borderId="2" xfId="0" applyNumberFormat="1" applyFont="1" applyFill="1" applyBorder="1" applyAlignment="1">
      <x:alignment horizontal="general" vertical="center" wrapText="1"/>
    </x:xf>
    <x:xf numFmtId="164" fontId="24" fillId="0" borderId="2" xfId="0" applyNumberFormat="1" applyFont="1" applyFill="1" applyBorder="1" applyAlignment="1">
      <x:alignment horizontal="general" vertical="top" wrapText="1"/>
    </x:xf>
    <x:xf numFmtId="164" fontId="19" fillId="14" borderId="2" xfId="0" applyNumberFormat="1" applyFont="1" applyFill="1" applyBorder="1" applyAlignment="1">
      <x:alignment horizontal="general" vertical="top" wrapText="1"/>
    </x:xf>
    <x:xf numFmtId="164" fontId="24" fillId="3" borderId="2" xfId="0" applyNumberFormat="1" applyFont="1" applyFill="1" applyBorder="1" applyAlignment="1">
      <x:alignment horizontal="general" vertical="top" wrapText="1"/>
    </x:xf>
    <x:xf numFmtId="174" fontId="24" fillId="0" borderId="2" xfId="0" applyNumberFormat="1" applyFont="1" applyFill="1" applyBorder="1" applyAlignment="1">
      <x:alignment horizontal="general" vertical="top" wrapText="1"/>
    </x:xf>
    <x:xf numFmtId="171" fontId="24" fillId="0" borderId="2" xfId="0" applyNumberFormat="1" applyFont="1" applyFill="1" applyBorder="1" applyAlignment="1">
      <x:alignment horizontal="general" vertical="top" wrapText="1"/>
    </x:xf>
    <x:xf numFmtId="164" fontId="30" fillId="0" borderId="2" xfId="0" applyNumberFormat="1" applyFont="1" applyFill="1" applyBorder="1" applyAlignment="1">
      <x:alignment horizontal="general" vertical="top" wrapText="1"/>
    </x:xf>
    <x:xf numFmtId="164" fontId="24" fillId="4" borderId="2" xfId="0" applyNumberFormat="1" applyFont="1" applyFill="1" applyBorder="1" applyAlignment="1">
      <x:alignment horizontal="general" vertical="top" wrapText="1"/>
    </x:xf>
    <x:xf numFmtId="164" fontId="31" fillId="0" borderId="2" xfId="0" applyNumberFormat="1" applyFont="1" applyFill="1" applyBorder="1" applyAlignment="1">
      <x:alignment horizontal="general" vertical="top" wrapText="1"/>
    </x:xf>
    <x:xf numFmtId="174" fontId="19" fillId="14" borderId="2" xfId="0" applyNumberFormat="1" applyFont="1" applyFill="1" applyBorder="1" applyAlignment="1">
      <x:alignment horizontal="general" vertical="top" wrapText="1"/>
    </x:xf>
    <x:xf numFmtId="171" fontId="19" fillId="14" borderId="2" xfId="0" applyNumberFormat="1" applyFont="1" applyFill="1" applyBorder="1" applyAlignment="1">
      <x:alignment horizontal="general" vertical="top" wrapText="1"/>
    </x:xf>
    <x:xf numFmtId="164" fontId="32" fillId="14" borderId="2" xfId="0" applyNumberFormat="1" applyFont="1" applyFill="1" applyBorder="1" applyAlignment="1">
      <x:alignment horizontal="general" vertical="top" wrapText="1"/>
    </x:xf>
    <x:xf numFmtId="175" fontId="24" fillId="0" borderId="2" xfId="0" applyNumberFormat="1" applyFont="1" applyFill="1" applyBorder="1" applyAlignment="1">
      <x:alignment horizontal="general" vertical="top" wrapText="1"/>
    </x:xf>
    <x:xf numFmtId="164" fontId="33" fillId="6" borderId="2" xfId="0" applyNumberFormat="1" applyFont="1" applyFill="1" applyBorder="1" applyAlignment="1">
      <x:alignment horizontal="general" vertical="bottom" wrapText="0"/>
    </x:xf>
    <x:xf numFmtId="164" fontId="34" fillId="0" borderId="2" xfId="0" applyNumberFormat="1" applyFont="1" applyFill="1" applyBorder="1" applyAlignment="1">
      <x:alignment horizontal="general" vertical="bottom" wrapText="1"/>
    </x:xf>
    <x:xf numFmtId="164" fontId="22" fillId="8" borderId="2" xfId="0" applyNumberFormat="1" applyFont="1" applyFill="1" applyBorder="1" applyAlignment="1">
      <x:alignment horizontal="general" vertical="center" wrapText="1"/>
    </x:xf>
    <x:xf numFmtId="164" fontId="35" fillId="0" borderId="2" xfId="0" applyNumberFormat="1" applyFont="1" applyFill="1" applyBorder="1" applyAlignment="1">
      <x:alignment horizontal="general" vertical="top" wrapText="1"/>
    </x:xf>
    <x:xf numFmtId="164" fontId="36" fillId="0" borderId="2" xfId="0" applyNumberFormat="1" applyFont="1" applyFill="1" applyBorder="1" applyAlignment="1">
      <x:alignment horizontal="general" vertical="bottom" wrapText="1"/>
    </x:xf>
    <x:xf numFmtId="164" fontId="24" fillId="7" borderId="2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bottom" wrapText="1"/>
    </x:xf>
    <x:xf numFmtId="164" fontId="24" fillId="8" borderId="2" xfId="0" applyNumberFormat="1" applyFont="1" applyFill="1" applyBorder="1" applyAlignment="1">
      <x:alignment horizontal="general" vertical="top" wrapText="1"/>
    </x:xf>
    <x:xf numFmtId="164" fontId="20" fillId="17" borderId="0" xfId="0" applyNumberFormat="1" applyFont="1" applyFill="1" applyBorder="1" applyAlignment="1">
      <x:alignment horizontal="general" vertical="center" wrapText="1"/>
    </x:xf>
    <x:xf numFmtId="164" fontId="0" fillId="17" borderId="0" xfId="0" applyNumberFormat="1" applyFont="1" applyFill="1" applyBorder="1" applyAlignment="1">
      <x:alignment horizontal="general" vertical="bottom" wrapText="0"/>
    </x:xf>
    <x:xf numFmtId="164" fontId="37" fillId="17" borderId="0" xfId="0" applyNumberFormat="1" applyFont="1" applyFill="1" applyBorder="1" applyAlignment="1">
      <x:alignment horizontal="general" vertical="center" wrapText="1"/>
    </x:xf>
    <x:xf numFmtId="164" fontId="38" fillId="17" borderId="0" xfId="0" applyNumberFormat="1" applyFont="1" applyFill="1" applyBorder="1" applyAlignment="1">
      <x:alignment horizontal="general" vertical="bottom" wrapText="0"/>
    </x:xf>
    <x:xf numFmtId="164" fontId="38" fillId="17" borderId="0" xfId="0" applyNumberFormat="1" applyFont="1" applyFill="1" applyBorder="1" applyAlignment="1">
      <x:alignment horizontal="general" vertical="bottom" wrapText="1"/>
    </x:xf>
    <x:xf numFmtId="164" fontId="37" fillId="17" borderId="0" xfId="0" applyNumberFormat="1" applyFont="1" applyFill="1" applyBorder="1" applyAlignment="1">
      <x:alignment horizontal="left" vertical="center" wrapText="1"/>
    </x:xf>
    <x:xf numFmtId="164" fontId="38" fillId="17" borderId="0" xfId="0" applyNumberFormat="1" applyFont="1" applyFill="1" applyBorder="1" applyAlignment="1">
      <x:alignment horizontal="left" vertical="bottom" wrapText="1"/>
    </x:xf>
    <x:xf numFmtId="164" fontId="38" fillId="17" borderId="0" xfId="0" applyNumberFormat="1" applyFont="1" applyFill="1" applyBorder="1" applyAlignment="1">
      <x:alignment horizontal="left" vertical="center" wrapText="1"/>
    </x:xf>
    <x:xf numFmtId="164" fontId="20" fillId="17" borderId="2" xfId="0" applyNumberFormat="1" applyFont="1" applyFill="1" applyBorder="1" applyAlignment="1">
      <x:alignment horizontal="general" vertical="center" wrapText="1"/>
    </x:xf>
    <x:xf numFmtId="164" fontId="0" fillId="17" borderId="2" xfId="0" applyNumberFormat="1" applyFont="1" applyFill="1" applyBorder="1" applyAlignment="1">
      <x:alignment horizontal="general" vertical="bottom" wrapText="0"/>
    </x:xf>
    <x:xf numFmtId="164" fontId="37" fillId="17" borderId="2" xfId="0" applyNumberFormat="1" applyFont="1" applyFill="1" applyBorder="1" applyAlignment="1">
      <x:alignment horizontal="general" vertical="center" wrapText="1"/>
    </x:xf>
    <x:xf numFmtId="164" fontId="38" fillId="17" borderId="2" xfId="0" applyNumberFormat="1" applyFont="1" applyFill="1" applyBorder="1" applyAlignment="1">
      <x:alignment horizontal="general" vertical="bottom" wrapText="0"/>
    </x:xf>
    <x:xf numFmtId="164" fontId="38" fillId="17" borderId="2" xfId="0" applyNumberFormat="1" applyFont="1" applyFill="1" applyBorder="1" applyAlignment="1">
      <x:alignment horizontal="general" vertical="bottom" wrapText="1"/>
    </x:xf>
    <x:xf numFmtId="164" fontId="37" fillId="17" borderId="2" xfId="0" applyNumberFormat="1" applyFont="1" applyFill="1" applyBorder="1" applyAlignment="1">
      <x:alignment horizontal="left" vertical="center" wrapText="1"/>
    </x:xf>
    <x:xf numFmtId="164" fontId="38" fillId="17" borderId="2" xfId="0" applyNumberFormat="1" applyFont="1" applyFill="1" applyBorder="1" applyAlignment="1">
      <x:alignment horizontal="left" vertical="bottom" wrapText="1"/>
    </x:xf>
    <x:xf numFmtId="164" fontId="38" fillId="17" borderId="2" xfId="0" applyNumberFormat="1" applyFont="1" applyFill="1" applyBorder="1" applyAlignment="1">
      <x:alignment horizontal="left" vertical="center" wrapText="1"/>
    </x:xf>
    <x:xf numFmtId="164" fontId="22" fillId="18" borderId="0" xfId="0" applyNumberFormat="1" applyFont="1" applyFill="1" applyBorder="1" applyAlignment="1">
      <x:alignment horizontal="general" vertical="center" wrapText="1"/>
    </x:xf>
    <x:xf numFmtId="164" fontId="0" fillId="18" borderId="0" xfId="0" applyNumberFormat="1" applyFont="1" applyFill="1" applyBorder="1" applyAlignment="1">
      <x:alignment horizontal="general" vertical="bottom" wrapText="0"/>
    </x:xf>
    <x:xf numFmtId="164" fontId="39" fillId="18" borderId="0" xfId="0" applyNumberFormat="1" applyFont="1" applyFill="1" applyBorder="1" applyAlignment="1">
      <x:alignment horizontal="general" vertical="center" wrapText="1"/>
    </x:xf>
    <x:xf numFmtId="164" fontId="40" fillId="18" borderId="0" xfId="0" applyNumberFormat="1" applyFont="1" applyFill="1" applyBorder="1" applyAlignment="1">
      <x:alignment horizontal="general" vertical="bottom" wrapText="0"/>
    </x:xf>
    <x:xf numFmtId="164" fontId="40" fillId="18" borderId="0" xfId="0" applyNumberFormat="1" applyFont="1" applyFill="1" applyBorder="1" applyAlignment="1">
      <x:alignment horizontal="general" vertical="bottom" wrapText="1"/>
    </x:xf>
    <x:xf numFmtId="164" fontId="40" fillId="18" borderId="0" xfId="0" applyNumberFormat="1" applyFont="1" applyFill="1" applyBorder="1" applyAlignment="1">
      <x:alignment horizontal="general" vertical="center" wrapText="1"/>
    </x:xf>
    <x:xf numFmtId="164" fontId="22" fillId="18" borderId="2" xfId="0" applyNumberFormat="1" applyFont="1" applyFill="1" applyBorder="1" applyAlignment="1">
      <x:alignment horizontal="general" vertical="center" wrapText="1"/>
    </x:xf>
    <x:xf numFmtId="164" fontId="0" fillId="18" borderId="2" xfId="0" applyNumberFormat="1" applyFont="1" applyFill="1" applyBorder="1" applyAlignment="1">
      <x:alignment horizontal="general" vertical="bottom" wrapText="0"/>
    </x:xf>
    <x:xf numFmtId="164" fontId="39" fillId="18" borderId="2" xfId="0" applyNumberFormat="1" applyFont="1" applyFill="1" applyBorder="1" applyAlignment="1">
      <x:alignment horizontal="general" vertical="center" wrapText="1"/>
    </x:xf>
    <x:xf numFmtId="164" fontId="40" fillId="18" borderId="2" xfId="0" applyNumberFormat="1" applyFont="1" applyFill="1" applyBorder="1" applyAlignment="1">
      <x:alignment horizontal="general" vertical="bottom" wrapText="0"/>
    </x:xf>
    <x:xf numFmtId="164" fontId="40" fillId="18" borderId="2" xfId="0" applyNumberFormat="1" applyFont="1" applyFill="1" applyBorder="1" applyAlignment="1">
      <x:alignment horizontal="general" vertical="bottom" wrapText="1"/>
    </x:xf>
    <x:xf numFmtId="164" fontId="40" fillId="18" borderId="2" xfId="0" applyNumberFormat="1" applyFont="1" applyFill="1" applyBorder="1" applyAlignment="1">
      <x:alignment horizontal="general" vertical="center" wrapText="1"/>
    </x:xf>
    <x:xf numFmtId="164" fontId="24" fillId="0" borderId="0" xfId="0" applyNumberFormat="1" applyFont="1" applyFill="1" applyBorder="1" applyAlignment="1">
      <x:alignment horizontal="general" vertical="center" wrapText="1"/>
    </x:xf>
    <x:xf numFmtId="169" fontId="24" fillId="15" borderId="0" xfId="0" applyNumberFormat="1" applyFont="1" applyFill="1" applyBorder="1" applyAlignment="1">
      <x:alignment horizontal="general" vertical="center" wrapText="1"/>
    </x:xf>
    <x:xf numFmtId="164" fontId="24" fillId="15" borderId="0" xfId="0" applyNumberFormat="1" applyFont="1" applyFill="1" applyBorder="1" applyAlignment="1">
      <x:alignment horizontal="general" vertical="center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71" fontId="24" fillId="15" borderId="0" xfId="0" applyNumberFormat="1" applyFont="1" applyFill="1" applyBorder="1" applyAlignment="1">
      <x:alignment horizontal="general" vertical="center" wrapText="1"/>
    </x:xf>
    <x:xf numFmtId="164" fontId="0" fillId="0" borderId="0" xfId="0" applyNumberFormat="1" applyFont="1" applyFill="1" applyBorder="1" applyAlignment="1">
      <x:alignment horizontal="general" vertical="center" wrapText="1"/>
    </x:xf>
    <x:xf numFmtId="164" fontId="0" fillId="0" borderId="2" xfId="0" applyNumberFormat="1" applyFont="1" applyFill="1" applyBorder="1" applyAlignment="1">
      <x:alignment horizontal="general" vertical="center" wrapText="1"/>
    </x:xf>
    <x:xf numFmtId="164" fontId="24" fillId="19" borderId="0" xfId="0" applyNumberFormat="1" applyFont="1" applyFill="1" applyBorder="1" applyAlignment="1">
      <x:alignment horizontal="general" vertical="center" wrapText="1"/>
    </x:xf>
    <x:xf numFmtId="169" fontId="24" fillId="19" borderId="0" xfId="0" applyNumberFormat="1" applyFont="1" applyFill="1" applyBorder="1" applyAlignment="1">
      <x:alignment horizontal="general" vertical="center" wrapText="1"/>
    </x:xf>
    <x:xf numFmtId="164" fontId="0" fillId="19" borderId="0" xfId="0" applyNumberFormat="1" applyFont="1" applyFill="1" applyBorder="1" applyAlignment="1">
      <x:alignment horizontal="general" vertical="center" wrapText="1"/>
    </x:xf>
    <x:xf numFmtId="164" fontId="26" fillId="19" borderId="0" xfId="0" applyNumberFormat="1" applyFont="1" applyFill="1" applyBorder="1" applyAlignment="1">
      <x:alignment horizontal="general" vertical="center" wrapText="1"/>
    </x:xf>
    <x:xf numFmtId="169" fontId="26" fillId="19" borderId="0" xfId="0" applyNumberFormat="1" applyFont="1" applyFill="1" applyBorder="1" applyAlignment="1">
      <x:alignment horizontal="general" vertical="center" wrapText="1"/>
    </x:xf>
    <x:xf numFmtId="164" fontId="41" fillId="19" borderId="0" xfId="0" applyNumberFormat="1" applyFont="1" applyFill="1" applyBorder="1" applyAlignment="1">
      <x:alignment horizontal="general" vertical="center" wrapText="1"/>
    </x:xf>
    <x:xf numFmtId="164" fontId="24" fillId="19" borderId="2" xfId="0" applyNumberFormat="1" applyFont="1" applyFill="1" applyBorder="1" applyAlignment="1">
      <x:alignment horizontal="general" vertical="center" wrapText="1"/>
    </x:xf>
    <x:xf numFmtId="169" fontId="24" fillId="19" borderId="2" xfId="0" applyNumberFormat="1" applyFont="1" applyFill="1" applyBorder="1" applyAlignment="1">
      <x:alignment horizontal="general" vertical="center" wrapText="1"/>
    </x:xf>
    <x:xf numFmtId="164" fontId="0" fillId="19" borderId="2" xfId="0" applyNumberFormat="1" applyFont="1" applyFill="1" applyBorder="1" applyAlignment="1">
      <x:alignment horizontal="general" vertical="center" wrapText="1"/>
    </x:xf>
    <x:xf numFmtId="164" fontId="26" fillId="19" borderId="2" xfId="0" applyNumberFormat="1" applyFont="1" applyFill="1" applyBorder="1" applyAlignment="1">
      <x:alignment horizontal="general" vertical="center" wrapText="1"/>
    </x:xf>
    <x:xf numFmtId="169" fontId="26" fillId="19" borderId="2" xfId="0" applyNumberFormat="1" applyFont="1" applyFill="1" applyBorder="1" applyAlignment="1">
      <x:alignment horizontal="general" vertical="center" wrapText="1"/>
    </x:xf>
    <x:xf numFmtId="164" fontId="41" fillId="19" borderId="2" xfId="0" applyNumberFormat="1" applyFont="1" applyFill="1" applyBorder="1" applyAlignment="1">
      <x:alignment horizontal="general" vertical="center" wrapText="1"/>
    </x:xf>
    <x:xf numFmtId="171" fontId="24" fillId="20" borderId="0" xfId="0" applyNumberFormat="1" applyFont="1" applyFill="1" applyBorder="1" applyAlignment="1">
      <x:alignment horizontal="general" vertical="center" wrapText="1"/>
    </x:xf>
    <x:xf numFmtId="171" fontId="26" fillId="20" borderId="0" xfId="0" applyNumberFormat="1" applyFont="1" applyFill="1" applyBorder="1" applyAlignment="1">
      <x:alignment horizontal="general" vertical="center" wrapText="1"/>
    </x:xf>
    <x:xf numFmtId="200" fontId="26" fillId="20" borderId="0" xfId="0" applyNumberFormat="1" applyFont="1" applyFill="1" applyBorder="1" applyAlignment="1">
      <x:alignment horizontal="general" vertical="center" wrapText="1"/>
    </x:xf>
    <x:xf numFmtId="171" fontId="24" fillId="20" borderId="2" xfId="0" applyNumberFormat="1" applyFont="1" applyFill="1" applyBorder="1" applyAlignment="1">
      <x:alignment horizontal="general" vertical="center" wrapText="1"/>
    </x:xf>
    <x:xf numFmtId="171" fontId="26" fillId="20" borderId="2" xfId="0" applyNumberFormat="1" applyFont="1" applyFill="1" applyBorder="1" applyAlignment="1">
      <x:alignment horizontal="general" vertical="center" wrapText="1"/>
    </x:xf>
    <x:xf numFmtId="200" fontId="26" fillId="20" borderId="2" xfId="0" applyNumberFormat="1" applyFont="1" applyFill="1" applyBorder="1" applyAlignment="1">
      <x:alignment horizontal="general" vertical="center" wrapText="1"/>
    </x:xf>
    <x:xf numFmtId="164" fontId="26" fillId="20" borderId="0" xfId="0" applyNumberFormat="1" applyFont="1" applyFill="1" applyBorder="1" applyAlignment="1">
      <x:alignment horizontal="general" vertical="center" wrapText="1"/>
    </x:xf>
    <x:xf numFmtId="164" fontId="26" fillId="20" borderId="2" xfId="0" applyNumberFormat="1" applyFont="1" applyFill="1" applyBorder="1" applyAlignment="1">
      <x:alignment horizontal="general" vertical="center" wrapText="1"/>
    </x:xf>
    <x:xf numFmtId="164" fontId="24" fillId="21" borderId="0" xfId="0" applyNumberFormat="1" applyFont="1" applyFill="1" applyBorder="1" applyAlignment="1">
      <x:alignment horizontal="general" vertical="center" wrapText="1"/>
    </x:xf>
    <x:xf numFmtId="164" fontId="0" fillId="21" borderId="0" xfId="0" applyNumberFormat="1" applyFont="1" applyFill="1" applyBorder="1" applyAlignment="1">
      <x:alignment horizontal="general" vertical="bottom" wrapText="0"/>
    </x:xf>
    <x:xf numFmtId="164" fontId="19" fillId="21" borderId="0" xfId="0" applyNumberFormat="1" applyFont="1" applyFill="1" applyBorder="1" applyAlignment="1">
      <x:alignment horizontal="general" vertical="center" wrapText="1"/>
    </x:xf>
    <x:xf numFmtId="164" fontId="42" fillId="21" borderId="0" xfId="0" applyNumberFormat="1" applyFont="1" applyFill="1" applyBorder="1" applyAlignment="1">
      <x:alignment horizontal="general" vertical="bottom" wrapText="0"/>
    </x:xf>
    <x:xf numFmtId="164" fontId="42" fillId="21" borderId="0" xfId="0" applyNumberFormat="1" applyFont="1" applyFill="1" applyBorder="1" applyAlignment="1">
      <x:alignment horizontal="general" vertical="bottom" wrapText="1"/>
    </x:xf>
    <x:xf numFmtId="164" fontId="19" fillId="21" borderId="0" xfId="0" applyNumberFormat="1" applyFont="1" applyFill="1" applyBorder="1" applyAlignment="1">
      <x:alignment horizontal="center" vertical="center" wrapText="1"/>
    </x:xf>
    <x:xf numFmtId="164" fontId="42" fillId="21" borderId="0" xfId="0" applyNumberFormat="1" applyFont="1" applyFill="1" applyBorder="1" applyAlignment="1">
      <x:alignment horizontal="center" vertical="bottom" wrapText="1"/>
    </x:xf>
    <x:xf numFmtId="164" fontId="42" fillId="21" borderId="0" xfId="0" applyNumberFormat="1" applyFont="1" applyFill="1" applyBorder="1" applyAlignment="1">
      <x:alignment horizontal="center" vertical="center" wrapText="1"/>
    </x:xf>
    <x:xf numFmtId="164" fontId="24" fillId="21" borderId="2" xfId="0" applyNumberFormat="1" applyFont="1" applyFill="1" applyBorder="1" applyAlignment="1">
      <x:alignment horizontal="general" vertical="center" wrapText="1"/>
    </x:xf>
    <x:xf numFmtId="164" fontId="0" fillId="21" borderId="2" xfId="0" applyNumberFormat="1" applyFont="1" applyFill="1" applyBorder="1" applyAlignment="1">
      <x:alignment horizontal="general" vertical="bottom" wrapText="0"/>
    </x:xf>
    <x:xf numFmtId="164" fontId="19" fillId="21" borderId="2" xfId="0" applyNumberFormat="1" applyFont="1" applyFill="1" applyBorder="1" applyAlignment="1">
      <x:alignment horizontal="general" vertical="center" wrapText="1"/>
    </x:xf>
    <x:xf numFmtId="164" fontId="42" fillId="21" borderId="2" xfId="0" applyNumberFormat="1" applyFont="1" applyFill="1" applyBorder="1" applyAlignment="1">
      <x:alignment horizontal="general" vertical="bottom" wrapText="0"/>
    </x:xf>
    <x:xf numFmtId="164" fontId="42" fillId="21" borderId="2" xfId="0" applyNumberFormat="1" applyFont="1" applyFill="1" applyBorder="1" applyAlignment="1">
      <x:alignment horizontal="general" vertical="bottom" wrapText="1"/>
    </x:xf>
    <x:xf numFmtId="164" fontId="19" fillId="21" borderId="2" xfId="0" applyNumberFormat="1" applyFont="1" applyFill="1" applyBorder="1" applyAlignment="1">
      <x:alignment horizontal="center" vertical="center" wrapText="1"/>
    </x:xf>
    <x:xf numFmtId="164" fontId="42" fillId="21" borderId="2" xfId="0" applyNumberFormat="1" applyFont="1" applyFill="1" applyBorder="1" applyAlignment="1">
      <x:alignment horizontal="center" vertical="bottom" wrapText="1"/>
    </x:xf>
    <x:xf numFmtId="164" fontId="42" fillId="21" borderId="2" xfId="0" applyNumberFormat="1" applyFont="1" applyFill="1" applyBorder="1" applyAlignment="1">
      <x:alignment horizontal="center" vertical="center" wrapText="1"/>
    </x:xf>
    <x:xf numFmtId="164" fontId="19" fillId="14" borderId="0" xfId="0" applyNumberFormat="1" applyFont="1" applyFill="1" applyBorder="1" applyAlignment="1">
      <x:alignment horizontal="general" vertical="center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73" fontId="24" fillId="7" borderId="0" xfId="0" applyNumberFormat="1" applyFont="1" applyFill="1" applyBorder="1" applyAlignment="1">
      <x:alignment horizontal="general" vertical="center" wrapText="1"/>
    </x:xf>
    <x:xf numFmtId="164" fontId="24" fillId="7" borderId="0" xfId="0" applyNumberFormat="1" applyFont="1" applyFill="1" applyBorder="1" applyAlignment="1">
      <x:alignment horizontal="general" vertical="center" wrapText="1"/>
    </x:xf>
    <x:xf numFmtId="171" fontId="24" fillId="7" borderId="0" xfId="0" applyNumberFormat="1" applyFont="1" applyFill="1" applyBorder="1" applyAlignment="1">
      <x:alignment horizontal="general" vertical="center" wrapText="1"/>
    </x:xf>
    <x:xf numFmtId="173" fontId="24" fillId="16" borderId="0" xfId="0" applyNumberFormat="1" applyFont="1" applyFill="1" applyBorder="1" applyAlignment="1">
      <x:alignment horizontal="general" vertical="center" wrapText="1"/>
    </x:xf>
    <x:xf numFmtId="164" fontId="24" fillId="16" borderId="0" xfId="0" applyNumberFormat="1" applyFont="1" applyFill="1" applyBorder="1" applyAlignment="1">
      <x:alignment horizontal="general" vertical="center" wrapText="1"/>
    </x:xf>
    <x:xf numFmtId="171" fontId="24" fillId="16" borderId="0" xfId="0" applyNumberFormat="1" applyFont="1" applyFill="1" applyBorder="1" applyAlignment="1">
      <x:alignment horizontal="general" vertical="center" wrapText="1"/>
    </x:xf>
    <x:xf numFmtId="164" fontId="19" fillId="14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73" fontId="24" fillId="7" borderId="0" xfId="0" applyNumberFormat="1" applyFont="1" applyFill="1" applyBorder="1" applyAlignment="1">
      <x:alignment horizontal="general" vertical="top" wrapText="1"/>
    </x:xf>
    <x:xf numFmtId="164" fontId="24" fillId="7" borderId="0" xfId="0" applyNumberFormat="1" applyFont="1" applyFill="1" applyBorder="1" applyAlignment="1">
      <x:alignment horizontal="general" vertical="top" wrapText="1"/>
    </x:xf>
    <x:xf numFmtId="171" fontId="24" fillId="7" borderId="0" xfId="0" applyNumberFormat="1" applyFont="1" applyFill="1" applyBorder="1" applyAlignment="1">
      <x:alignment horizontal="general" vertical="top" wrapText="1"/>
    </x:xf>
    <x:xf numFmtId="171" fontId="24" fillId="15" borderId="0" xfId="0" applyNumberFormat="1" applyFont="1" applyFill="1" applyBorder="1" applyAlignment="1">
      <x:alignment horizontal="general" vertical="top" wrapText="1"/>
    </x:xf>
    <x:xf numFmtId="173" fontId="24" fillId="16" borderId="0" xfId="0" applyNumberFormat="1" applyFont="1" applyFill="1" applyBorder="1" applyAlignment="1">
      <x:alignment horizontal="general" vertical="top" wrapText="1"/>
    </x:xf>
    <x:xf numFmtId="164" fontId="24" fillId="16" borderId="0" xfId="0" applyNumberFormat="1" applyFont="1" applyFill="1" applyBorder="1" applyAlignment="1">
      <x:alignment horizontal="general" vertical="top" wrapText="1"/>
    </x:xf>
    <x:xf numFmtId="171" fontId="24" fillId="16" borderId="0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top" wrapText="1"/>
    </x:xf>
    <x:xf numFmtId="173" fontId="24" fillId="7" borderId="2" xfId="0" applyNumberFormat="1" applyFont="1" applyFill="1" applyBorder="1" applyAlignment="1">
      <x:alignment horizontal="general" vertical="top" wrapText="1"/>
    </x:xf>
    <x:xf numFmtId="171" fontId="24" fillId="7" borderId="2" xfId="0" applyNumberFormat="1" applyFont="1" applyFill="1" applyBorder="1" applyAlignment="1">
      <x:alignment horizontal="general" vertical="top" wrapText="1"/>
    </x:xf>
    <x:xf numFmtId="171" fontId="24" fillId="15" borderId="2" xfId="0" applyNumberFormat="1" applyFont="1" applyFill="1" applyBorder="1" applyAlignment="1">
      <x:alignment horizontal="general" vertical="top" wrapText="1"/>
    </x:xf>
    <x:xf numFmtId="173" fontId="24" fillId="16" borderId="2" xfId="0" applyNumberFormat="1" applyFont="1" applyFill="1" applyBorder="1" applyAlignment="1">
      <x:alignment horizontal="general" vertical="top" wrapText="1"/>
    </x:xf>
    <x:xf numFmtId="164" fontId="24" fillId="16" borderId="2" xfId="0" applyNumberFormat="1" applyFont="1" applyFill="1" applyBorder="1" applyAlignment="1">
      <x:alignment horizontal="general" vertical="top" wrapText="1"/>
    </x:xf>
    <x:xf numFmtId="171" fontId="24" fillId="16" borderId="2" xfId="0" applyNumberFormat="1" applyFont="1" applyFill="1" applyBorder="1" applyAlignment="1">
      <x:alignment horizontal="general" vertical="top" wrapText="1"/>
    </x:xf>
    <x:xf numFmtId="201" fontId="19" fillId="14" borderId="0" xfId="0" applyNumberFormat="1" applyFont="1" applyFill="1" applyBorder="1" applyAlignment="1">
      <x:alignment horizontal="general" vertical="top" wrapText="1"/>
    </x:xf>
    <x:xf numFmtId="201" fontId="24" fillId="7" borderId="0" xfId="0" applyNumberFormat="1" applyFont="1" applyFill="1" applyBorder="1" applyAlignment="1">
      <x:alignment horizontal="general" vertical="top" wrapText="1"/>
    </x:xf>
    <x:xf numFmtId="201" fontId="24" fillId="16" borderId="0" xfId="0" applyNumberFormat="1" applyFont="1" applyFill="1" applyBorder="1" applyAlignment="1">
      <x:alignment horizontal="general" vertical="top" wrapText="1"/>
    </x:xf>
    <x:xf numFmtId="201" fontId="19" fillId="14" borderId="2" xfId="0" applyNumberFormat="1" applyFont="1" applyFill="1" applyBorder="1" applyAlignment="1">
      <x:alignment horizontal="general" vertical="top" wrapText="1"/>
    </x:xf>
    <x:xf numFmtId="201" fontId="24" fillId="7" borderId="2" xfId="0" applyNumberFormat="1" applyFont="1" applyFill="1" applyBorder="1" applyAlignment="1">
      <x:alignment horizontal="general" vertical="top" wrapText="1"/>
    </x:xf>
    <x:xf numFmtId="201" fontId="24" fillId="16" borderId="2" xfId="0" applyNumberFormat="1" applyFont="1" applyFill="1" applyBorder="1" applyAlignment="1">
      <x:alignment horizontal="general" vertical="top" wrapText="1"/>
    </x:xf>
    <x:xf numFmtId="200" fontId="19" fillId="14" borderId="0" xfId="0" applyNumberFormat="1" applyFont="1" applyFill="1" applyBorder="1" applyAlignment="1">
      <x:alignment horizontal="general" vertical="top" wrapText="1"/>
    </x:xf>
    <x:xf numFmtId="200" fontId="0" fillId="0" borderId="0" xfId="0" applyNumberFormat="1" applyFont="1" applyFill="1" applyBorder="1" applyAlignment="1">
      <x:alignment horizontal="general" vertical="top" wrapText="1"/>
    </x:xf>
    <x:xf numFmtId="200" fontId="24" fillId="7" borderId="0" xfId="0" applyNumberFormat="1" applyFont="1" applyFill="1" applyBorder="1" applyAlignment="1">
      <x:alignment horizontal="general" vertical="top" wrapText="1"/>
    </x:xf>
    <x:xf numFmtId="200" fontId="24" fillId="15" borderId="0" xfId="0" applyNumberFormat="1" applyFont="1" applyFill="1" applyBorder="1" applyAlignment="1">
      <x:alignment horizontal="general" vertical="top" wrapText="1"/>
    </x:xf>
    <x:xf numFmtId="200" fontId="24" fillId="16" borderId="0" xfId="0" applyNumberFormat="1" applyFont="1" applyFill="1" applyBorder="1" applyAlignment="1">
      <x:alignment horizontal="general" vertical="top" wrapText="1"/>
    </x:xf>
    <x:xf numFmtId="200" fontId="19" fillId="14" borderId="2" xfId="0" applyNumberFormat="1" applyFont="1" applyFill="1" applyBorder="1" applyAlignment="1">
      <x:alignment horizontal="general" vertical="top" wrapText="1"/>
    </x:xf>
    <x:xf numFmtId="200" fontId="0" fillId="0" borderId="2" xfId="0" applyNumberFormat="1" applyFont="1" applyFill="1" applyBorder="1" applyAlignment="1">
      <x:alignment horizontal="general" vertical="top" wrapText="1"/>
    </x:xf>
    <x:xf numFmtId="200" fontId="24" fillId="7" borderId="2" xfId="0" applyNumberFormat="1" applyFont="1" applyFill="1" applyBorder="1" applyAlignment="1">
      <x:alignment horizontal="general" vertical="top" wrapText="1"/>
    </x:xf>
    <x:xf numFmtId="200" fontId="24" fillId="15" borderId="2" xfId="0" applyNumberFormat="1" applyFont="1" applyFill="1" applyBorder="1" applyAlignment="1">
      <x:alignment horizontal="general" vertical="top" wrapText="1"/>
    </x:xf>
    <x:xf numFmtId="200" fontId="24" fillId="16" borderId="2" xfId="0" applyNumberFormat="1" applyFont="1" applyFill="1" applyBorder="1" applyAlignment="1">
      <x:alignment horizontal="general" vertical="top" wrapText="1"/>
    </x:xf>
    <x:xf numFmtId="200" fontId="19" fillId="20" borderId="0" xfId="0" applyNumberFormat="1" applyFont="1" applyFill="1" applyBorder="1" applyAlignment="1">
      <x:alignment horizontal="general" vertical="top" wrapText="1"/>
    </x:xf>
    <x:xf numFmtId="200" fontId="24" fillId="20" borderId="0" xfId="0" applyNumberFormat="1" applyFont="1" applyFill="1" applyBorder="1" applyAlignment="1">
      <x:alignment horizontal="general" vertical="top" wrapText="1"/>
    </x:xf>
    <x:xf numFmtId="200" fontId="26" fillId="20" borderId="0" xfId="0" applyNumberFormat="1" applyFont="1" applyFill="1" applyBorder="1" applyAlignment="1">
      <x:alignment horizontal="general" vertical="top" wrapText="1"/>
    </x:xf>
    <x:xf numFmtId="200" fontId="19" fillId="20" borderId="2" xfId="0" applyNumberFormat="1" applyFont="1" applyFill="1" applyBorder="1" applyAlignment="1">
      <x:alignment horizontal="general" vertical="top" wrapText="1"/>
    </x:xf>
    <x:xf numFmtId="200" fontId="24" fillId="20" borderId="2" xfId="0" applyNumberFormat="1" applyFont="1" applyFill="1" applyBorder="1" applyAlignment="1">
      <x:alignment horizontal="general" vertical="top" wrapText="1"/>
    </x:xf>
    <x:xf numFmtId="200" fontId="26" fillId="20" borderId="2" xfId="0" applyNumberFormat="1" applyFont="1" applyFill="1" applyBorder="1" applyAlignment="1">
      <x:alignment horizontal="general" vertical="top" wrapText="1"/>
    </x:xf>
    <x:xf numFmtId="200" fontId="0" fillId="19" borderId="0" xfId="0" applyNumberFormat="1" applyFont="1" applyFill="1" applyBorder="1" applyAlignment="1">
      <x:alignment horizontal="general" vertical="top" wrapText="1"/>
    </x:xf>
    <x:xf numFmtId="200" fontId="0" fillId="19" borderId="2" xfId="0" applyNumberFormat="1" applyFont="1" applyFill="1" applyBorder="1" applyAlignment="1">
      <x:alignment horizontal="general" vertical="top" wrapText="1"/>
    </x:xf>
    <x:xf numFmtId="164" fontId="26" fillId="5" borderId="0" xfId="0" applyNumberFormat="1" applyFont="1" applyFill="1" applyBorder="1" applyAlignment="1">
      <x:alignment horizontal="general" vertical="center" wrapText="1"/>
    </x:xf>
    <x:xf numFmtId="171" fontId="26" fillId="5" borderId="0" xfId="0" applyNumberFormat="1" applyFont="1" applyFill="1" applyBorder="1" applyAlignment="1">
      <x:alignment horizontal="general" vertical="center" wrapText="1"/>
    </x:xf>
    <x:xf numFmtId="171" fontId="19" fillId="14" borderId="0" xfId="0" applyNumberFormat="1" applyFont="1" applyFill="1" applyBorder="1" applyAlignment="1">
      <x:alignment horizontal="general" vertical="center" wrapText="1"/>
    </x:xf>
    <x:xf numFmtId="164" fontId="26" fillId="5" borderId="0" xfId="0" applyNumberFormat="1" applyFont="1" applyFill="1" applyBorder="1" applyAlignment="1">
      <x:alignment horizontal="general" vertical="top" wrapText="1"/>
    </x:xf>
    <x:xf numFmtId="171" fontId="26" fillId="5" borderId="0" xfId="0" applyNumberFormat="1" applyFont="1" applyFill="1" applyBorder="1" applyAlignment="1">
      <x:alignment horizontal="general" vertical="top" wrapText="1"/>
    </x:xf>
    <x:xf numFmtId="171" fontId="19" fillId="14" borderId="0" xfId="0" applyNumberFormat="1" applyFont="1" applyFill="1" applyBorder="1" applyAlignment="1">
      <x:alignment horizontal="general" vertical="top" wrapText="1"/>
    </x:xf>
    <x:xf numFmtId="164" fontId="26" fillId="5" borderId="2" xfId="0" applyNumberFormat="1" applyFont="1" applyFill="1" applyBorder="1" applyAlignment="1">
      <x:alignment horizontal="general" vertical="top" wrapText="1"/>
    </x:xf>
    <x:xf numFmtId="171" fontId="26" fillId="5" borderId="2" xfId="0" applyNumberFormat="1" applyFont="1" applyFill="1" applyBorder="1" applyAlignment="1">
      <x:alignment horizontal="general" vertical="top" wrapText="1"/>
    </x:xf>
    <x:xf numFmtId="164" fontId="41" fillId="0" borderId="0" xfId="0" applyNumberFormat="1" applyFont="1" applyFill="1" applyBorder="1" applyAlignment="1">
      <x:alignment horizontal="general" vertical="top" wrapText="1"/>
    </x:xf>
    <x:xf numFmtId="164" fontId="41" fillId="0" borderId="2" xfId="0" applyNumberFormat="1" applyFont="1" applyFill="1" applyBorder="1" applyAlignment="1">
      <x:alignment horizontal="general" vertical="top" wrapText="1"/>
    </x:xf>
    <x:xf numFmtId="200" fontId="26" fillId="5" borderId="0" xfId="0" applyNumberFormat="1" applyFont="1" applyFill="1" applyBorder="1" applyAlignment="1">
      <x:alignment horizontal="general" vertical="top" wrapText="1"/>
    </x:xf>
    <x:xf numFmtId="200" fontId="41" fillId="0" borderId="0" xfId="0" applyNumberFormat="1" applyFont="1" applyFill="1" applyBorder="1" applyAlignment="1">
      <x:alignment horizontal="general" vertical="top" wrapText="1"/>
    </x:xf>
    <x:xf numFmtId="200" fontId="26" fillId="5" borderId="2" xfId="0" applyNumberFormat="1" applyFont="1" applyFill="1" applyBorder="1" applyAlignment="1">
      <x:alignment horizontal="general" vertical="top" wrapText="1"/>
    </x:xf>
    <x:xf numFmtId="200" fontId="41" fillId="0" borderId="2" xfId="0" applyNumberFormat="1" applyFont="1" applyFill="1" applyBorder="1" applyAlignment="1">
      <x:alignment horizontal="general" vertical="top" wrapText="1"/>
    </x:xf>
    <x:xf numFmtId="164" fontId="22" fillId="22" borderId="0" xfId="0" applyNumberFormat="1" applyFont="1" applyFill="1" applyBorder="1" applyAlignment="1">
      <x:alignment horizontal="general" vertical="center" wrapText="1"/>
    </x:xf>
    <x:xf numFmtId="164" fontId="0" fillId="22" borderId="0" xfId="0" applyNumberFormat="1" applyFont="1" applyFill="1" applyBorder="1" applyAlignment="1">
      <x:alignment horizontal="general" vertical="bottom" wrapText="0"/>
    </x:xf>
    <x:xf numFmtId="164" fontId="41" fillId="22" borderId="0" xfId="0" applyNumberFormat="1" applyFont="1" applyFill="1" applyBorder="1" applyAlignment="1">
      <x:alignment horizontal="general" vertical="bottom" wrapText="0"/>
    </x:xf>
    <x:xf numFmtId="164" fontId="41" fillId="22" borderId="0" xfId="0" applyNumberFormat="1" applyFont="1" applyFill="1" applyBorder="1" applyAlignment="1">
      <x:alignment horizontal="general" vertical="bottom" wrapText="1"/>
    </x:xf>
    <x:xf numFmtId="164" fontId="22" fillId="22" borderId="2" xfId="0" applyNumberFormat="1" applyFont="1" applyFill="1" applyBorder="1" applyAlignment="1">
      <x:alignment horizontal="general" vertical="center" wrapText="1"/>
    </x:xf>
    <x:xf numFmtId="164" fontId="0" fillId="22" borderId="2" xfId="0" applyNumberFormat="1" applyFont="1" applyFill="1" applyBorder="1" applyAlignment="1">
      <x:alignment horizontal="general" vertical="bottom" wrapText="0"/>
    </x:xf>
    <x:xf numFmtId="164" fontId="41" fillId="22" borderId="2" xfId="0" applyNumberFormat="1" applyFont="1" applyFill="1" applyBorder="1" applyAlignment="1">
      <x:alignment horizontal="general" vertical="bottom" wrapText="0"/>
    </x:xf>
    <x:xf numFmtId="164" fontId="41" fillId="22" borderId="2" xfId="0" applyNumberFormat="1" applyFont="1" applyFill="1" applyBorder="1" applyAlignment="1">
      <x:alignment horizontal="general" vertical="bottom" wrapText="1"/>
    </x:xf>
    <x:xf numFmtId="164" fontId="0" fillId="19" borderId="0" xfId="0" applyNumberFormat="1" applyFont="1" applyFill="1" applyBorder="1" applyAlignment="1">
      <x:alignment horizontal="general" vertical="bottom" wrapText="0"/>
    </x:xf>
    <x:xf numFmtId="164" fontId="0" fillId="19" borderId="0" xfId="0" applyNumberFormat="1" applyFont="1" applyFill="1" applyBorder="1" applyAlignment="1">
      <x:alignment horizontal="general" vertical="bottom" wrapText="1"/>
    </x:xf>
    <x:xf numFmtId="164" fontId="0" fillId="19" borderId="2" xfId="0" applyNumberFormat="1" applyFont="1" applyFill="1" applyBorder="1" applyAlignment="1">
      <x:alignment horizontal="general" vertical="bottom" wrapText="0"/>
    </x:xf>
    <x:xf numFmtId="164" fontId="0" fillId="19" borderId="2" xfId="0" applyNumberFormat="1" applyFont="1" applyFill="1" applyBorder="1" applyAlignment="1">
      <x:alignment horizontal="general" vertical="bottom" wrapText="1"/>
    </x:xf>
    <x:xf numFmtId="164" fontId="0" fillId="23" borderId="0" xfId="0" applyNumberFormat="1" applyFont="1" applyFill="1" applyBorder="1" applyAlignment="1">
      <x:alignment horizontal="general" vertical="bottom" wrapText="0"/>
    </x:xf>
    <x:xf numFmtId="164" fontId="42" fillId="23" borderId="0" xfId="0" applyNumberFormat="1" applyFont="1" applyFill="1" applyBorder="1" applyAlignment="1">
      <x:alignment horizontal="general" vertical="bottom" wrapText="0"/>
    </x:xf>
    <x:xf numFmtId="164" fontId="42" fillId="23" borderId="0" xfId="0" applyNumberFormat="1" applyFont="1" applyFill="1" applyBorder="1" applyAlignment="1">
      <x:alignment horizontal="general" vertical="bottom" wrapText="1"/>
    </x:xf>
    <x:xf numFmtId="164" fontId="42" fillId="23" borderId="0" xfId="0" applyNumberFormat="1" applyFont="1" applyFill="1" applyBorder="1" applyAlignment="1">
      <x:alignment horizontal="center" vertical="bottom" wrapText="1"/>
    </x:xf>
    <x:xf numFmtId="164" fontId="42" fillId="23" borderId="0" xfId="0" applyNumberFormat="1" applyFont="1" applyFill="1" applyBorder="1" applyAlignment="1">
      <x:alignment horizontal="center" vertical="center" wrapText="1"/>
    </x:xf>
    <x:xf numFmtId="164" fontId="0" fillId="23" borderId="2" xfId="0" applyNumberFormat="1" applyFont="1" applyFill="1" applyBorder="1" applyAlignment="1">
      <x:alignment horizontal="general" vertical="bottom" wrapText="0"/>
    </x:xf>
    <x:xf numFmtId="164" fontId="42" fillId="23" borderId="2" xfId="0" applyNumberFormat="1" applyFont="1" applyFill="1" applyBorder="1" applyAlignment="1">
      <x:alignment horizontal="general" vertical="bottom" wrapText="0"/>
    </x:xf>
    <x:xf numFmtId="164" fontId="42" fillId="23" borderId="2" xfId="0" applyNumberFormat="1" applyFont="1" applyFill="1" applyBorder="1" applyAlignment="1">
      <x:alignment horizontal="general" vertical="bottom" wrapText="1"/>
    </x:xf>
    <x:xf numFmtId="164" fontId="42" fillId="23" borderId="2" xfId="0" applyNumberFormat="1" applyFont="1" applyFill="1" applyBorder="1" applyAlignment="1">
      <x:alignment horizontal="center" vertical="bottom" wrapText="1"/>
    </x:xf>
    <x:xf numFmtId="164" fontId="42" fillId="23" borderId="2" xfId="0" applyNumberFormat="1" applyFont="1" applyFill="1" applyBorder="1" applyAlignment="1">
      <x:alignment horizontal="center" vertical="center" wrapText="1"/>
    </x:xf>
    <x:xf numFmtId="164" fontId="0" fillId="20" borderId="0" xfId="0" applyNumberFormat="1" applyFont="1" applyFill="1" applyBorder="1" applyAlignment="1">
      <x:alignment horizontal="general" vertical="top" wrapText="1"/>
    </x:xf>
    <x:xf numFmtId="164" fontId="43" fillId="20" borderId="0" xfId="0" applyNumberFormat="1" applyFont="1" applyFill="1" applyBorder="1" applyAlignment="1">
      <x:alignment horizontal="general" vertical="top" wrapText="1"/>
    </x:xf>
    <x:xf numFmtId="164" fontId="0" fillId="20" borderId="2" xfId="0" applyNumberFormat="1" applyFont="1" applyFill="1" applyBorder="1" applyAlignment="1">
      <x:alignment horizontal="general" vertical="top" wrapText="1"/>
    </x:xf>
    <x:xf numFmtId="164" fontId="43" fillId="20" borderId="2" xfId="0" applyNumberFormat="1" applyFont="1" applyFill="1" applyBorder="1" applyAlignment="1">
      <x:alignment horizontal="general" vertical="top" wrapText="1"/>
    </x:xf>
    <x:xf numFmtId="164" fontId="0" fillId="22" borderId="0" xfId="0" applyNumberFormat="1" applyFont="1" applyFill="1" applyBorder="1" applyAlignment="1">
      <x:alignment horizontal="general" vertical="bottom" wrapText="1"/>
    </x:xf>
    <x:xf numFmtId="164" fontId="0" fillId="22" borderId="2" xfId="0" applyNumberFormat="1" applyFont="1" applyFill="1" applyBorder="1" applyAlignment="1">
      <x:alignment horizontal="general" vertical="bottom" wrapText="1"/>
    </x:xf>
    <x:xf numFmtId="164" fontId="0" fillId="24" borderId="0" xfId="0" applyNumberFormat="1" applyFont="1" applyFill="1" applyBorder="1" applyAlignment="1">
      <x:alignment horizontal="general" vertical="bottom" wrapText="0"/>
    </x:xf>
    <x:xf numFmtId="164" fontId="42" fillId="24" borderId="0" xfId="0" applyNumberFormat="1" applyFont="1" applyFill="1" applyBorder="1" applyAlignment="1">
      <x:alignment horizontal="general" vertical="bottom" wrapText="0"/>
    </x:xf>
    <x:xf numFmtId="164" fontId="42" fillId="24" borderId="0" xfId="0" applyNumberFormat="1" applyFont="1" applyFill="1" applyBorder="1" applyAlignment="1">
      <x:alignment horizontal="general" vertical="bottom" wrapText="1"/>
    </x:xf>
    <x:xf numFmtId="164" fontId="42" fillId="24" borderId="0" xfId="0" applyNumberFormat="1" applyFont="1" applyFill="1" applyBorder="1" applyAlignment="1">
      <x:alignment horizontal="center" vertical="bottom" wrapText="1"/>
    </x:xf>
    <x:xf numFmtId="164" fontId="42" fillId="24" borderId="0" xfId="0" applyNumberFormat="1" applyFont="1" applyFill="1" applyBorder="1" applyAlignment="1">
      <x:alignment horizontal="center" vertical="center" wrapText="1"/>
    </x:xf>
    <x:xf numFmtId="164" fontId="0" fillId="24" borderId="2" xfId="0" applyNumberFormat="1" applyFont="1" applyFill="1" applyBorder="1" applyAlignment="1">
      <x:alignment horizontal="general" vertical="bottom" wrapText="0"/>
    </x:xf>
    <x:xf numFmtId="164" fontId="42" fillId="24" borderId="2" xfId="0" applyNumberFormat="1" applyFont="1" applyFill="1" applyBorder="1" applyAlignment="1">
      <x:alignment horizontal="general" vertical="bottom" wrapText="0"/>
    </x:xf>
    <x:xf numFmtId="164" fontId="42" fillId="24" borderId="2" xfId="0" applyNumberFormat="1" applyFont="1" applyFill="1" applyBorder="1" applyAlignment="1">
      <x:alignment horizontal="general" vertical="bottom" wrapText="1"/>
    </x:xf>
    <x:xf numFmtId="164" fontId="42" fillId="24" borderId="2" xfId="0" applyNumberFormat="1" applyFont="1" applyFill="1" applyBorder="1" applyAlignment="1">
      <x:alignment horizontal="center" vertical="bottom" wrapText="1"/>
    </x:xf>
    <x:xf numFmtId="164" fontId="42" fillId="24" borderId="2" xfId="0" applyNumberFormat="1" applyFont="1" applyFill="1" applyBorder="1" applyAlignment="1">
      <x:alignment horizontal="center" vertical="center" wrapText="1"/>
    </x:xf>
    <x:xf numFmtId="164" fontId="0" fillId="18" borderId="0" xfId="0" applyNumberFormat="1" applyFont="1" applyFill="1" applyBorder="1" applyAlignment="1">
      <x:alignment horizontal="general" vertical="bottom" wrapText="1"/>
    </x:xf>
    <x:xf numFmtId="164" fontId="0" fillId="18" borderId="2" xfId="0" applyNumberFormat="1" applyFont="1" applyFill="1" applyBorder="1" applyAlignment="1">
      <x:alignment horizontal="general" vertical="bottom" wrapText="1"/>
    </x:xf>
    <x:xf numFmtId="164" fontId="0" fillId="25" borderId="0" xfId="0" applyNumberFormat="1" applyFont="1" applyFill="1" applyBorder="1" applyAlignment="1">
      <x:alignment horizontal="general" vertical="bottom" wrapText="0"/>
    </x:xf>
    <x:xf numFmtId="164" fontId="42" fillId="25" borderId="0" xfId="0" applyNumberFormat="1" applyFont="1" applyFill="1" applyBorder="1" applyAlignment="1">
      <x:alignment horizontal="general" vertical="bottom" wrapText="0"/>
    </x:xf>
    <x:xf numFmtId="164" fontId="42" fillId="25" borderId="0" xfId="0" applyNumberFormat="1" applyFont="1" applyFill="1" applyBorder="1" applyAlignment="1">
      <x:alignment horizontal="general" vertical="bottom" wrapText="1"/>
    </x:xf>
    <x:xf numFmtId="164" fontId="42" fillId="25" borderId="0" xfId="0" applyNumberFormat="1" applyFont="1" applyFill="1" applyBorder="1" applyAlignment="1">
      <x:alignment horizontal="center" vertical="bottom" wrapText="1"/>
    </x:xf>
    <x:xf numFmtId="164" fontId="42" fillId="25" borderId="0" xfId="0" applyNumberFormat="1" applyFont="1" applyFill="1" applyBorder="1" applyAlignment="1">
      <x:alignment horizontal="center" vertical="center" wrapText="1"/>
    </x:xf>
    <x:xf numFmtId="164" fontId="0" fillId="25" borderId="2" xfId="0" applyNumberFormat="1" applyFont="1" applyFill="1" applyBorder="1" applyAlignment="1">
      <x:alignment horizontal="general" vertical="bottom" wrapText="0"/>
    </x:xf>
    <x:xf numFmtId="164" fontId="42" fillId="25" borderId="2" xfId="0" applyNumberFormat="1" applyFont="1" applyFill="1" applyBorder="1" applyAlignment="1">
      <x:alignment horizontal="general" vertical="bottom" wrapText="0"/>
    </x:xf>
    <x:xf numFmtId="164" fontId="42" fillId="25" borderId="2" xfId="0" applyNumberFormat="1" applyFont="1" applyFill="1" applyBorder="1" applyAlignment="1">
      <x:alignment horizontal="general" vertical="bottom" wrapText="1"/>
    </x:xf>
    <x:xf numFmtId="164" fontId="42" fillId="25" borderId="2" xfId="0" applyNumberFormat="1" applyFont="1" applyFill="1" applyBorder="1" applyAlignment="1">
      <x:alignment horizontal="center" vertical="bottom" wrapText="1"/>
    </x:xf>
    <x:xf numFmtId="164" fontId="42" fillId="25" borderId="2" xfId="0" applyNumberFormat="1" applyFont="1" applyFill="1" applyBorder="1" applyAlignment="1">
      <x:alignment horizontal="center" vertical="center" wrapText="1"/>
    </x:xf>
    <x:xf numFmtId="164" fontId="0" fillId="26" borderId="0" xfId="0" applyNumberFormat="1" applyFont="1" applyFill="1" applyBorder="1" applyAlignment="1">
      <x:alignment horizontal="general" vertical="bottom" wrapText="0"/>
    </x:xf>
    <x:xf numFmtId="164" fontId="42" fillId="26" borderId="0" xfId="0" applyNumberFormat="1" applyFont="1" applyFill="1" applyBorder="1" applyAlignment="1">
      <x:alignment horizontal="general" vertical="bottom" wrapText="0"/>
    </x:xf>
    <x:xf numFmtId="164" fontId="42" fillId="26" borderId="0" xfId="0" applyNumberFormat="1" applyFont="1" applyFill="1" applyBorder="1" applyAlignment="1">
      <x:alignment horizontal="general" vertical="bottom" wrapText="1"/>
    </x:xf>
    <x:xf numFmtId="164" fontId="42" fillId="26" borderId="0" xfId="0" applyNumberFormat="1" applyFont="1" applyFill="1" applyBorder="1" applyAlignment="1">
      <x:alignment horizontal="center" vertical="bottom" wrapText="1"/>
    </x:xf>
    <x:xf numFmtId="164" fontId="42" fillId="26" borderId="0" xfId="0" applyNumberFormat="1" applyFont="1" applyFill="1" applyBorder="1" applyAlignment="1">
      <x:alignment horizontal="center" vertical="center" wrapText="1"/>
    </x:xf>
    <x:xf numFmtId="164" fontId="0" fillId="26" borderId="2" xfId="0" applyNumberFormat="1" applyFont="1" applyFill="1" applyBorder="1" applyAlignment="1">
      <x:alignment horizontal="general" vertical="bottom" wrapText="0"/>
    </x:xf>
    <x:xf numFmtId="164" fontId="42" fillId="26" borderId="2" xfId="0" applyNumberFormat="1" applyFont="1" applyFill="1" applyBorder="1" applyAlignment="1">
      <x:alignment horizontal="general" vertical="bottom" wrapText="0"/>
    </x:xf>
    <x:xf numFmtId="164" fontId="42" fillId="26" borderId="2" xfId="0" applyNumberFormat="1" applyFont="1" applyFill="1" applyBorder="1" applyAlignment="1">
      <x:alignment horizontal="general" vertical="bottom" wrapText="1"/>
    </x:xf>
    <x:xf numFmtId="164" fontId="42" fillId="26" borderId="2" xfId="0" applyNumberFormat="1" applyFont="1" applyFill="1" applyBorder="1" applyAlignment="1">
      <x:alignment horizontal="center" vertical="bottom" wrapText="1"/>
    </x:xf>
    <x:xf numFmtId="164" fontId="42" fillId="26" borderId="2" xfId="0" applyNumberFormat="1" applyFont="1" applyFill="1" applyBorder="1" applyAlignment="1">
      <x:alignment horizontal="center" vertical="center" wrapText="1"/>
    </x:xf>
    <x:xf numFmtId="164" fontId="24" fillId="27" borderId="0" xfId="0" applyNumberFormat="1" applyFont="1" applyFill="1" applyBorder="1" applyAlignment="1">
      <x:alignment horizontal="general" vertical="top" wrapText="1"/>
    </x:xf>
    <x:xf numFmtId="164" fontId="0" fillId="27" borderId="0" xfId="0" applyNumberFormat="1" applyFont="1" applyFill="1" applyBorder="1" applyAlignment="1">
      <x:alignment horizontal="general" vertical="bottom" wrapText="0"/>
    </x:xf>
    <x:xf numFmtId="164" fontId="0" fillId="27" borderId="0" xfId="0" applyNumberFormat="1" applyFont="1" applyFill="1" applyBorder="1" applyAlignment="1">
      <x:alignment horizontal="general" vertical="bottom" wrapText="1"/>
    </x:xf>
    <x:xf numFmtId="164" fontId="24" fillId="27" borderId="2" xfId="0" applyNumberFormat="1" applyFont="1" applyFill="1" applyBorder="1" applyAlignment="1">
      <x:alignment horizontal="general" vertical="top" wrapText="1"/>
    </x:xf>
    <x:xf numFmtId="164" fontId="0" fillId="27" borderId="2" xfId="0" applyNumberFormat="1" applyFont="1" applyFill="1" applyBorder="1" applyAlignment="1">
      <x:alignment horizontal="general" vertical="bottom" wrapText="0"/>
    </x:xf>
    <x:xf numFmtId="164" fontId="0" fillId="27" borderId="2" xfId="0" applyNumberFormat="1" applyFont="1" applyFill="1" applyBorder="1" applyAlignment="1">
      <x:alignment horizontal="general" vertical="bottom" wrapText="1"/>
    </x:xf>
    <x:xf numFmtId="164" fontId="24" fillId="28" borderId="0" xfId="0" applyNumberFormat="1" applyFont="1" applyFill="1" applyBorder="1" applyAlignment="1">
      <x:alignment horizontal="general" vertical="top" wrapText="1"/>
    </x:xf>
    <x:xf numFmtId="164" fontId="0" fillId="28" borderId="0" xfId="0" applyNumberFormat="1" applyFont="1" applyFill="1" applyBorder="1" applyAlignment="1">
      <x:alignment horizontal="general" vertical="bottom" wrapText="0"/>
    </x:xf>
    <x:xf numFmtId="164" fontId="19" fillId="28" borderId="0" xfId="0" applyNumberFormat="1" applyFont="1" applyFill="1" applyBorder="1" applyAlignment="1">
      <x:alignment horizontal="general" vertical="top" wrapText="1"/>
    </x:xf>
    <x:xf numFmtId="164" fontId="42" fillId="28" borderId="0" xfId="0" applyNumberFormat="1" applyFont="1" applyFill="1" applyBorder="1" applyAlignment="1">
      <x:alignment horizontal="general" vertical="bottom" wrapText="0"/>
    </x:xf>
    <x:xf numFmtId="164" fontId="42" fillId="28" borderId="0" xfId="0" applyNumberFormat="1" applyFont="1" applyFill="1" applyBorder="1" applyAlignment="1">
      <x:alignment horizontal="general" vertical="bottom" wrapText="1"/>
    </x:xf>
    <x:xf numFmtId="164" fontId="19" fillId="28" borderId="0" xfId="0" applyNumberFormat="1" applyFont="1" applyFill="1" applyBorder="1" applyAlignment="1">
      <x:alignment horizontal="center" vertical="top" wrapText="1"/>
    </x:xf>
    <x:xf numFmtId="164" fontId="42" fillId="28" borderId="0" xfId="0" applyNumberFormat="1" applyFont="1" applyFill="1" applyBorder="1" applyAlignment="1">
      <x:alignment horizontal="center" vertical="bottom" wrapText="1"/>
    </x:xf>
    <x:xf numFmtId="164" fontId="19" fillId="28" borderId="0" xfId="0" applyNumberFormat="1" applyFont="1" applyFill="1" applyBorder="1" applyAlignment="1">
      <x:alignment horizontal="center" vertical="center" wrapText="1"/>
    </x:xf>
    <x:xf numFmtId="164" fontId="42" fillId="28" borderId="0" xfId="0" applyNumberFormat="1" applyFont="1" applyFill="1" applyBorder="1" applyAlignment="1">
      <x:alignment horizontal="center" vertical="center" wrapText="1"/>
    </x:xf>
    <x:xf numFmtId="164" fontId="24" fillId="28" borderId="2" xfId="0" applyNumberFormat="1" applyFont="1" applyFill="1" applyBorder="1" applyAlignment="1">
      <x:alignment horizontal="general" vertical="top" wrapText="1"/>
    </x:xf>
    <x:xf numFmtId="164" fontId="0" fillId="28" borderId="2" xfId="0" applyNumberFormat="1" applyFont="1" applyFill="1" applyBorder="1" applyAlignment="1">
      <x:alignment horizontal="general" vertical="bottom" wrapText="0"/>
    </x:xf>
    <x:xf numFmtId="164" fontId="19" fillId="28" borderId="2" xfId="0" applyNumberFormat="1" applyFont="1" applyFill="1" applyBorder="1" applyAlignment="1">
      <x:alignment horizontal="general" vertical="top" wrapText="1"/>
    </x:xf>
    <x:xf numFmtId="164" fontId="42" fillId="28" borderId="2" xfId="0" applyNumberFormat="1" applyFont="1" applyFill="1" applyBorder="1" applyAlignment="1">
      <x:alignment horizontal="general" vertical="bottom" wrapText="0"/>
    </x:xf>
    <x:xf numFmtId="164" fontId="42" fillId="28" borderId="2" xfId="0" applyNumberFormat="1" applyFont="1" applyFill="1" applyBorder="1" applyAlignment="1">
      <x:alignment horizontal="general" vertical="bottom" wrapText="1"/>
    </x:xf>
    <x:xf numFmtId="164" fontId="19" fillId="28" borderId="2" xfId="0" applyNumberFormat="1" applyFont="1" applyFill="1" applyBorder="1" applyAlignment="1">
      <x:alignment horizontal="center" vertical="top" wrapText="1"/>
    </x:xf>
    <x:xf numFmtId="164" fontId="42" fillId="28" borderId="2" xfId="0" applyNumberFormat="1" applyFont="1" applyFill="1" applyBorder="1" applyAlignment="1">
      <x:alignment horizontal="center" vertical="bottom" wrapText="1"/>
    </x:xf>
    <x:xf numFmtId="164" fontId="19" fillId="28" borderId="2" xfId="0" applyNumberFormat="1" applyFont="1" applyFill="1" applyBorder="1" applyAlignment="1">
      <x:alignment horizontal="center" vertical="center" wrapText="1"/>
    </x:xf>
    <x:xf numFmtId="164" fontId="42" fillId="28" borderId="2" xfId="0" applyNumberFormat="1" applyFont="1" applyFill="1" applyBorder="1" applyAlignment="1">
      <x:alignment horizontal="center" vertical="center" wrapText="1"/>
    </x:xf>
    <x:xf numFmtId="164" fontId="24" fillId="0" borderId="0" xfId="0" applyNumberFormat="1" applyFont="1" applyFill="1" applyBorder="1" applyAlignment="1">
      <x:alignment horizontal="general" vertical="top" wrapText="1"/>
    </x:xf>
    <x:xf numFmtId="164" fontId="22" fillId="5" borderId="0" xfId="0" applyNumberFormat="1" applyFont="1" applyFill="1" applyBorder="1" applyAlignment="1">
      <x:alignment horizontal="general" vertical="center" wrapText="1"/>
    </x:xf>
    <x:xf numFmtId="164" fontId="22" fillId="5" borderId="0" xfId="0" applyNumberFormat="1" applyFont="1" applyFill="1" applyBorder="1" applyAlignment="1">
      <x:alignment horizontal="general" vertical="top" wrapText="1"/>
    </x:xf>
    <x:xf numFmtId="164" fontId="22" fillId="5" borderId="2" xfId="0" applyNumberFormat="1" applyFont="1" applyFill="1" applyBorder="1" applyAlignment="1">
      <x:alignment horizontal="general" vertical="top" wrapText="1"/>
    </x:xf>
    <x:xf numFmtId="200" fontId="8" fillId="0" borderId="0" xfId="0" applyNumberFormat="1" applyFont="1" applyFill="1" applyBorder="1" applyAlignment="1">
      <x:alignment horizontal="general" vertical="center" wrapText="1"/>
    </x:xf>
    <x:xf numFmtId="200" fontId="8" fillId="0" borderId="2" xfId="0" applyNumberFormat="1" applyFont="1" applyFill="1" applyBorder="1" applyAlignment="1">
      <x:alignment horizontal="general" vertical="center" wrapText="1"/>
    </x:xf>
    <x:xf numFmtId="164" fontId="8" fillId="19" borderId="1" xfId="0" applyNumberFormat="1" applyFont="1" applyFill="1" applyBorder="1" applyAlignment="1">
      <x:alignment horizontal="general" vertical="top" wrapText="1"/>
    </x:xf>
    <x:xf numFmtId="164" fontId="8" fillId="19" borderId="3" xfId="0" applyNumberFormat="1" applyFont="1" applyFill="1" applyBorder="1" applyAlignment="1">
      <x:alignment horizontal="general" vertical="top" wrapText="1"/>
    </x:xf>
    <x:xf numFmtId="164" fontId="13" fillId="19" borderId="1" xfId="0" applyNumberFormat="1" applyFont="1" applyFill="1" applyBorder="1" applyAlignment="1">
      <x:alignment horizontal="general" vertical="top" wrapText="1"/>
    </x:xf>
    <x:xf numFmtId="164" fontId="13" fillId="19" borderId="3" xfId="0" applyNumberFormat="1" applyFont="1" applyFill="1" applyBorder="1" applyAlignment="1">
      <x:alignment horizontal="general" vertical="top" wrapText="1"/>
    </x:xf>
    <x:xf numFmtId="164" fontId="12" fillId="19" borderId="1" xfId="0" applyNumberFormat="1" applyFont="1" applyFill="1" applyBorder="1" applyAlignment="1">
      <x:alignment horizontal="general" vertical="top" wrapText="1"/>
    </x:xf>
    <x:xf numFmtId="164" fontId="12" fillId="19" borderId="3" xfId="0" applyNumberFormat="1" applyFont="1" applyFill="1" applyBorder="1" applyAlignment="1">
      <x:alignment horizontal="general" vertical="top" wrapText="1"/>
    </x:xf>
    <x:xf numFmtId="164" fontId="8" fillId="19" borderId="1" xfId="0" applyNumberFormat="1" applyFont="1" applyFill="1" applyBorder="1" applyAlignment="1">
      <x:alignment horizontal="general" vertical="center" wrapText="1"/>
    </x:xf>
    <x:xf numFmtId="164" fontId="8" fillId="19" borderId="3" xfId="0" applyNumberFormat="1" applyFont="1" applyFill="1" applyBorder="1" applyAlignment="1">
      <x:alignment horizontal="general" vertical="center" wrapText="1"/>
    </x:xf>
    <x:xf numFmtId="164" fontId="14" fillId="19" borderId="1" xfId="0" applyNumberFormat="1" applyFont="1" applyFill="1" applyBorder="1" applyAlignment="1">
      <x:alignment horizontal="general" vertical="top" wrapText="1"/>
    </x:xf>
    <x:xf numFmtId="164" fontId="14" fillId="19" borderId="3" xfId="0" applyNumberFormat="1" applyFont="1" applyFill="1" applyBorder="1" applyAlignment="1">
      <x:alignment horizontal="general" vertical="top" wrapText="1"/>
    </x:xf>
    <x:xf numFmtId="164" fontId="8" fillId="18" borderId="1" xfId="0" applyNumberFormat="1" applyFont="1" applyFill="1" applyBorder="1" applyAlignment="1">
      <x:alignment horizontal="general" vertical="top" wrapText="1"/>
    </x:xf>
    <x:xf numFmtId="164" fontId="8" fillId="18" borderId="3" xfId="0" applyNumberFormat="1" applyFont="1" applyFill="1" applyBorder="1" applyAlignment="1">
      <x:alignment horizontal="general" vertical="top" wrapText="1"/>
    </x:xf>
    <x:xf numFmtId="164" fontId="12" fillId="18" borderId="1" xfId="0" applyNumberFormat="1" applyFont="1" applyFill="1" applyBorder="1" applyAlignment="1">
      <x:alignment horizontal="general" vertical="top" wrapText="1"/>
    </x:xf>
    <x:xf numFmtId="164" fontId="12" fillId="18" borderId="3" xfId="0" applyNumberFormat="1" applyFont="1" applyFill="1" applyBorder="1" applyAlignment="1">
      <x:alignment horizontal="general" vertical="top" wrapText="1"/>
    </x:xf>
    <x:xf numFmtId="164" fontId="8" fillId="18" borderId="1" xfId="0" applyNumberFormat="1" applyFont="1" applyFill="1" applyBorder="1" applyAlignment="1">
      <x:alignment horizontal="general" vertical="center" wrapText="1"/>
    </x:xf>
    <x:xf numFmtId="164" fontId="8" fillId="18" borderId="3" xfId="0" applyNumberFormat="1" applyFont="1" applyFill="1" applyBorder="1" applyAlignment="1">
      <x:alignment horizontal="general" vertical="center" wrapText="1"/>
    </x:xf>
    <x:xf numFmtId="164" fontId="13" fillId="18" borderId="1" xfId="0" applyNumberFormat="1" applyFont="1" applyFill="1" applyBorder="1" applyAlignment="1">
      <x:alignment horizontal="general" vertical="top" wrapText="1"/>
    </x:xf>
    <x:xf numFmtId="164" fontId="13" fillId="18" borderId="3" xfId="0" applyNumberFormat="1" applyFont="1" applyFill="1" applyBorder="1" applyAlignment="1">
      <x:alignment horizontal="general" vertical="top" wrapText="1"/>
    </x:xf>
    <x:xf numFmtId="164" fontId="14" fillId="18" borderId="1" xfId="0" applyNumberFormat="1" applyFont="1" applyFill="1" applyBorder="1" applyAlignment="1">
      <x:alignment horizontal="general" vertical="top" wrapText="1"/>
    </x:xf>
    <x:xf numFmtId="164" fontId="14" fillId="18" borderId="3" xfId="0" applyNumberFormat="1" applyFont="1" applyFill="1" applyBorder="1" applyAlignment="1">
      <x:alignment horizontal="general" vertical="top" wrapText="1"/>
    </x:xf>
    <x:xf numFmtId="164" fontId="6" fillId="0" borderId="0" xfId="0" applyNumberFormat="1" applyFont="1" applyFill="1" applyBorder="1" applyAlignment="1">
      <x:alignment horizontal="general" vertical="center" wrapText="1"/>
    </x:xf>
    <x:xf numFmtId="164" fontId="8" fillId="29" borderId="0" xfId="0" applyNumberFormat="1" applyFont="1" applyFill="1" applyBorder="1" applyAlignment="1">
      <x:alignment horizontal="general" vertical="center" wrapText="1"/>
    </x:xf>
    <x:xf numFmtId="164" fontId="37" fillId="29" borderId="0" xfId="0" applyNumberFormat="1" applyFont="1" applyFill="1" applyBorder="1" applyAlignment="1">
      <x:alignment horizontal="general" vertical="center" wrapText="1"/>
    </x:xf>
    <x:xf numFmtId="164" fontId="37" fillId="29" borderId="0" xfId="0" applyNumberFormat="1" applyFont="1" applyFill="1" applyBorder="1" applyAlignment="1">
      <x:alignment horizontal="left" vertical="center" wrapText="1"/>
    </x:xf>
    <x:xf numFmtId="164" fontId="8" fillId="29" borderId="2" xfId="0" applyNumberFormat="1" applyFont="1" applyFill="1" applyBorder="1" applyAlignment="1">
      <x:alignment horizontal="general" vertical="center" wrapText="1"/>
    </x:xf>
    <x:xf numFmtId="164" fontId="37" fillId="29" borderId="2" xfId="0" applyNumberFormat="1" applyFont="1" applyFill="1" applyBorder="1" applyAlignment="1">
      <x:alignment horizontal="general" vertical="center" wrapText="1"/>
    </x:xf>
    <x:xf numFmtId="164" fontId="37" fillId="29" borderId="2" xfId="0" applyNumberFormat="1" applyFont="1" applyFill="1" applyBorder="1" applyAlignment="1">
      <x:alignment horizontal="left" vertical="center" wrapText="1"/>
    </x:xf>
    <x:xf numFmtId="164" fontId="8" fillId="18" borderId="0" xfId="0" applyNumberFormat="1" applyFont="1" applyFill="1" applyBorder="1" applyAlignment="1">
      <x:alignment horizontal="general" vertical="center" wrapText="1"/>
    </x:xf>
    <x:xf numFmtId="164" fontId="8" fillId="18" borderId="0" xfId="0" applyNumberFormat="1" applyFont="1" applyFill="1" applyBorder="1" applyAlignment="1">
      <x:alignment horizontal="general" vertical="top" wrapText="1"/>
    </x:xf>
    <x:xf numFmtId="164" fontId="8" fillId="18" borderId="2" xfId="0" applyNumberFormat="1" applyFont="1" applyFill="1" applyBorder="1" applyAlignment="1">
      <x:alignment horizontal="general" vertical="center" wrapText="1"/>
    </x:xf>
    <x:xf numFmtId="164" fontId="8" fillId="18" borderId="2" xfId="0" applyNumberFormat="1" applyFont="1" applyFill="1" applyBorder="1" applyAlignment="1">
      <x:alignment horizontal="general" vertical="top" wrapText="1"/>
    </x:xf>
    <x:xf numFmtId="164" fontId="8" fillId="0" borderId="1" xfId="0" applyNumberFormat="1" applyFont="1" applyFill="1" applyBorder="1" applyAlignment="1">
      <x:alignment horizontal="general" vertical="center" wrapText="1"/>
    </x:xf>
    <x:xf numFmtId="164" fontId="9" fillId="2" borderId="1" xfId="0" applyNumberFormat="1" applyFont="1" applyFill="1" applyBorder="1" applyAlignment="1">
      <x:alignment horizontal="center" vertical="center" wrapText="1"/>
    </x:xf>
    <x:xf numFmtId="164" fontId="9" fillId="3" borderId="1" xfId="0" applyNumberFormat="1" applyFont="1" applyFill="1" applyBorder="1" applyAlignment="1">
      <x:alignment horizontal="center" vertical="center" wrapText="1"/>
    </x:xf>
    <x:xf numFmtId="164" fontId="9" fillId="4" borderId="1" xfId="0" applyNumberFormat="1" applyFont="1" applyFill="1" applyBorder="1" applyAlignment="1">
      <x:alignment horizontal="center" vertical="center" wrapText="1"/>
    </x:xf>
    <x:xf numFmtId="170" fontId="9" fillId="2" borderId="1" xfId="0" applyNumberFormat="1" applyFont="1" applyFill="1" applyBorder="1" applyAlignment="1">
      <x:alignment horizontal="center" vertical="center" wrapText="1"/>
    </x:xf>
    <x:xf numFmtId="170" fontId="9" fillId="3" borderId="1" xfId="0" applyNumberFormat="1" applyFont="1" applyFill="1" applyBorder="1" applyAlignment="1">
      <x:alignment horizontal="center" vertical="center" wrapText="1"/>
    </x:xf>
    <x:xf numFmtId="170" fontId="9" fillId="4" borderId="1" xfId="0" applyNumberFormat="1" applyFont="1" applyFill="1" applyBorder="1" applyAlignment="1">
      <x:alignment horizontal="center" vertical="center" wrapText="1"/>
    </x:xf>
    <x:xf numFmtId="164" fontId="12" fillId="5" borderId="1" xfId="0" applyNumberFormat="1" applyFont="1" applyFill="1" applyBorder="1" applyAlignment="1">
      <x:alignment horizontal="general" vertical="top" wrapText="1"/>
    </x:xf>
    <x:xf numFmtId="164" fontId="8" fillId="6" borderId="1" xfId="0" applyNumberFormat="1" applyFont="1" applyFill="1" applyBorder="1" applyAlignment="1">
      <x:alignment horizontal="general" vertical="top" wrapText="1"/>
    </x:xf>
    <x:xf numFmtId="164" fontId="12" fillId="7" borderId="1" xfId="0" applyNumberFormat="1" applyFont="1" applyFill="1" applyBorder="1" applyAlignment="1">
      <x:alignment horizontal="general" vertical="top" wrapText="1"/>
    </x:xf>
    <x:xf numFmtId="164" fontId="12" fillId="8" borderId="1" xfId="0" applyNumberFormat="1" applyFont="1" applyFill="1" applyBorder="1" applyAlignment="1">
      <x:alignment horizontal="general" vertical="top" wrapText="1"/>
    </x:xf>
    <x:xf numFmtId="164" fontId="12" fillId="6" borderId="1" xfId="0" applyNumberFormat="1" applyFont="1" applyFill="1" applyBorder="1" applyAlignment="1">
      <x:alignment horizontal="general" vertical="top" wrapText="1"/>
    </x:xf>
    <x:xf numFmtId="164" fontId="8" fillId="8" borderId="1" xfId="0" applyNumberFormat="1" applyFont="1" applyFill="1" applyBorder="1" applyAlignment="1">
      <x:alignment horizontal="general" vertical="top" wrapText="1"/>
    </x:xf>
    <x:xf numFmtId="164" fontId="13" fillId="6" borderId="1" xfId="0" applyNumberFormat="1" applyFont="1" applyFill="1" applyBorder="1" applyAlignment="1">
      <x:alignment horizontal="general" vertical="top" wrapText="1"/>
    </x:xf>
    <x:xf numFmtId="164" fontId="12" fillId="2" borderId="1" xfId="0" applyNumberFormat="1" applyFont="1" applyFill="1" applyBorder="1" applyAlignment="1">
      <x:alignment horizontal="general" vertical="top" wrapText="1"/>
    </x:xf>
    <x:xf numFmtId="164" fontId="14" fillId="5" borderId="1" xfId="0" applyNumberFormat="1" applyFont="1" applyFill="1" applyBorder="1" applyAlignment="1">
      <x:alignment horizontal="general" vertical="top" wrapText="1"/>
    </x:xf>
    <x:xf numFmtId="164" fontId="8" fillId="5" borderId="1" xfId="0" applyNumberFormat="1" applyFont="1" applyFill="1" applyBorder="1" applyAlignment="1">
      <x:alignment horizontal="general" vertical="center" wrapText="1"/>
    </x:xf>
    <x:xf numFmtId="164" fontId="14" fillId="5" borderId="1" xfId="0" applyNumberFormat="1" applyFont="1" applyFill="1" applyBorder="1" applyAlignment="1">
      <x:alignment horizontal="general" vertical="center" wrapText="1"/>
    </x:xf>
    <x:xf numFmtId="164" fontId="8" fillId="0" borderId="0" xfId="0" applyNumberFormat="1" applyFont="1" applyFill="1" applyBorder="1" applyAlignment="1">
      <x:alignment horizontal="general" vertical="center" wrapText="1"/>
    </x:xf>
    <x:xf numFmtId="164" fontId="9" fillId="9" borderId="0" xfId="0" applyNumberFormat="1" applyFont="1" applyFill="1" applyBorder="1" applyAlignment="1">
      <x:alignment horizontal="general" vertical="center" wrapText="1"/>
    </x:xf>
    <x:xf numFmtId="171" fontId="8" fillId="0" borderId="0" xfId="0" applyNumberFormat="1" applyFont="1" applyFill="1" applyBorder="1" applyAlignment="1">
      <x:alignment horizontal="general" vertical="center" wrapText="1"/>
    </x:xf>
    <x:xf numFmtId="164" fontId="16" fillId="10" borderId="0" xfId="0" applyNumberFormat="1" applyFont="1" applyFill="1" applyBorder="1" applyAlignment="1">
      <x:alignment horizontal="general" vertical="center" wrapText="1"/>
    </x:xf>
    <x:xf numFmtId="164" fontId="19" fillId="11" borderId="0" xfId="0" applyNumberFormat="1" applyFont="1" applyFill="1" applyBorder="1" applyAlignment="1">
      <x:alignment horizontal="center" vertical="center" wrapText="1"/>
    </x:xf>
    <x:xf numFmtId="170" fontId="8" fillId="12" borderId="0" xfId="0" applyNumberFormat="1" applyFont="1" applyFill="1" applyBorder="1" applyAlignment="1">
      <x:alignment horizontal="general" vertical="center" wrapText="1"/>
    </x:xf>
    <x:xf numFmtId="172" fontId="8" fillId="12" borderId="0" xfId="0" applyNumberFormat="1" applyFont="1" applyFill="1" applyBorder="1" applyAlignment="1">
      <x:alignment horizontal="general" vertical="center" wrapText="1"/>
    </x:xf>
    <x:xf numFmtId="164" fontId="8" fillId="12" borderId="0" xfId="0" applyNumberFormat="1" applyFont="1" applyFill="1" applyBorder="1" applyAlignment="1">
      <x:alignment horizontal="general" vertical="center" wrapText="1"/>
    </x:xf>
    <x:xf numFmtId="170" fontId="8" fillId="6" borderId="0" xfId="0" applyNumberFormat="1" applyFont="1" applyFill="1" applyBorder="1" applyAlignment="1">
      <x:alignment horizontal="general" vertical="center" wrapText="1"/>
    </x:xf>
    <x:xf numFmtId="172" fontId="8" fillId="6" borderId="0" xfId="0" applyNumberFormat="1" applyFont="1" applyFill="1" applyBorder="1" applyAlignment="1">
      <x:alignment horizontal="general" vertical="center" wrapText="1"/>
    </x:xf>
    <x:xf numFmtId="164" fontId="8" fillId="6" borderId="0" xfId="0" applyNumberFormat="1" applyFont="1" applyFill="1" applyBorder="1" applyAlignment="1">
      <x:alignment horizontal="general" vertical="center" wrapText="1"/>
    </x:xf>
    <x:xf numFmtId="170" fontId="8" fillId="2" borderId="0" xfId="0" applyNumberFormat="1" applyFont="1" applyFill="1" applyBorder="1" applyAlignment="1">
      <x:alignment horizontal="general" vertical="center" wrapText="1"/>
    </x:xf>
    <x:xf numFmtId="172" fontId="8" fillId="2" borderId="0" xfId="0" applyNumberFormat="1" applyFont="1" applyFill="1" applyBorder="1" applyAlignment="1">
      <x:alignment horizontal="general" vertical="center" wrapText="1"/>
    </x:xf>
    <x:xf numFmtId="164" fontId="8" fillId="2" borderId="0" xfId="0" applyNumberFormat="1" applyFont="1" applyFill="1" applyBorder="1" applyAlignment="1">
      <x:alignment horizontal="general" vertical="center" wrapText="1"/>
    </x:xf>
    <x:xf numFmtId="170" fontId="8" fillId="8" borderId="0" xfId="0" applyNumberFormat="1" applyFont="1" applyFill="1" applyBorder="1" applyAlignment="1">
      <x:alignment horizontal="general" vertical="center" wrapText="1"/>
    </x:xf>
    <x:xf numFmtId="172" fontId="8" fillId="8" borderId="0" xfId="0" applyNumberFormat="1" applyFont="1" applyFill="1" applyBorder="1" applyAlignment="1">
      <x:alignment horizontal="general" vertical="center" wrapText="1"/>
    </x:xf>
    <x:xf numFmtId="164" fontId="8" fillId="8" borderId="0" xfId="0" applyNumberFormat="1" applyFont="1" applyFill="1" applyBorder="1" applyAlignment="1">
      <x:alignment horizontal="general" vertical="center" wrapText="1"/>
    </x:xf>
    <x:xf numFmtId="170" fontId="8" fillId="5" borderId="0" xfId="0" applyNumberFormat="1" applyFont="1" applyFill="1" applyBorder="1" applyAlignment="1">
      <x:alignment horizontal="general" vertical="center" wrapText="1"/>
    </x:xf>
    <x:xf numFmtId="172" fontId="8" fillId="5" borderId="0" xfId="0" applyNumberFormat="1" applyFont="1" applyFill="1" applyBorder="1" applyAlignment="1">
      <x:alignment horizontal="general" vertical="center" wrapText="1"/>
    </x:xf>
    <x:xf numFmtId="164" fontId="8" fillId="5" borderId="0" xfId="0" applyNumberFormat="1" applyFont="1" applyFill="1" applyBorder="1" applyAlignment="1">
      <x:alignment horizontal="general" vertical="center" wrapText="1"/>
    </x:xf>
    <x:xf numFmtId="164" fontId="8" fillId="13" borderId="0" xfId="0" applyNumberFormat="1" applyFont="1" applyFill="1" applyBorder="1" applyAlignment="1">
      <x:alignment horizontal="general" vertical="center" wrapText="1"/>
    </x:xf>
    <x:xf numFmtId="164" fontId="20" fillId="14" borderId="0" xfId="0" applyNumberFormat="1" applyFont="1" applyFill="1" applyBorder="1" applyAlignment="1">
      <x:alignment horizontal="general" vertical="center" wrapText="1"/>
    </x:xf>
    <x:xf numFmtId="164" fontId="22" fillId="15" borderId="0" xfId="0" applyNumberFormat="1" applyFont="1" applyFill="1" applyBorder="1" applyAlignment="1">
      <x:alignment horizontal="general" vertical="center" wrapText="1"/>
    </x:xf>
    <x:xf numFmtId="164" fontId="24" fillId="3" borderId="0" xfId="0" applyNumberFormat="1" applyFont="1" applyFill="1" applyBorder="1" applyAlignment="1">
      <x:alignment horizontal="general" vertical="top" wrapText="1"/>
    </x:xf>
    <x:xf numFmtId="174" fontId="24" fillId="0" borderId="0" xfId="0" applyNumberFormat="1" applyFont="1" applyFill="1" applyBorder="1" applyAlignment="1">
      <x:alignment horizontal="general" vertical="top" wrapText="1"/>
    </x:xf>
    <x:xf numFmtId="171" fontId="24" fillId="0" borderId="0" xfId="0" applyNumberFormat="1" applyFont="1" applyFill="1" applyBorder="1" applyAlignment="1">
      <x:alignment horizontal="general" vertical="top" wrapText="1"/>
    </x:xf>
    <x:xf numFmtId="164" fontId="30" fillId="0" borderId="0" xfId="0" applyNumberFormat="1" applyFont="1" applyFill="1" applyBorder="1" applyAlignment="1">
      <x:alignment horizontal="general" vertical="top" wrapText="1"/>
    </x:xf>
    <x:xf numFmtId="164" fontId="24" fillId="4" borderId="0" xfId="0" applyNumberFormat="1" applyFont="1" applyFill="1" applyBorder="1" applyAlignment="1">
      <x:alignment horizontal="general" vertical="top" wrapText="1"/>
    </x:xf>
    <x:xf numFmtId="164" fontId="31" fillId="0" borderId="0" xfId="0" applyNumberFormat="1" applyFont="1" applyFill="1" applyBorder="1" applyAlignment="1">
      <x:alignment horizontal="general" vertical="top" wrapText="1"/>
    </x:xf>
    <x:xf numFmtId="174" fontId="19" fillId="14" borderId="0" xfId="0" applyNumberFormat="1" applyFont="1" applyFill="1" applyBorder="1" applyAlignment="1">
      <x:alignment horizontal="general" vertical="top" wrapText="1"/>
    </x:xf>
    <x:xf numFmtId="164" fontId="32" fillId="14" borderId="0" xfId="0" applyNumberFormat="1" applyFont="1" applyFill="1" applyBorder="1" applyAlignment="1">
      <x:alignment horizontal="general" vertical="top" wrapText="1"/>
    </x:xf>
    <x:xf numFmtId="175" fontId="24" fillId="0" borderId="0" xfId="0" applyNumberFormat="1" applyFont="1" applyFill="1" applyBorder="1" applyAlignment="1">
      <x:alignment horizontal="general" vertical="top" wrapText="1"/>
    </x:xf>
    <x:xf numFmtId="164" fontId="33" fillId="6" borderId="0" xfId="0" applyNumberFormat="1" applyFont="1" applyFill="1" applyBorder="1" applyAlignment="1">
      <x:alignment horizontal="general" vertical="bottom" wrapText="0"/>
    </x:xf>
    <x:xf numFmtId="164" fontId="34" fillId="0" borderId="0" xfId="0" applyNumberFormat="1" applyFont="1" applyFill="1" applyBorder="1" applyAlignment="1">
      <x:alignment horizontal="general" vertical="bottom" wrapText="1"/>
    </x:xf>
    <x:xf numFmtId="164" fontId="22" fillId="8" borderId="0" xfId="0" applyNumberFormat="1" applyFont="1" applyFill="1" applyBorder="1" applyAlignment="1">
      <x:alignment horizontal="general" vertical="center" wrapText="1"/>
    </x:xf>
    <x:xf numFmtId="164" fontId="35" fillId="0" borderId="0" xfId="0" applyNumberFormat="1" applyFont="1" applyFill="1" applyBorder="1" applyAlignment="1">
      <x:alignment horizontal="general" vertical="top" wrapText="1"/>
    </x:xf>
    <x:xf numFmtId="164" fontId="36" fillId="0" borderId="0" xfId="0" applyNumberFormat="1" applyFont="1" applyFill="1" applyBorder="1" applyAlignment="1">
      <x:alignment horizontal="general" vertical="bottom" wrapText="1"/>
    </x:xf>
    <x:xf numFmtId="164" fontId="24" fillId="8" borderId="0" xfId="0" applyNumberFormat="1" applyFont="1" applyFill="1" applyBorder="1" applyAlignment="1">
      <x:alignment horizontal="general" vertical="top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39" fillId="8" borderId="0" xfId="0" applyNumberFormat="1" applyFont="1" applyFill="1" applyBorder="1" applyAlignment="1">
      <x:alignment horizontal="general" vertical="center" wrapText="1"/>
    </x:xf>
    <x:xf numFmtId="164" fontId="40" fillId="8" borderId="0" xfId="0" applyNumberFormat="1" applyFont="1" applyFill="1" applyBorder="1" applyAlignment="1">
      <x:alignment horizontal="general" vertical="bottom" wrapText="0"/>
    </x:xf>
    <x:xf numFmtId="164" fontId="40" fillId="8" borderId="0" xfId="0" applyNumberFormat="1" applyFont="1" applyFill="1" applyBorder="1" applyAlignment="1">
      <x:alignment horizontal="general" vertical="bottom" wrapText="1"/>
    </x:xf>
    <x:xf numFmtId="164" fontId="40" fillId="8" borderId="0" xfId="0" applyNumberFormat="1" applyFont="1" applyFill="1" applyBorder="1" applyAlignment="1">
      <x:alignment horizontal="general" vertical="center" wrapText="1"/>
    </x:xf>
    <x:xf numFmtId="171" fontId="26" fillId="15" borderId="0" xfId="0" applyNumberFormat="1" applyFont="1" applyFill="1" applyBorder="1" applyAlignment="1">
      <x:alignment horizontal="general" vertical="center" wrapText="1"/>
    </x:xf>
    <x:xf numFmtId="200" fontId="26" fillId="15" borderId="0" xfId="0" applyNumberFormat="1" applyFont="1" applyFill="1" applyBorder="1" applyAlignment="1">
      <x:alignment horizontal="general" vertical="center" wrapText="1"/>
    </x:xf>
    <x:xf numFmtId="164" fontId="26" fillId="15" borderId="0" xfId="0" applyNumberFormat="1" applyFont="1" applyFill="1" applyBorder="1" applyAlignment="1">
      <x:alignment horizontal="general" vertical="center" wrapText="1"/>
    </x:xf>
    <x:xf numFmtId="200" fontId="19" fillId="15" borderId="0" xfId="0" applyNumberFormat="1" applyFont="1" applyFill="1" applyBorder="1" applyAlignment="1">
      <x:alignment horizontal="general" vertical="top" wrapText="1"/>
    </x:xf>
    <x:xf numFmtId="200" fontId="26" fillId="15" borderId="0" xfId="0" applyNumberFormat="1" applyFont="1" applyFill="1" applyBorder="1" applyAlignment="1">
      <x:alignment horizontal="general" vertical="top" wrapText="1"/>
    </x:xf>
    <x:xf numFmtId="164" fontId="0" fillId="15" borderId="0" xfId="0" applyNumberFormat="1" applyFont="1" applyFill="1" applyBorder="1" applyAlignment="1">
      <x:alignment horizontal="general" vertical="top" wrapText="1"/>
    </x:xf>
    <x:xf numFmtId="164" fontId="43" fillId="15" borderId="0" xfId="0" applyNumberFormat="1" applyFont="1" applyFill="1" applyBorder="1" applyAlignment="1">
      <x:alignment horizontal="general" vertical="top" wrapText="1"/>
    </x:xf>
    <x:xf numFmtId="164" fontId="0" fillId="8" borderId="0" xfId="0" applyNumberFormat="1" applyFont="1" applyFill="1" applyBorder="1" applyAlignment="1">
      <x:alignment horizontal="general" vertical="bottom" wrapText="1"/>
    </x:xf>
    <x:xf numFmtId="164" fontId="8" fillId="8" borderId="1" xfId="0" applyNumberFormat="1" applyFont="1" applyFill="1" applyBorder="1" applyAlignment="1">
      <x:alignment horizontal="general" vertical="center" wrapText="1"/>
    </x:xf>
    <x:xf numFmtId="164" fontId="13" fillId="8" borderId="1" xfId="0" applyNumberFormat="1" applyFont="1" applyFill="1" applyBorder="1" applyAlignment="1">
      <x:alignment horizontal="general" vertical="top" wrapText="1"/>
    </x:xf>
    <x:xf numFmtId="164" fontId="14" fillId="8" borderId="1" xfId="0" applyNumberFormat="1" applyFont="1" applyFill="1" applyBorder="1" applyAlignment="1">
      <x:alignment horizontal="general" vertical="top" wrapText="1"/>
    </x:xf>
    <x:xf numFmtId="164" fontId="8" fillId="8" borderId="0" xfId="0" applyNumberFormat="1" applyFont="1" applyFill="1" applyBorder="1" applyAlignment="1">
      <x:alignment horizontal="general" vertical="top" wrapText="1"/>
    </x:xf>
    <x:xf numFmtId="164" fontId="0" fillId="30" borderId="0" xfId="0" applyNumberFormat="1" applyFont="1" applyFill="1" applyBorder="1" applyAlignment="1">
      <x:alignment horizontal="general" vertical="bottom" wrapText="0"/>
    </x:xf>
    <x:xf numFmtId="164" fontId="44" fillId="30" borderId="0" xfId="0" applyNumberFormat="1" applyFont="1" applyFill="1" applyBorder="1" applyAlignment="1">
      <x:alignment horizontal="general" vertical="bottom" wrapText="0"/>
    </x:xf>
    <x:xf numFmtId="164" fontId="0" fillId="31" borderId="0" xfId="0" applyNumberFormat="1" applyFont="1" applyFill="1" applyBorder="1" applyAlignment="1">
      <x:alignment horizontal="general" vertical="bottom" wrapText="0"/>
    </x:xf>
    <x:xf numFmtId="164" fontId="45" fillId="31" borderId="0" xfId="0" applyNumberFormat="1" applyFont="1" applyFill="1" applyBorder="1" applyAlignment="1">
      <x:alignment horizontal="general" vertical="bottom" wrapText="0"/>
    </x:xf>
    <x:xf numFmtId="164" fontId="0" fillId="32" borderId="0" xfId="0" applyNumberFormat="1" applyFont="1" applyFill="1" applyBorder="1" applyAlignment="1">
      <x:alignment horizontal="general" vertical="bottom" wrapText="0"/>
    </x:xf>
    <x:xf numFmtId="164" fontId="46" fillId="32" borderId="0" xfId="0" applyNumberFormat="1" applyFont="1" applyFill="1" applyBorder="1" applyAlignment="1">
      <x:alignment horizontal="general" vertical="bottom" wrapText="0"/>
    </x:xf>
    <x:xf numFmtId="164" fontId="44" fillId="30" borderId="0" xfId="0" applyNumberFormat="1" applyFont="1" applyFill="1" applyBorder="1" applyAlignment="1">
      <x:alignment horizontal="general" vertical="bottom" wrapText="1"/>
    </x:xf>
    <x:xf numFmtId="164" fontId="45" fillId="31" borderId="0" xfId="0" applyNumberFormat="1" applyFont="1" applyFill="1" applyBorder="1" applyAlignment="1">
      <x:alignment horizontal="general" vertical="bottom" wrapText="1"/>
    </x:xf>
    <x:xf numFmtId="164" fontId="46" fillId="32" borderId="0" xfId="0" applyNumberFormat="1" applyFont="1" applyFill="1" applyBorder="1" applyAlignment="1">
      <x:alignment horizontal="general" vertical="bottom" wrapText="1"/>
    </x:xf>
    <x:xf numFmtId="164" fontId="0" fillId="33" borderId="0" xfId="0" applyNumberFormat="1" applyFont="1" applyFill="1" applyBorder="1" applyAlignment="1">
      <x:alignment horizontal="general" vertical="bottom" wrapText="0"/>
    </x:xf>
    <x:xf numFmtId="164" fontId="38" fillId="33" borderId="0" xfId="0" applyNumberFormat="1" applyFont="1" applyFill="1" applyBorder="1" applyAlignment="1">
      <x:alignment horizontal="general" vertical="bottom" wrapText="0"/>
    </x:xf>
    <x:xf numFmtId="164" fontId="38" fillId="33" borderId="0" xfId="0" applyNumberFormat="1" applyFont="1" applyFill="1" applyBorder="1" applyAlignment="1">
      <x:alignment horizontal="center" vertical="bottom" wrapText="0"/>
    </x:xf>
    <x:xf numFmtId="164" fontId="38" fillId="33" borderId="0" xfId="0" applyNumberFormat="1" applyFont="1" applyFill="1" applyBorder="1" applyAlignment="1">
      <x:alignment horizontal="center" vertical="center" wrapText="0"/>
    </x:xf>
    <x:xf numFmtId="164" fontId="0" fillId="34" borderId="0" xfId="0" applyNumberFormat="1" applyFont="1" applyFill="1" applyBorder="1" applyAlignment="1">
      <x:alignment horizontal="general" vertical="bottom" wrapText="0"/>
    </x:xf>
    <x:xf numFmtId="164" fontId="0" fillId="34" borderId="0" xfId="0" applyNumberFormat="1" applyFont="1" applyFill="1" applyBorder="1" applyAlignment="1">
      <x:alignment horizontal="general" vertical="bottom" wrapText="1"/>
    </x:xf>
    <x:xf numFmtId="164" fontId="0" fillId="35" borderId="0" xfId="0" applyNumberFormat="1" applyFont="1" applyFill="1" applyBorder="1" applyAlignment="1">
      <x:alignment horizontal="general" vertical="bottom" wrapText="0"/>
    </x:xf>
    <x:xf numFmtId="164" fontId="42" fillId="35" borderId="0" xfId="0" applyNumberFormat="1" applyFont="1" applyFill="1" applyBorder="1" applyAlignment="1">
      <x:alignment horizontal="general" vertical="bottom" wrapText="0"/>
    </x:xf>
    <x:xf numFmtId="164" fontId="42" fillId="35" borderId="0" xfId="0" applyNumberFormat="1" applyFont="1" applyFill="1" applyBorder="1" applyAlignment="1">
      <x:alignment horizontal="center" vertical="bottom" wrapText="0"/>
    </x:xf>
    <x:xf numFmtId="164" fontId="0" fillId="30" borderId="0" xfId="0" applyNumberFormat="1" applyFont="1" applyFill="1" applyBorder="1" applyAlignment="1">
      <x:alignment horizontal="general" vertical="bottom" wrapText="1"/>
    </x:xf>
    <x:xf numFmtId="164" fontId="0" fillId="31" borderId="0" xfId="0" applyNumberFormat="1" applyFont="1" applyFill="1" applyBorder="1" applyAlignment="1">
      <x:alignment horizontal="general" vertical="bottom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44" fillId="6" borderId="0" xfId="0" applyNumberFormat="1" applyFont="1" applyFill="1" applyBorder="1" applyAlignment="1">
      <x:alignment horizontal="general" vertical="bottom" wrapText="0"/>
    </x:xf>
    <x:xf numFmtId="164" fontId="0" fillId="15" borderId="0" xfId="0" applyNumberFormat="1" applyFont="1" applyFill="1" applyBorder="1" applyAlignment="1">
      <x:alignment horizontal="general" vertical="bottom" wrapText="0"/>
    </x:xf>
    <x:xf numFmtId="164" fontId="45" fillId="15" borderId="0" xfId="0" applyNumberFormat="1" applyFont="1" applyFill="1" applyBorder="1" applyAlignment="1">
      <x:alignment horizontal="general" vertical="bottom" wrapText="0"/>
    </x:xf>
    <x:xf numFmtId="164" fontId="46" fillId="27" borderId="0" xfId="0" applyNumberFormat="1" applyFont="1" applyFill="1" applyBorder="1" applyAlignment="1">
      <x:alignment horizontal="general" vertical="bottom" wrapText="0"/>
    </x:xf>
    <x:xf numFmtId="164" fontId="44" fillId="6" borderId="0" xfId="0" applyNumberFormat="1" applyFont="1" applyFill="1" applyBorder="1" applyAlignment="1">
      <x:alignment horizontal="general" vertical="bottom" wrapText="1"/>
    </x:xf>
    <x:xf numFmtId="164" fontId="45" fillId="15" borderId="0" xfId="0" applyNumberFormat="1" applyFont="1" applyFill="1" applyBorder="1" applyAlignment="1">
      <x:alignment horizontal="general" vertical="bottom" wrapText="1"/>
    </x:xf>
    <x:xf numFmtId="164" fontId="46" fillId="27" borderId="0" xfId="0" applyNumberFormat="1" applyFont="1" applyFill="1" applyBorder="1" applyAlignment="1">
      <x:alignment horizontal="general" vertical="bottom" wrapText="1"/>
    </x:xf>
    <x:xf numFmtId="164" fontId="0" fillId="29" borderId="0" xfId="0" applyNumberFormat="1" applyFont="1" applyFill="1" applyBorder="1" applyAlignment="1">
      <x:alignment horizontal="general" vertical="bottom" wrapText="0"/>
    </x:xf>
    <x:xf numFmtId="164" fontId="42" fillId="29" borderId="0" xfId="0" applyNumberFormat="1" applyFont="1" applyFill="1" applyBorder="1" applyAlignment="1">
      <x:alignment horizontal="general" vertical="bottom" wrapText="0"/>
    </x:xf>
    <x:xf numFmtId="164" fontId="42" fillId="29" borderId="0" xfId="0" applyNumberFormat="1" applyFont="1" applyFill="1" applyBorder="1" applyAlignment="1">
      <x:alignment horizontal="center" vertical="bottom" wrapText="0"/>
    </x:xf>
    <x:xf numFmtId="164" fontId="0" fillId="6" borderId="0" xfId="0" applyNumberFormat="1" applyFont="1" applyFill="1" applyBorder="1" applyAlignment="1">
      <x:alignment horizontal="general" vertical="bottom" wrapText="1"/>
    </x:xf>
    <x:xf numFmtId="164" fontId="0" fillId="15" borderId="0" xfId="0" applyNumberFormat="1" applyFont="1" applyFill="1" applyBorder="1" applyAlignment="1">
      <x:alignment horizontal="general" vertical="bottom" wrapText="1"/>
    </x:xf>
    <x:xf numFmtId="164" fontId="42" fillId="36" borderId="0" xfId="0" applyNumberFormat="1" applyFont="1" applyFill="1" applyBorder="1" applyAlignment="1">
      <x:alignment horizontal="center" vertical="center" wrapText="1"/>
    </x:xf>
    <x:xf numFmtId="164" fontId="0" fillId="36" borderId="0" xfId="0" applyNumberFormat="1" applyFont="1" applyFill="1" applyBorder="1" applyAlignment="1">
      <x:alignment horizontal="general" vertical="bottom" wrapText="1"/>
    </x:xf>
    <x:xf numFmtId="164" fontId="0" fillId="36" borderId="0" xfId="0" applyNumberFormat="1" applyFont="1" applyFill="1" applyBorder="1" applyAlignment="1">
      <x:alignment horizontal="general" vertical="bottom" wrapText="0"/>
    </x:xf>
    <x:xf numFmtId="164" fontId="42" fillId="36" borderId="0" xfId="0" applyNumberFormat="1" applyFont="1" applyFill="1" applyBorder="1" applyAlignment="1">
      <x:alignment horizontal="general" vertical="bottom" wrapText="1"/>
    </x:xf>
    <x:xf numFmtId="164" fontId="42" fillId="36" borderId="0" xfId="0" applyNumberFormat="1" applyFont="1" applyFill="1" applyBorder="1" applyAlignment="1">
      <x:alignment horizontal="general" vertical="bottom" wrapText="0"/>
    </x:xf>
    <x:xf numFmtId="164" fontId="42" fillId="36" borderId="0" xfId="0" applyNumberFormat="1" applyFont="1" applyFill="1" applyBorder="1" applyAlignment="1">
      <x:alignment horizontal="center" vertical="bottom" wrapText="1"/>
    </x:xf>
    <x:xf numFmtId="164" fontId="44" fillId="6" borderId="0" xfId="0" applyNumberFormat="1" applyFont="1" applyFill="1" applyBorder="1" applyAlignment="1">
      <x:alignment horizontal="general" vertical="top" wrapText="1"/>
    </x:xf>
    <x:xf numFmtId="164" fontId="45" fillId="15" borderId="0" xfId="0" applyNumberFormat="1" applyFont="1" applyFill="1" applyBorder="1" applyAlignment="1">
      <x:alignment horizontal="general" vertical="top" wrapText="1"/>
    </x:xf>
    <x:xf numFmtId="164" fontId="46" fillId="27" borderId="0" xfId="0" applyNumberFormat="1" applyFont="1" applyFill="1" applyBorder="1" applyAlignment="1">
      <x:alignment horizontal="general" vertical="top" wrapText="1"/>
    </x:xf>
    <x:xf numFmtId="164" fontId="47" fillId="0" borderId="0" xfId="0" applyNumberFormat="1" applyFont="1" applyFill="1" applyBorder="1" applyAlignment="1">
      <x:alignment horizontal="general" vertical="top" wrapText="1"/>
    </x:xf>
    <x:xf numFmtId="164" fontId="48" fillId="0" borderId="0" xfId="0" applyNumberFormat="1" applyFont="1" applyFill="1" applyBorder="1" applyAlignment="1">
      <x:alignment horizontal="general" vertical="top" wrapText="1"/>
    </x:xf>
    <x:xf numFmtId="164" fontId="46" fillId="0" borderId="0" xfId="0" applyNumberFormat="1" applyFont="1" applyFill="1" applyBorder="1" applyAlignment="1">
      <x:alignment horizontal="general" vertical="top" wrapText="1"/>
    </x:xf>
    <x:xf numFmtId="164" fontId="38" fillId="37" borderId="0" xfId="0" applyNumberFormat="1" applyFont="1" applyFill="1" applyBorder="1" applyAlignment="1">
      <x:alignment horizontal="center" vertical="center" wrapText="0"/>
    </x:xf>
    <x:xf numFmtId="164" fontId="0" fillId="37" borderId="0" xfId="0" applyNumberFormat="1" applyFont="1" applyFill="1" applyBorder="1" applyAlignment="1">
      <x:alignment horizontal="general" vertical="bottom" wrapText="0"/>
    </x:xf>
    <x:xf numFmtId="164" fontId="38" fillId="37" borderId="0" xfId="0" applyNumberFormat="1" applyFont="1" applyFill="1" applyBorder="1" applyAlignment="1">
      <x:alignment horizontal="general" vertical="bottom" wrapText="0"/>
    </x:xf>
    <x:xf numFmtId="164" fontId="38" fillId="37" borderId="0" xfId="0" applyNumberFormat="1" applyFont="1" applyFill="1" applyBorder="1" applyAlignment="1">
      <x:alignment horizontal="center" vertical="bottom" wrapText="0"/>
    </x:xf>
    <x:xf numFmtId="164" fontId="0" fillId="38" borderId="0" xfId="0" applyNumberFormat="1" applyFont="1" applyFill="1" applyBorder="1" applyAlignment="1">
      <x:alignment horizontal="general" vertical="bottom" wrapText="1"/>
    </x:xf>
    <x:xf numFmtId="164" fontId="0" fillId="38" borderId="0" xfId="0" applyNumberFormat="1" applyFont="1" applyFill="1" applyBorder="1" applyAlignment="1">
      <x:alignment horizontal="general" vertical="bottom" wrapText="0"/>
    </x:xf>
    <x:xf numFmtId="164" fontId="49" fillId="38" borderId="0" xfId="0" applyNumberFormat="1" applyFont="1" applyFill="1" applyBorder="1" applyAlignment="1">
      <x:alignment horizontal="general" vertical="bottom" wrapText="1"/>
    </x:xf>
    <x:xf numFmtId="164" fontId="49" fillId="38" borderId="0" xfId="0" applyNumberFormat="1" applyFont="1" applyFill="1" applyBorder="1" applyAlignment="1">
      <x:alignment horizontal="general" vertical="bottom" wrapText="0"/>
    </x:xf>
    <x:xf numFmtId="164" fontId="49" fillId="38" borderId="0" xfId="0" applyNumberFormat="1" applyFont="1" applyFill="1" applyBorder="1" applyAlignment="1">
      <x:alignment horizontal="general" vertical="center" wrapText="1"/>
    </x:xf>
    <x:xf numFmtId="164" fontId="42" fillId="36" borderId="0" xfId="0" applyNumberFormat="1" applyFont="1" applyFill="1" applyBorder="1" applyAlignment="1">
      <x:alignment horizontal="center" vertical="bottom" wrapText="0"/>
    </x:xf>
    <x:xf numFmtId="164" fontId="44" fillId="39" borderId="0" xfId="0" applyNumberFormat="1" applyFont="1" applyFill="1" applyBorder="1" applyAlignment="1">
      <x:alignment horizontal="general" vertical="top" wrapText="1"/>
    </x:xf>
    <x:xf numFmtId="164" fontId="45" fillId="39" borderId="0" xfId="0" applyNumberFormat="1" applyFont="1" applyFill="1" applyBorder="1" applyAlignment="1">
      <x:alignment horizontal="general" vertical="top" wrapText="1"/>
    </x:xf>
    <x:xf numFmtId="164" fontId="45" fillId="40" borderId="0" xfId="0" applyNumberFormat="1" applyFont="1" applyFill="1" applyBorder="1" applyAlignment="1">
      <x:alignment horizontal="general" vertical="top" wrapText="1"/>
    </x:xf>
    <x:xf numFmtId="164" fontId="44" fillId="40" borderId="0" xfId="0" applyNumberFormat="1" applyFont="1" applyFill="1" applyBorder="1" applyAlignment="1">
      <x:alignment horizontal="general" vertical="top" wrapText="1"/>
    </x:xf>
    <x:xf numFmtId="164" fontId="45" fillId="41" borderId="0" xfId="0" applyNumberFormat="1" applyFont="1" applyFill="1" applyBorder="1" applyAlignment="1">
      <x:alignment horizontal="general" vertical="top" wrapText="1"/>
    </x:xf>
    <x:xf numFmtId="164" fontId="50" fillId="41" borderId="0" xfId="0" applyNumberFormat="1" applyFont="1" applyFill="1" applyBorder="1" applyAlignment="1">
      <x:alignment horizontal="general" vertical="top" wrapText="1"/>
    </x:xf>
    <x:xf numFmtId="164" fontId="44" fillId="41" borderId="0" xfId="0" applyNumberFormat="1" applyFont="1" applyFill="1" applyBorder="1" applyAlignment="1">
      <x:alignment horizontal="general" vertical="top" wrapText="1"/>
    </x:xf>
    <x:xf numFmtId="164" fontId="0" fillId="37" borderId="0" xfId="0" applyNumberFormat="1" applyFont="1" applyFill="1" applyBorder="1" applyAlignment="1">
      <x:alignment horizontal="general" vertical="bottom" wrapText="1"/>
    </x:xf>
    <x:xf numFmtId="164" fontId="45" fillId="37" borderId="0" xfId="0" applyNumberFormat="1" applyFont="1" applyFill="1" applyBorder="1" applyAlignment="1">
      <x:alignment horizontal="general" vertical="bottom" wrapText="1"/>
    </x:xf>
    <x:xf numFmtId="164" fontId="51" fillId="37" borderId="0" xfId="0" applyNumberFormat="1" applyFont="1" applyFill="1" applyBorder="1" applyAlignment="1">
      <x:alignment horizontal="general" vertical="bottom" wrapText="1"/>
    </x:xf>
    <x:xf numFmtId="164" fontId="51" fillId="37" borderId="0" xfId="0" applyNumberFormat="1" applyFont="1" applyFill="1" applyBorder="1" applyAlignment="1">
      <x:alignment horizontal="center" vertical="bottom" wrapText="1"/>
    </x:xf>
    <x:xf numFmtId="164" fontId="45" fillId="36" borderId="0" xfId="0" applyNumberFormat="1" applyFont="1" applyFill="1" applyBorder="1" applyAlignment="1">
      <x:alignment horizontal="general" vertical="bottom" wrapText="1"/>
    </x:xf>
    <x:xf numFmtId="164" fontId="42" fillId="29" borderId="0" xfId="0" applyNumberFormat="1" applyFont="1" applyFill="1" applyBorder="1" applyAlignment="1">
      <x:alignment horizontal="center" vertical="center" wrapText="1"/>
    </x:xf>
    <x:xf numFmtId="164" fontId="0" fillId="29" borderId="0" xfId="0" applyNumberFormat="1" applyFont="1" applyFill="1" applyBorder="1" applyAlignment="1">
      <x:alignment horizontal="general" vertical="bottom" wrapText="1"/>
    </x:xf>
    <x:xf numFmtId="164" fontId="42" fillId="29" borderId="0" xfId="0" applyNumberFormat="1" applyFont="1" applyFill="1" applyBorder="1" applyAlignment="1">
      <x:alignment horizontal="general" vertical="bottom" wrapText="1"/>
    </x:xf>
    <x:xf numFmtId="164" fontId="42" fillId="29" borderId="0" xfId="0" applyNumberFormat="1" applyFont="1" applyFill="1" applyBorder="1" applyAlignment="1">
      <x:alignment horizontal="center" vertical="bottom" wrapText="1"/>
    </x:xf>
    <x:xf numFmtId="164" fontId="49" fillId="8" borderId="0" xfId="0" applyNumberFormat="1" applyFont="1" applyFill="1" applyBorder="1" applyAlignment="1">
      <x:alignment horizontal="general" vertical="bottom" wrapText="1"/>
    </x:xf>
    <x:xf numFmtId="164" fontId="49" fillId="8" borderId="0" xfId="0" applyNumberFormat="1" applyFont="1" applyFill="1" applyBorder="1" applyAlignment="1">
      <x:alignment horizontal="general" vertical="bottom" wrapText="0"/>
    </x:xf>
    <x:xf numFmtId="164" fontId="49" fillId="8" borderId="0" xfId="0" applyNumberFormat="1" applyFont="1" applyFill="1" applyBorder="1" applyAlignment="1">
      <x:alignment horizontal="general" vertical="center" wrapText="1"/>
    </x:xf>
    <x:xf numFmtId="164" fontId="45" fillId="6" borderId="0" xfId="0" applyNumberFormat="1" applyFont="1" applyFill="1" applyBorder="1" applyAlignment="1">
      <x:alignment horizontal="general" vertical="top" wrapText="1"/>
    </x:xf>
    <x:xf numFmtId="164" fontId="44" fillId="15" borderId="0" xfId="0" applyNumberFormat="1" applyFont="1" applyFill="1" applyBorder="1" applyAlignment="1">
      <x:alignment horizontal="general" vertical="top" wrapText="1"/>
    </x:xf>
    <x:xf numFmtId="164" fontId="45" fillId="27" borderId="0" xfId="0" applyNumberFormat="1" applyFont="1" applyFill="1" applyBorder="1" applyAlignment="1">
      <x:alignment horizontal="general" vertical="top" wrapText="1"/>
    </x:xf>
    <x:xf numFmtId="164" fontId="50" fillId="27" borderId="0" xfId="0" applyNumberFormat="1" applyFont="1" applyFill="1" applyBorder="1" applyAlignment="1">
      <x:alignment horizontal="general" vertical="top" wrapText="1"/>
    </x:xf>
    <x:xf numFmtId="164" fontId="44" fillId="27" borderId="0" xfId="0" applyNumberFormat="1" applyFont="1" applyFill="1" applyBorder="1" applyAlignment="1">
      <x:alignment horizontal="general" vertical="top" wrapText="1"/>
    </x:xf>
    <x:xf numFmtId="164" fontId="0" fillId="33" borderId="0" xfId="0" applyNumberFormat="1" applyFont="1" applyFill="1" applyBorder="1" applyAlignment="1">
      <x:alignment horizontal="general" vertical="bottom" wrapText="1"/>
    </x:xf>
    <x:xf numFmtId="164" fontId="45" fillId="33" borderId="0" xfId="0" applyNumberFormat="1" applyFont="1" applyFill="1" applyBorder="1" applyAlignment="1">
      <x:alignment horizontal="general" vertical="bottom" wrapText="1"/>
    </x:xf>
    <x:xf numFmtId="164" fontId="51" fillId="33" borderId="0" xfId="0" applyNumberFormat="1" applyFont="1" applyFill="1" applyBorder="1" applyAlignment="1">
      <x:alignment horizontal="general" vertical="bottom" wrapText="1"/>
    </x:xf>
    <x:xf numFmtId="164" fontId="51" fillId="33" borderId="0" xfId="0" applyNumberFormat="1" applyFont="1" applyFill="1" applyBorder="1" applyAlignment="1">
      <x:alignment horizontal="center" vertical="bottom" wrapText="1"/>
    </x:xf>
    <x:xf numFmtId="164" fontId="45" fillId="29" borderId="0" xfId="0" applyNumberFormat="1" applyFont="1" applyFill="1" applyBorder="1" applyAlignment="1">
      <x:alignment horizontal="general" vertical="bottom" wrapText="1"/>
    </x:xf>
    <x:xf numFmtId="164" fontId="38" fillId="42" borderId="0" xfId="0" applyNumberFormat="1" applyFont="1" applyFill="1" applyBorder="1" applyAlignment="1">
      <x:alignment horizontal="left" vertical="center" wrapText="1"/>
    </x:xf>
    <x:xf numFmtId="164" fontId="0" fillId="42" borderId="0" xfId="0" applyNumberFormat="1" applyFont="1" applyFill="1" applyBorder="1" applyAlignment="1">
      <x:alignment horizontal="general" vertical="bottom" wrapText="0"/>
    </x:xf>
    <x:xf numFmtId="164" fontId="38" fillId="42" borderId="0" xfId="0" applyNumberFormat="1" applyFont="1" applyFill="1" applyBorder="1" applyAlignment="1">
      <x:alignment horizontal="general" vertical="bottom" wrapText="0"/>
    </x:xf>
    <x:xf numFmtId="164" fontId="38" fillId="42" borderId="0" xfId="0" applyNumberFormat="1" applyFont="1" applyFill="1" applyBorder="1" applyAlignment="1">
      <x:alignment horizontal="center" vertical="center" wrapText="1"/>
    </x:xf>
    <x:xf numFmtId="164" fontId="38" fillId="42" borderId="0" xfId="0" applyNumberFormat="1" applyFont="1" applyFill="1" applyBorder="1" applyAlignment="1">
      <x:alignment horizontal="center" vertical="bottom" wrapText="0"/>
    </x:xf>
    <x:xf numFmtId="164" fontId="38" fillId="42" borderId="0" xfId="0" applyNumberFormat="1" applyFont="1" applyFill="1" applyBorder="1" applyAlignment="1">
      <x:alignment horizontal="center" vertical="center" wrapText="0"/>
    </x:xf>
    <x:xf numFmtId="164" fontId="0" fillId="43" borderId="0" xfId="0" applyNumberFormat="1" applyFont="1" applyFill="1" applyBorder="1" applyAlignment="1">
      <x:alignment horizontal="general" vertical="bottom" wrapText="1"/>
    </x:xf>
    <x:xf numFmtId="164" fontId="0" fillId="43" borderId="0" xfId="0" applyNumberFormat="1" applyFont="1" applyFill="1" applyBorder="1" applyAlignment="1">
      <x:alignment horizontal="general" vertical="bottom" wrapText="0"/>
    </x:xf>
    <x:xf numFmtId="164" fontId="49" fillId="43" borderId="0" xfId="0" applyNumberFormat="1" applyFont="1" applyFill="1" applyBorder="1" applyAlignment="1">
      <x:alignment horizontal="general" vertical="bottom" wrapText="1"/>
    </x:xf>
    <x:xf numFmtId="164" fontId="49" fillId="43" borderId="0" xfId="0" applyNumberFormat="1" applyFont="1" applyFill="1" applyBorder="1" applyAlignment="1">
      <x:alignment horizontal="general" vertical="bottom" wrapText="0"/>
    </x:xf>
    <x:xf numFmtId="164" fontId="0" fillId="44" borderId="0" xfId="0" applyNumberFormat="1" applyFont="1" applyFill="1" applyBorder="1" applyAlignment="1">
      <x:alignment horizontal="general" vertical="bottom" wrapText="1"/>
    </x:xf>
    <x:xf numFmtId="164" fontId="0" fillId="44" borderId="0" xfId="0" applyNumberFormat="1" applyFont="1" applyFill="1" applyBorder="1" applyAlignment="1">
      <x:alignment horizontal="general" vertical="bottom" wrapText="0"/>
    </x:xf>
    <x:xf numFmtId="164" fontId="52" fillId="44" borderId="0" xfId="0" applyNumberFormat="1" applyFont="1" applyFill="1" applyBorder="1" applyAlignment="1">
      <x:alignment horizontal="general" vertical="bottom" wrapText="1"/>
    </x:xf>
    <x:xf numFmtId="164" fontId="52" fillId="44" borderId="0" xfId="0" applyNumberFormat="1" applyFont="1" applyFill="1" applyBorder="1" applyAlignment="1">
      <x:alignment horizontal="general" vertical="bottom" wrapText="0"/>
    </x:xf>
    <x:xf numFmtId="164" fontId="42" fillId="45" borderId="0" xfId="0" applyNumberFormat="1" applyFont="1" applyFill="1" applyBorder="1" applyAlignment="1">
      <x:alignment horizontal="center" vertical="center" wrapText="1"/>
    </x:xf>
    <x:xf numFmtId="164" fontId="0" fillId="45" borderId="0" xfId="0" applyNumberFormat="1" applyFont="1" applyFill="1" applyBorder="1" applyAlignment="1">
      <x:alignment horizontal="general" vertical="bottom" wrapText="0"/>
    </x:xf>
    <x:xf numFmtId="164" fontId="42" fillId="45" borderId="0" xfId="0" applyNumberFormat="1" applyFont="1" applyFill="1" applyBorder="1" applyAlignment="1">
      <x:alignment horizontal="general" vertical="bottom" wrapText="0"/>
    </x:xf>
    <x:xf numFmtId="164" fontId="42" fillId="45" borderId="0" xfId="0" applyNumberFormat="1" applyFont="1" applyFill="1" applyBorder="1" applyAlignment="1">
      <x:alignment horizontal="general" vertical="bottom" wrapText="1"/>
    </x:xf>
    <x:xf numFmtId="164" fontId="42" fillId="45" borderId="0" xfId="0" applyNumberFormat="1" applyFont="1" applyFill="1" applyBorder="1" applyAlignment="1">
      <x:alignment horizontal="center" vertical="bottom" wrapText="1"/>
    </x:xf>
    <x:xf numFmtId="164" fontId="47" fillId="15" borderId="0" xfId="0" applyNumberFormat="1" applyFont="1" applyFill="1" applyBorder="1" applyAlignment="1">
      <x:alignment horizontal="general" vertical="top" wrapText="1"/>
    </x:xf>
    <x:xf numFmtId="164" fontId="47" fillId="46" borderId="0" xfId="0" applyNumberFormat="1" applyFont="1" applyFill="1" applyBorder="1" applyAlignment="1">
      <x:alignment horizontal="general" vertical="top" wrapText="1"/>
    </x:xf>
    <x:xf numFmtId="164" fontId="44" fillId="46" borderId="0" xfId="0" applyNumberFormat="1" applyFont="1" applyFill="1" applyBorder="1" applyAlignment="1">
      <x:alignment horizontal="general" vertical="top" wrapText="1"/>
    </x:xf>
    <x:xf numFmtId="164" fontId="47" fillId="44" borderId="0" xfId="0" applyNumberFormat="1" applyFont="1" applyFill="1" applyBorder="1" applyAlignment="1">
      <x:alignment horizontal="general" vertical="top" wrapText="1"/>
    </x:xf>
    <x:xf numFmtId="164" fontId="45" fillId="44" borderId="0" xfId="0" applyNumberFormat="1" applyFont="1" applyFill="1" applyBorder="1" applyAlignment="1">
      <x:alignment horizontal="general" vertical="top" wrapText="1"/>
    </x:xf>
    <x:xf numFmtId="164" fontId="0" fillId="47" borderId="0" xfId="0" applyNumberFormat="1" applyFont="1" applyFill="1" applyBorder="1" applyAlignment="1">
      <x:alignment horizontal="general" vertical="top" wrapText="1"/>
    </x:xf>
    <x:xf numFmtId="164" fontId="47" fillId="47" borderId="0" xfId="0" applyNumberFormat="1" applyFont="1" applyFill="1" applyBorder="1" applyAlignment="1">
      <x:alignment horizontal="general" vertical="top" wrapText="1"/>
    </x:xf>
    <x:xf numFmtId="164" fontId="47" fillId="47" borderId="0" xfId="0" applyNumberFormat="1" applyFont="1" applyFill="1" applyBorder="1" applyAlignment="1">
      <x:alignment horizontal="center" vertical="top" wrapText="1"/>
    </x:xf>
    <x:xf numFmtId="164" fontId="46" fillId="44" borderId="0" xfId="0" applyNumberFormat="1" applyFont="1" applyFill="1" applyBorder="1" applyAlignment="1">
      <x:alignment horizontal="general" vertical="top" wrapText="1"/>
    </x:xf>
    <x:xf numFmtId="164" fontId="47" fillId="48" borderId="0" xfId="0" applyNumberFormat="1" applyFont="1" applyFill="1" applyBorder="1" applyAlignment="1">
      <x:alignment horizontal="general" vertical="top" wrapText="1"/>
    </x:xf>
    <x:xf numFmtId="164" fontId="50" fillId="48" borderId="0" xfId="0" applyNumberFormat="1" applyFont="1" applyFill="1" applyBorder="1" applyAlignment="1">
      <x:alignment horizontal="general" vertical="top" wrapText="1"/>
    </x:xf>
    <x:xf numFmtId="164" fontId="46" fillId="48" borderId="0" xfId="0" applyNumberFormat="1" applyFont="1" applyFill="1" applyBorder="1" applyAlignment="1">
      <x:alignment horizontal="general" vertical="top" wrapText="1"/>
    </x:xf>
    <x:xf numFmtId="164" fontId="46" fillId="46" borderId="0" xfId="0" applyNumberFormat="1" applyFont="1" applyFill="1" applyBorder="1" applyAlignment="1">
      <x:alignment horizontal="general" vertical="top" wrapText="1"/>
    </x:xf>
    <x:xf numFmtId="164" fontId="53" fillId="42" borderId="0" xfId="0" applyNumberFormat="1" applyFont="1" applyFill="1" applyBorder="1" applyAlignment="1">
      <x:alignment horizontal="center" vertical="center" wrapText="0"/>
    </x:xf>
    <x:xf numFmtId="164" fontId="49" fillId="43" borderId="0" xfId="0" applyNumberFormat="1" applyFont="1" applyFill="1" applyBorder="1" applyAlignment="1">
      <x:alignment horizontal="general" vertical="center" wrapText="1"/>
    </x:xf>
    <x:xf numFmtId="164" fontId="0" fillId="45" borderId="0" xfId="0" applyNumberFormat="1" applyFont="1" applyFill="1" applyBorder="1" applyAlignment="1">
      <x:alignment horizontal="general" vertical="top" wrapText="1"/>
    </x:xf>
    <x:xf numFmtId="164" fontId="47" fillId="45" borderId="0" xfId="0" applyNumberFormat="1" applyFont="1" applyFill="1" applyBorder="1" applyAlignment="1">
      <x:alignment horizontal="general" vertical="top" wrapText="1"/>
    </x:xf>
    <x:xf numFmtId="164" fontId="44" fillId="45" borderId="0" xfId="0" applyNumberFormat="1" applyFont="1" applyFill="1" applyBorder="1" applyAlignment="1">
      <x:alignment horizontal="general" vertical="top" wrapText="1"/>
    </x:xf>
    <x:xf numFmtId="164" fontId="42" fillId="45" borderId="0" xfId="0" applyNumberFormat="1" applyFont="1" applyFill="1" applyBorder="1" applyAlignment="1">
      <x:alignment horizontal="general" vertical="top" wrapText="1"/>
    </x:xf>
    <x:xf numFmtId="164" fontId="42" fillId="45" borderId="0" xfId="0" applyNumberFormat="1" applyFont="1" applyFill="1" applyBorder="1" applyAlignment="1">
      <x:alignment horizontal="center" vertical="top" wrapText="1"/>
    </x:xf>
    <x:xf numFmtId="164" fontId="47" fillId="6" borderId="0" xfId="0" applyNumberFormat="1" applyFont="1" applyFill="1" applyBorder="1" applyAlignment="1">
      <x:alignment horizontal="general" vertical="top" wrapText="1"/>
    </x:xf>
    <x:xf numFmtId="164" fontId="47" fillId="27" borderId="0" xfId="0" applyNumberFormat="1" applyFont="1" applyFill="1" applyBorder="1" applyAlignment="1">
      <x:alignment horizontal="general" vertical="top" wrapText="1"/>
    </x:xf>
    <x:xf numFmtId="164" fontId="0" fillId="44" borderId="0" xfId="0" applyNumberFormat="1" applyFont="1" applyFill="1" applyBorder="1" applyAlignment="1">
      <x:alignment horizontal="general" vertical="top" wrapText="1"/>
    </x:xf>
    <x:xf numFmtId="164" fontId="0" fillId="46" borderId="0" xfId="0" applyNumberFormat="1" applyFont="1" applyFill="1" applyBorder="1" applyAlignment="1">
      <x:alignment horizontal="general" vertical="top" wrapText="1"/>
    </x:xf>
    <x:xf numFmtId="164" fontId="0" fillId="48" borderId="0" xfId="0" applyNumberFormat="1" applyFont="1" applyFill="1" applyBorder="1" applyAlignment="1">
      <x:alignment horizontal="general" vertical="top" wrapText="1"/>
    </x:xf>
    <x:xf numFmtId="200" fontId="19" fillId="44" borderId="0" xfId="0" applyNumberFormat="1" applyFont="1" applyFill="1" applyBorder="1" applyAlignment="1">
      <x:alignment horizontal="general" vertical="top" wrapText="1"/>
    </x:xf>
    <x:xf numFmtId="200" fontId="26" fillId="44" borderId="0" xfId="0" applyNumberFormat="1" applyFont="1" applyFill="1" applyBorder="1" applyAlignment="1">
      <x:alignment horizontal="general" vertical="top" wrapText="1"/>
    </x:xf>
    <x:xf numFmtId="200" fontId="54" fillId="44" borderId="0" xfId="0" applyNumberFormat="1" applyFont="1" applyFill="1" applyBorder="1" applyAlignment="1">
      <x:alignment horizontal="general" vertical="top" wrapText="1"/>
    </x:xf>
    <x:xf numFmtId="202" fontId="54" fillId="44" borderId="0" xfId="0" applyNumberFormat="1" applyFont="1" applyFill="1" applyBorder="1" applyAlignment="1">
      <x:alignment horizontal="general" vertical="top" wrapText="1"/>
    </x:xf>
    <x:xf numFmtId="202" fontId="54" fillId="44" borderId="0" xfId="0" applyNumberFormat="1" applyFont="1" applyFill="1" applyBorder="1" applyAlignment="1">
      <x:alignment horizontal="right" vertical="top" wrapText="1"/>
    </x:xf>
    <x:xf numFmtId="200" fontId="0" fillId="49" borderId="0" xfId="0" applyNumberFormat="1" applyFont="1" applyFill="1" applyBorder="1" applyAlignment="1">
      <x:alignment horizontal="general" vertical="top" wrapText="1"/>
    </x:xf>
    <x:xf numFmtId="202" fontId="0" fillId="49" borderId="0" xfId="0" applyNumberFormat="1" applyFont="1" applyFill="1" applyBorder="1" applyAlignment="1">
      <x:alignment horizontal="general" vertical="top" wrapText="1"/>
    </x:xf>
    <x:xf numFmtId="200" fontId="26" fillId="50" borderId="0" xfId="0" applyNumberFormat="1" applyFont="1" applyFill="1" applyBorder="1" applyAlignment="1">
      <x:alignment horizontal="general" vertical="top" wrapText="1"/>
    </x:xf>
    <x:xf numFmtId="202" fontId="26" fillId="50" borderId="0" xfId="0" applyNumberFormat="1" applyFont="1" applyFill="1" applyBorder="1" applyAlignment="1">
      <x:alignment horizontal="general" vertical="top" wrapText="1"/>
    </x:xf>
    <x:xf numFmtId="200" fontId="41" fillId="43" borderId="0" xfId="0" applyNumberFormat="1" applyFont="1" applyFill="1" applyBorder="1" applyAlignment="1">
      <x:alignment horizontal="general" vertical="top" wrapText="1"/>
    </x:xf>
    <x:xf numFmtId="202" fontId="41" fillId="43" borderId="0" xfId="0" applyNumberFormat="1" applyFont="1" applyFill="1" applyBorder="1" applyAlignment="1">
      <x:alignment horizontal="general" vertical="top" wrapText="1"/>
    </x:xf>
    <x:xf numFmtId="164" fontId="0" fillId="51" borderId="0" xfId="0" applyNumberFormat="1" applyFont="1" applyFill="1" applyBorder="1" applyAlignment="1">
      <x:alignment horizontal="general" vertical="bottom" wrapText="1"/>
    </x:xf>
    <x:xf numFmtId="164" fontId="45" fillId="51" borderId="0" xfId="0" applyNumberFormat="1" applyFont="1" applyFill="1" applyBorder="1" applyAlignment="1">
      <x:alignment horizontal="general" vertical="bottom" wrapText="1"/>
    </x:xf>
    <x:xf numFmtId="164" fontId="0" fillId="51" borderId="0" xfId="0" applyNumberFormat="1" applyFont="1" applyFill="1" applyBorder="1" applyAlignment="1">
      <x:alignment horizontal="general" vertical="bottom" wrapText="0"/>
    </x:xf>
    <x:xf numFmtId="164" fontId="51" fillId="51" borderId="0" xfId="0" applyNumberFormat="1" applyFont="1" applyFill="1" applyBorder="1" applyAlignment="1">
      <x:alignment horizontal="general" vertical="bottom" wrapText="1"/>
    </x:xf>
    <x:xf numFmtId="164" fontId="51" fillId="51" borderId="0" xfId="0" applyNumberFormat="1" applyFont="1" applyFill="1" applyBorder="1" applyAlignment="1">
      <x:alignment horizontal="general" vertical="bottom" wrapText="0"/>
    </x:xf>
    <x:xf numFmtId="164" fontId="51" fillId="51" borderId="0" xfId="0" applyNumberFormat="1" applyFont="1" applyFill="1" applyBorder="1" applyAlignment="1">
      <x:alignment horizontal="center" vertical="bottom" wrapText="1"/>
    </x:xf>
    <x:xf numFmtId="164" fontId="51" fillId="51" borderId="0" xfId="0" applyNumberFormat="1" applyFont="1" applyFill="1" applyBorder="1" applyAlignment="1">
      <x:alignment horizontal="center" vertical="bottom" wrapText="0"/>
    </x:xf>
    <x:xf numFmtId="164" fontId="51" fillId="52" borderId="0" xfId="0" applyNumberFormat="1" applyFont="1" applyFill="1" applyBorder="1" applyAlignment="1">
      <x:alignment horizontal="center" vertical="bottom" wrapText="1"/>
    </x:xf>
    <x:xf numFmtId="164" fontId="0" fillId="52" borderId="0" xfId="0" applyNumberFormat="1" applyFont="1" applyFill="1" applyBorder="1" applyAlignment="1">
      <x:alignment horizontal="general" vertical="bottom" wrapText="0"/>
    </x:xf>
    <x:xf numFmtId="164" fontId="42" fillId="52" borderId="0" xfId="0" applyNumberFormat="1" applyFont="1" applyFill="1" applyBorder="1" applyAlignment="1">
      <x:alignment horizontal="general" vertical="bottom" wrapText="0"/>
    </x:xf>
    <x:xf numFmtId="164" fontId="42" fillId="52" borderId="0" xfId="0" applyNumberFormat="1" applyFont="1" applyFill="1" applyBorder="1" applyAlignment="1">
      <x:alignment horizontal="general" vertical="bottom" wrapText="1"/>
    </x:xf>
    <x:xf numFmtId="164" fontId="42" fillId="52" borderId="0" xfId="0" applyNumberFormat="1" applyFont="1" applyFill="1" applyBorder="1" applyAlignment="1">
      <x:alignment horizontal="center" vertical="bottom" wrapText="1"/>
    </x:xf>
    <x:xf numFmtId="164" fontId="42" fillId="29" borderId="0" xfId="0" applyNumberFormat="1" applyFont="1" applyFill="1" applyBorder="1" applyAlignment="1">
      <x:alignment horizontal="center" vertical="top" wrapText="1"/>
    </x:xf>
    <x:xf numFmtId="164" fontId="42" fillId="44" borderId="0" xfId="0" applyNumberFormat="1" applyFont="1" applyFill="1" applyBorder="1" applyAlignment="1">
      <x:alignment horizontal="center" vertical="top" wrapText="1"/>
    </x:xf>
    <x:xf numFmtId="164" fontId="45" fillId="44" borderId="0" xfId="0" applyNumberFormat="1" applyFont="1" applyFill="1" applyBorder="1" applyAlignment="1">
      <x:alignment horizontal="center" vertical="top" wrapText="1"/>
    </x:xf>
    <x:xf numFmtId="164" fontId="38" fillId="33" borderId="0" xfId="0" applyNumberFormat="1" applyFont="1" applyFill="1" applyBorder="1" applyAlignment="1">
      <x:alignment horizontal="left" vertical="center" wrapText="1"/>
    </x:xf>
    <x:xf numFmtId="164" fontId="38" fillId="33" borderId="0" xfId="0" applyNumberFormat="1" applyFont="1" applyFill="1" applyBorder="1" applyAlignment="1">
      <x:alignment horizontal="center" vertical="center" wrapText="1"/>
    </x:xf>
    <x:xf numFmtId="164" fontId="52" fillId="15" borderId="0" xfId="0" applyNumberFormat="1" applyFont="1" applyFill="1" applyBorder="1" applyAlignment="1">
      <x:alignment horizontal="general" vertical="bottom" wrapText="1"/>
    </x:xf>
    <x:xf numFmtId="164" fontId="52" fillId="15" borderId="0" xfId="0" applyNumberFormat="1" applyFont="1" applyFill="1" applyBorder="1" applyAlignment="1">
      <x:alignment horizontal="general" vertical="bottom" wrapText="0"/>
    </x:xf>
    <x:xf numFmtId="164" fontId="0" fillId="22" borderId="0" xfId="0" applyNumberFormat="1" applyFont="1" applyFill="1" applyBorder="1" applyAlignment="1">
      <x:alignment horizontal="general" vertical="top" wrapText="1"/>
    </x:xf>
    <x:xf numFmtId="164" fontId="47" fillId="22" borderId="0" xfId="0" applyNumberFormat="1" applyFont="1" applyFill="1" applyBorder="1" applyAlignment="1">
      <x:alignment horizontal="general" vertical="top" wrapText="1"/>
    </x:xf>
    <x:xf numFmtId="164" fontId="47" fillId="22" borderId="0" xfId="0" applyNumberFormat="1" applyFont="1" applyFill="1" applyBorder="1" applyAlignment="1">
      <x:alignment horizontal="center" vertical="top" wrapText="1"/>
    </x:xf>
    <x:xf numFmtId="164" fontId="46" fillId="15" borderId="0" xfId="0" applyNumberFormat="1" applyFont="1" applyFill="1" applyBorder="1" applyAlignment="1">
      <x:alignment horizontal="general" vertical="top" wrapText="1"/>
    </x:xf>
    <x:xf numFmtId="164" fontId="46" fillId="6" borderId="0" xfId="0" applyNumberFormat="1" applyFont="1" applyFill="1" applyBorder="1" applyAlignment="1">
      <x:alignment horizontal="general" vertical="top" wrapText="1"/>
    </x:xf>
    <x:xf numFmtId="164" fontId="53" fillId="33" borderId="0" xfId="0" applyNumberFormat="1" applyFont="1" applyFill="1" applyBorder="1" applyAlignment="1">
      <x:alignment horizontal="center" vertical="center" wrapText="0"/>
    </x:xf>
    <x:xf numFmtId="164" fontId="0" fillId="29" borderId="0" xfId="0" applyNumberFormat="1" applyFont="1" applyFill="1" applyBorder="1" applyAlignment="1">
      <x:alignment horizontal="general" vertical="top" wrapText="1"/>
    </x:xf>
    <x:xf numFmtId="164" fontId="47" fillId="29" borderId="0" xfId="0" applyNumberFormat="1" applyFont="1" applyFill="1" applyBorder="1" applyAlignment="1">
      <x:alignment horizontal="general" vertical="top" wrapText="1"/>
    </x:xf>
    <x:xf numFmtId="164" fontId="44" fillId="29" borderId="0" xfId="0" applyNumberFormat="1" applyFont="1" applyFill="1" applyBorder="1" applyAlignment="1">
      <x:alignment horizontal="general" vertical="top" wrapText="1"/>
    </x:xf>
    <x:xf numFmtId="164" fontId="42" fillId="29" borderId="0" xfId="0" applyNumberFormat="1" applyFont="1" applyFill="1" applyBorder="1" applyAlignment="1">
      <x:alignment horizontal="general" vertical="top" wrapText="1"/>
    </x:xf>
    <x:xf numFmtId="164" fontId="0" fillId="6" borderId="0" xfId="0" applyNumberFormat="1" applyFont="1" applyFill="1" applyBorder="1" applyAlignment="1">
      <x:alignment horizontal="general" vertical="top" wrapText="1"/>
    </x:xf>
    <x:xf numFmtId="164" fontId="0" fillId="27" borderId="0" xfId="0" applyNumberFormat="1" applyFont="1" applyFill="1" applyBorder="1" applyAlignment="1">
      <x:alignment horizontal="general" vertical="top" wrapText="1"/>
    </x:xf>
    <x:xf numFmtId="200" fontId="54" fillId="15" borderId="0" xfId="0" applyNumberFormat="1" applyFont="1" applyFill="1" applyBorder="1" applyAlignment="1">
      <x:alignment horizontal="general" vertical="top" wrapText="1"/>
    </x:xf>
    <x:xf numFmtId="202" fontId="54" fillId="15" borderId="0" xfId="0" applyNumberFormat="1" applyFont="1" applyFill="1" applyBorder="1" applyAlignment="1">
      <x:alignment horizontal="general" vertical="top" wrapText="1"/>
    </x:xf>
    <x:xf numFmtId="202" fontId="54" fillId="15" borderId="0" xfId="0" applyNumberFormat="1" applyFont="1" applyFill="1" applyBorder="1" applyAlignment="1">
      <x:alignment horizontal="right" vertical="top" wrapText="1"/>
    </x:xf>
    <x:xf numFmtId="200" fontId="41" fillId="8" borderId="0" xfId="0" applyNumberFormat="1" applyFont="1" applyFill="1" applyBorder="1" applyAlignment="1">
      <x:alignment horizontal="general" vertical="top" wrapText="1"/>
    </x:xf>
    <x:xf numFmtId="202" fontId="41" fillId="8" borderId="0" xfId="0" applyNumberFormat="1" applyFont="1" applyFill="1" applyBorder="1" applyAlignment="1">
      <x:alignment horizontal="general" vertical="top" wrapText="1"/>
    </x:xf>
    <x:xf numFmtId="164" fontId="51" fillId="25" borderId="0" xfId="0" applyNumberFormat="1" applyFont="1" applyFill="1" applyBorder="1" applyAlignment="1">
      <x:alignment horizontal="center" vertical="bottom" wrapText="1"/>
    </x:xf>
    <x:xf numFmtId="164" fontId="42" fillId="15" borderId="0" xfId="0" applyNumberFormat="1" applyFont="1" applyFill="1" applyBorder="1" applyAlignment="1">
      <x:alignment horizontal="center" vertical="top" wrapText="1"/>
    </x:xf>
    <x:xf numFmtId="164" fontId="45" fillId="15" borderId="0" xfId="0" applyNumberFormat="1" applyFont="1" applyFill="1" applyBorder="1" applyAlignment="1">
      <x:alignment horizontal="center" vertical="top" wrapText="1"/>
    </x:xf>
    <x:xf numFmtId="164" fontId="38" fillId="53" borderId="0" xfId="0" applyNumberFormat="1" applyFont="1" applyFill="1" applyBorder="1" applyAlignment="1">
      <x:alignment horizontal="center" vertical="center" wrapText="1"/>
    </x:xf>
    <x:xf numFmtId="164" fontId="38" fillId="53" borderId="0" xfId="0" applyNumberFormat="1" applyFont="1" applyFill="1" applyBorder="1" applyAlignment="1">
      <x:alignment horizontal="center" vertical="center" wrapText="0"/>
    </x:xf>
    <x:xf numFmtId="164" fontId="49" fillId="54" borderId="0" xfId="0" applyNumberFormat="1" applyFont="1" applyFill="1" applyBorder="1" applyAlignment="1">
      <x:alignment horizontal="general" vertical="bottom" wrapText="1"/>
    </x:xf>
    <x:xf numFmtId="164" fontId="52" fillId="55" borderId="0" xfId="0" applyNumberFormat="1" applyFont="1" applyFill="1" applyBorder="1" applyAlignment="1">
      <x:alignment horizontal="general" vertical="bottom" wrapText="1"/>
    </x:xf>
    <x:xf numFmtId="164" fontId="42" fillId="56" borderId="0" xfId="0" applyNumberFormat="1" applyFont="1" applyFill="1" applyBorder="1" applyAlignment="1">
      <x:alignment horizontal="center" vertical="center" wrapText="1"/>
    </x:xf>
    <x:xf numFmtId="164" fontId="44" fillId="57" borderId="0" xfId="0" applyNumberFormat="1" applyFont="1" applyFill="1" applyBorder="1" applyAlignment="1">
      <x:alignment horizontal="general" vertical="top" wrapText="1"/>
    </x:xf>
    <x:xf numFmtId="164" fontId="45" fillId="55" borderId="0" xfId="0" applyNumberFormat="1" applyFont="1" applyFill="1" applyBorder="1" applyAlignment="1">
      <x:alignment horizontal="general" vertical="top" wrapText="1"/>
    </x:xf>
    <x:xf numFmtId="164" fontId="47" fillId="58" borderId="0" xfId="0" applyNumberFormat="1" applyFont="1" applyFill="1" applyBorder="1" applyAlignment="1">
      <x:alignment horizontal="center" vertical="top" wrapText="1"/>
    </x:xf>
    <x:xf numFmtId="164" fontId="45" fillId="59" borderId="0" xfId="0" applyNumberFormat="1" applyFont="1" applyFill="1" applyBorder="1" applyAlignment="1">
      <x:alignment horizontal="general" vertical="top" wrapText="1"/>
    </x:xf>
    <x:xf numFmtId="164" fontId="50" fillId="59" borderId="0" xfId="0" applyNumberFormat="1" applyFont="1" applyFill="1" applyBorder="1" applyAlignment="1">
      <x:alignment horizontal="general" vertical="top" wrapText="1"/>
    </x:xf>
    <x:xf numFmtId="164" fontId="45" fillId="57" borderId="0" xfId="0" applyNumberFormat="1" applyFont="1" applyFill="1" applyBorder="1" applyAlignment="1">
      <x:alignment horizontal="general" vertical="top" wrapText="1"/>
    </x:xf>
    <x:xf numFmtId="164" fontId="50" fillId="57" borderId="0" xfId="0" applyNumberFormat="1" applyFont="1" applyFill="1" applyBorder="1" applyAlignment="1">
      <x:alignment horizontal="general" vertical="top" wrapText="1"/>
    </x:xf>
    <x:xf numFmtId="164" fontId="44" fillId="55" borderId="0" xfId="0" applyNumberFormat="1" applyFont="1" applyFill="1" applyBorder="1" applyAlignment="1">
      <x:alignment horizontal="general" vertical="top" wrapText="1"/>
    </x:xf>
    <x:xf numFmtId="164" fontId="46" fillId="55" borderId="0" xfId="0" applyNumberFormat="1" applyFont="1" applyFill="1" applyBorder="1" applyAlignment="1">
      <x:alignment horizontal="general" vertical="top" wrapText="1"/>
    </x:xf>
    <x:xf numFmtId="164" fontId="0" fillId="58" borderId="0" xfId="0" applyNumberFormat="1" applyFont="1" applyFill="1" applyBorder="1" applyAlignment="1">
      <x:alignment horizontal="general" vertical="top" wrapText="1"/>
    </x:xf>
    <x:xf numFmtId="164" fontId="47" fillId="58" borderId="0" xfId="0" applyNumberFormat="1" applyFont="1" applyFill="1" applyBorder="1" applyAlignment="1">
      <x:alignment horizontal="general" vertical="top" wrapText="1"/>
    </x:xf>
    <x:xf numFmtId="164" fontId="47" fillId="60" borderId="0" xfId="0" applyNumberFormat="1" applyFont="1" applyFill="1" applyBorder="1" applyAlignment="1">
      <x:alignment horizontal="general" vertical="top" wrapText="1"/>
    </x:xf>
    <x:xf numFmtId="164" fontId="46" fillId="57" borderId="0" xfId="0" applyNumberFormat="1" applyFont="1" applyFill="1" applyBorder="1" applyAlignment="1">
      <x:alignment horizontal="general" vertical="top" wrapText="1"/>
    </x:xf>
    <x:xf numFmtId="164" fontId="0" fillId="55" borderId="0" xfId="0" applyNumberFormat="1" applyFont="1" applyFill="1" applyBorder="1" applyAlignment="1">
      <x:alignment horizontal="general" vertical="top" wrapText="1"/>
    </x:xf>
    <x:xf numFmtId="164" fontId="0" fillId="61" borderId="0" xfId="0" applyNumberFormat="1" applyFont="1" applyFill="1" applyBorder="1" applyAlignment="1">
      <x:alignment horizontal="general" vertical="bottom" wrapText="0"/>
    </x:xf>
    <x:xf numFmtId="164" fontId="38" fillId="61" borderId="0" xfId="0" applyNumberFormat="1" applyFont="1" applyFill="1" applyBorder="1" applyAlignment="1">
      <x:alignment horizontal="general" vertical="bottom" wrapText="0"/>
    </x:xf>
    <x:xf numFmtId="164" fontId="38" fillId="61" borderId="0" xfId="0" applyNumberFormat="1" applyFont="1" applyFill="1" applyBorder="1" applyAlignment="1">
      <x:alignment horizontal="center" vertical="bottom" wrapText="0"/>
    </x:xf>
    <x:xf numFmtId="164" fontId="0" fillId="62" borderId="0" xfId="0" applyNumberFormat="1" applyFont="1" applyFill="1" applyBorder="1" applyAlignment="1">
      <x:alignment horizontal="general" vertical="bottom" wrapText="0"/>
    </x:xf>
    <x:xf numFmtId="164" fontId="0" fillId="62" borderId="0" xfId="0" applyNumberFormat="1" applyFont="1" applyFill="1" applyBorder="1" applyAlignment="1">
      <x:alignment horizontal="general" vertical="bottom" wrapText="1"/>
    </x:xf>
    <x:xf numFmtId="164" fontId="0" fillId="55" borderId="0" xfId="0" applyNumberFormat="1" applyFont="1" applyFill="1" applyBorder="1" applyAlignment="1">
      <x:alignment horizontal="general" vertical="bottom" wrapText="0"/>
    </x:xf>
    <x:xf numFmtId="164" fontId="52" fillId="55" borderId="0" xfId="0" applyNumberFormat="1" applyFont="1" applyFill="1" applyBorder="1" applyAlignment="1">
      <x:alignment horizontal="general" vertical="bottom" wrapText="0"/>
    </x:xf>
    <x:xf numFmtId="164" fontId="0" fillId="63" borderId="0" xfId="0" applyNumberFormat="1" applyFont="1" applyFill="1" applyBorder="1" applyAlignment="1">
      <x:alignment horizontal="general" vertical="bottom" wrapText="0"/>
    </x:xf>
    <x:xf numFmtId="164" fontId="42" fillId="63" borderId="0" xfId="0" applyNumberFormat="1" applyFont="1" applyFill="1" applyBorder="1" applyAlignment="1">
      <x:alignment horizontal="general" vertical="bottom" wrapText="0"/>
    </x:xf>
    <x:xf numFmtId="164" fontId="42" fillId="63" borderId="0" xfId="0" applyNumberFormat="1" applyFont="1" applyFill="1" applyBorder="1" applyAlignment="1">
      <x:alignment horizontal="general" vertical="bottom" wrapText="1"/>
    </x:xf>
    <x:xf numFmtId="164" fontId="42" fillId="63" borderId="0" xfId="0" applyNumberFormat="1" applyFont="1" applyFill="1" applyBorder="1" applyAlignment="1">
      <x:alignment horizontal="center" vertical="bottom" wrapText="1"/>
    </x:xf>
    <x:xf numFmtId="164" fontId="0" fillId="57" borderId="0" xfId="0" applyNumberFormat="1" applyFont="1" applyFill="1" applyBorder="1" applyAlignment="1">
      <x:alignment horizontal="general" vertical="top" wrapText="1"/>
    </x:xf>
    <x:xf numFmtId="164" fontId="13" fillId="55" borderId="1" xfId="0" applyNumberFormat="1" applyFont="1" applyFill="1" applyBorder="1" applyAlignment="1">
      <x:alignment horizontal="general" vertical="top" wrapText="1"/>
    </x:xf>
    <x:xf numFmtId="164" fontId="55" fillId="55" borderId="1" xfId="0" applyNumberFormat="1" applyFont="1" applyFill="1" applyBorder="1" applyAlignment="1">
      <x:alignment horizontal="general" vertical="top" wrapText="1"/>
    </x:xf>
    <x:xf numFmtId="164" fontId="8" fillId="55" borderId="1" xfId="0" applyNumberFormat="1" applyFont="1" applyFill="1" applyBorder="1" applyAlignment="1">
      <x:alignment horizontal="general" vertical="top" wrapText="1"/>
    </x:xf>
    <x:xf numFmtId="164" fontId="8" fillId="55" borderId="1" xfId="0" applyNumberFormat="1" applyFont="1" applyFill="1" applyBorder="1" applyAlignment="1">
      <x:alignment horizontal="general" vertical="center" wrapText="1"/>
    </x:xf>
    <x:xf numFmtId="164" fontId="55" fillId="55" borderId="1" xfId="0" applyNumberFormat="1" applyFont="1" applyFill="1" applyBorder="1" applyAlignment="1">
      <x:alignment horizontal="general" vertical="center" wrapText="1"/>
    </x:xf>
    <x:xf numFmtId="164" fontId="12" fillId="64" borderId="1" xfId="0" applyNumberFormat="1" applyFont="1" applyFill="1" applyBorder="1" applyAlignment="1">
      <x:alignment horizontal="general" vertical="top" wrapText="1"/>
    </x:xf>
    <x:xf numFmtId="164" fontId="56" fillId="64" borderId="1" xfId="0" applyNumberFormat="1" applyFont="1" applyFill="1" applyBorder="1" applyAlignment="1">
      <x:alignment horizontal="general" vertical="top" wrapText="1"/>
    </x:xf>
    <x:xf numFmtId="164" fontId="8" fillId="64" borderId="1" xfId="0" applyNumberFormat="1" applyFont="1" applyFill="1" applyBorder="1" applyAlignment="1">
      <x:alignment horizontal="general" vertical="top" wrapText="1"/>
    </x:xf>
    <x:xf numFmtId="164" fontId="57" fillId="64" borderId="1" xfId="0" applyNumberFormat="1" applyFont="1" applyFill="1" applyBorder="1" applyAlignment="1">
      <x:alignment horizontal="general" vertical="top" wrapText="1"/>
    </x:xf>
    <x:xf numFmtId="164" fontId="13" fillId="64" borderId="1" xfId="0" applyNumberFormat="1" applyFont="1" applyFill="1" applyBorder="1" applyAlignment="1">
      <x:alignment horizontal="general" vertical="top" wrapText="1"/>
    </x:xf>
    <x:xf numFmtId="164" fontId="8" fillId="64" borderId="1" xfId="0" applyNumberFormat="1" applyFont="1" applyFill="1" applyBorder="1" applyAlignment="1">
      <x:alignment horizontal="general" vertical="center" wrapText="1"/>
    </x:xf>
    <x:xf numFmtId="164" fontId="57" fillId="64" borderId="1" xfId="0" applyNumberFormat="1" applyFont="1" applyFill="1" applyBorder="1" applyAlignment="1">
      <x:alignment horizontal="general" vertical="center" wrapText="1"/>
    </x:xf>
    <x:xf numFmtId="164" fontId="37" fillId="64" borderId="0" xfId="0" applyNumberFormat="1" applyFont="1" applyFill="1" applyBorder="1" applyAlignment="1">
      <x:alignment horizontal="left" vertical="center" wrapText="1"/>
    </x:xf>
    <x:xf numFmtId="164" fontId="24" fillId="64" borderId="0" xfId="0" applyNumberFormat="1" applyFont="1" applyFill="1" applyBorder="1" applyAlignment="1">
      <x:alignment horizontal="general" vertical="top" wrapText="1"/>
    </x:xf>
    <x:xf numFmtId="164" fontId="0" fillId="65" borderId="0" xfId="0" applyNumberFormat="1" applyFont="1" applyFill="1" applyBorder="1" applyAlignment="1">
      <x:alignment horizontal="general" vertical="bottom" wrapText="0"/>
    </x:xf>
    <x:xf numFmtId="164" fontId="42" fillId="65" borderId="0" xfId="0" applyNumberFormat="1" applyFont="1" applyFill="1" applyBorder="1" applyAlignment="1">
      <x:alignment horizontal="general" vertical="bottom" wrapText="0"/>
    </x:xf>
    <x:xf numFmtId="164" fontId="42" fillId="65" borderId="0" xfId="0" applyNumberFormat="1" applyFont="1" applyFill="1" applyBorder="1" applyAlignment="1">
      <x:alignment horizontal="general" vertical="bottom" wrapText="1"/>
    </x:xf>
    <x:xf numFmtId="164" fontId="42" fillId="65" borderId="0" xfId="0" applyNumberFormat="1" applyFont="1" applyFill="1" applyBorder="1" applyAlignment="1">
      <x:alignment horizontal="center" vertical="bottom" wrapText="1"/>
    </x:xf>
    <x:xf numFmtId="164" fontId="53" fillId="53" borderId="0" xfId="0" applyNumberFormat="1" applyFont="1" applyFill="1" applyBorder="1" applyAlignment="1">
      <x:alignment horizontal="center" vertical="center" wrapText="0"/>
    </x:xf>
    <x:xf numFmtId="164" fontId="0" fillId="53" borderId="0" xfId="0" applyNumberFormat="1" applyFont="1" applyFill="1" applyBorder="1" applyAlignment="1">
      <x:alignment horizontal="general" vertical="bottom" wrapText="0"/>
    </x:xf>
    <x:xf numFmtId="164" fontId="53" fillId="53" borderId="0" xfId="0" applyNumberFormat="1" applyFont="1" applyFill="1" applyBorder="1" applyAlignment="1">
      <x:alignment horizontal="general" vertical="bottom" wrapText="0"/>
    </x:xf>
    <x:xf numFmtId="164" fontId="53" fillId="53" borderId="0" xfId="0" applyNumberFormat="1" applyFont="1" applyFill="1" applyBorder="1" applyAlignment="1">
      <x:alignment horizontal="center" vertical="bottom" wrapText="0"/>
    </x:xf>
    <x:xf numFmtId="164" fontId="49" fillId="54" borderId="0" xfId="0" applyNumberFormat="1" applyFont="1" applyFill="1" applyBorder="1" applyAlignment="1">
      <x:alignment horizontal="general" vertical="center" wrapText="1"/>
    </x:xf>
    <x:xf numFmtId="164" fontId="0" fillId="54" borderId="0" xfId="0" applyNumberFormat="1" applyFont="1" applyFill="1" applyBorder="1" applyAlignment="1">
      <x:alignment horizontal="general" vertical="bottom" wrapText="0"/>
    </x:xf>
    <x:xf numFmtId="164" fontId="0" fillId="54" borderId="0" xfId="0" applyNumberFormat="1" applyFont="1" applyFill="1" applyBorder="1" applyAlignment="1">
      <x:alignment horizontal="general" vertical="bottom" wrapText="1"/>
    </x:xf>
    <x:xf numFmtId="164" fontId="42" fillId="66" borderId="0" xfId="0" applyNumberFormat="1" applyFont="1" applyFill="1" applyBorder="1" applyAlignment="1">
      <x:alignment horizontal="center" vertical="center" wrapText="1"/>
    </x:xf>
    <x:xf numFmtId="164" fontId="0" fillId="66" borderId="0" xfId="0" applyNumberFormat="1" applyFont="1" applyFill="1" applyBorder="1" applyAlignment="1">
      <x:alignment horizontal="general" vertical="bottom" wrapText="0"/>
    </x:xf>
    <x:xf numFmtId="164" fontId="51" fillId="66" borderId="0" xfId="0" applyNumberFormat="1" applyFont="1" applyFill="1" applyBorder="1" applyAlignment="1">
      <x:alignment horizontal="center" vertical="center" wrapText="1"/>
    </x:xf>
    <x:xf numFmtId="164" fontId="51" fillId="66" borderId="0" xfId="0" applyNumberFormat="1" applyFont="1" applyFill="1" applyBorder="1" applyAlignment="1">
      <x:alignment horizontal="general" vertical="bottom" wrapText="0"/>
    </x:xf>
    <x:xf numFmtId="164" fontId="42" fillId="67" borderId="0" xfId="0" applyNumberFormat="1" applyFont="1" applyFill="1" applyBorder="1" applyAlignment="1">
      <x:alignment horizontal="center" vertical="top" wrapText="1"/>
    </x:xf>
    <x:xf numFmtId="164" fontId="0" fillId="67" borderId="0" xfId="0" applyNumberFormat="1" applyFont="1" applyFill="1" applyBorder="1" applyAlignment="1">
      <x:alignment horizontal="general" vertical="bottom" wrapText="0"/>
    </x:xf>
    <x:xf numFmtId="164" fontId="42" fillId="67" borderId="0" xfId="0" applyNumberFormat="1" applyFont="1" applyFill="1" applyBorder="1" applyAlignment="1">
      <x:alignment horizontal="general" vertical="bottom" wrapText="0"/>
    </x:xf>
    <x:xf numFmtId="164" fontId="42" fillId="67" borderId="0" xfId="0" applyNumberFormat="1" applyFont="1" applyFill="1" applyBorder="1" applyAlignment="1">
      <x:alignment horizontal="general" vertical="bottom" wrapText="1"/>
    </x:xf>
    <x:xf numFmtId="164" fontId="0" fillId="68" borderId="0" xfId="0" applyNumberFormat="1" applyFont="1" applyFill="1" applyBorder="1" applyAlignment="1">
      <x:alignment horizontal="general" vertical="top" wrapText="1"/>
    </x:xf>
    <x:xf numFmtId="164" fontId="47" fillId="68" borderId="0" xfId="0" applyNumberFormat="1" applyFont="1" applyFill="1" applyBorder="1" applyAlignment="1">
      <x:alignment horizontal="general" vertical="top" wrapText="1"/>
    </x:xf>
    <x:xf numFmtId="164" fontId="45" fillId="68" borderId="0" xfId="0" applyNumberFormat="1" applyFont="1" applyFill="1" applyBorder="1" applyAlignment="1">
      <x:alignment horizontal="general" vertical="top" wrapText="1"/>
    </x:xf>
    <x:xf numFmtId="164" fontId="0" fillId="68" borderId="0" xfId="0" applyNumberFormat="1" applyFont="1" applyFill="1" applyBorder="1" applyAlignment="1">
      <x:alignment horizontal="general" vertical="bottom" wrapText="0"/>
    </x:xf>
    <x:xf numFmtId="164" fontId="51" fillId="68" borderId="0" xfId="0" applyNumberFormat="1" applyFont="1" applyFill="1" applyBorder="1" applyAlignment="1">
      <x:alignment horizontal="general" vertical="top" wrapText="1"/>
    </x:xf>
    <x:xf numFmtId="164" fontId="51" fillId="68" borderId="0" xfId="0" applyNumberFormat="1" applyFont="1" applyFill="1" applyBorder="1" applyAlignment="1">
      <x:alignment horizontal="general" vertical="bottom" wrapText="0"/>
    </x:xf>
    <x:xf numFmtId="164" fontId="0" fillId="69" borderId="0" xfId="0" applyNumberFormat="1" applyFont="1" applyFill="1" applyBorder="1" applyAlignment="1">
      <x:alignment horizontal="general" vertical="top" wrapText="1"/>
    </x:xf>
    <x:xf numFmtId="164" fontId="47" fillId="69" borderId="0" xfId="0" applyNumberFormat="1" applyFont="1" applyFill="1" applyBorder="1" applyAlignment="1">
      <x:alignment horizontal="general" vertical="top" wrapText="1"/>
    </x:xf>
    <x:xf numFmtId="164" fontId="45" fillId="69" borderId="0" xfId="0" applyNumberFormat="1" applyFont="1" applyFill="1" applyBorder="1" applyAlignment="1">
      <x:alignment horizontal="general" vertical="top" wrapText="1"/>
    </x:xf>
    <x:xf numFmtId="164" fontId="0" fillId="69" borderId="0" xfId="0" applyNumberFormat="1" applyFont="1" applyFill="1" applyBorder="1" applyAlignment="1">
      <x:alignment horizontal="general" vertical="bottom" wrapText="0"/>
    </x:xf>
    <x:xf numFmtId="164" fontId="42" fillId="69" borderId="0" xfId="0" applyNumberFormat="1" applyFont="1" applyFill="1" applyBorder="1" applyAlignment="1">
      <x:alignment horizontal="general" vertical="top" wrapText="1"/>
    </x:xf>
    <x:xf numFmtId="164" fontId="42" fillId="69" borderId="0" xfId="0" applyNumberFormat="1" applyFont="1" applyFill="1" applyBorder="1" applyAlignment="1">
      <x:alignment horizontal="general" vertical="bottom" wrapText="0"/>
    </x:xf>
    <x:xf numFmtId="164" fontId="42" fillId="69" borderId="0" xfId="0" applyNumberFormat="1" applyFont="1" applyFill="1" applyBorder="1" applyAlignment="1">
      <x:alignment horizontal="general" vertical="bottom" wrapText="1"/>
    </x:xf>
    <x:xf numFmtId="164" fontId="0" fillId="61" borderId="0" xfId="0" applyNumberFormat="1" applyFont="1" applyFill="1" applyBorder="1" applyAlignment="1">
      <x:alignment horizontal="general" vertical="top" wrapText="1"/>
    </x:xf>
    <x:xf numFmtId="164" fontId="47" fillId="61" borderId="0" xfId="0" applyNumberFormat="1" applyFont="1" applyFill="1" applyBorder="1" applyAlignment="1">
      <x:alignment horizontal="general" vertical="top" wrapText="1"/>
    </x:xf>
    <x:xf numFmtId="164" fontId="44" fillId="61" borderId="0" xfId="0" applyNumberFormat="1" applyFont="1" applyFill="1" applyBorder="1" applyAlignment="1">
      <x:alignment horizontal="general" vertical="top" wrapText="1"/>
    </x:xf>
    <x:xf numFmtId="164" fontId="51" fillId="61" borderId="0" xfId="0" applyNumberFormat="1" applyFont="1" applyFill="1" applyBorder="1" applyAlignment="1">
      <x:alignment horizontal="general" vertical="top" wrapText="1"/>
    </x:xf>
    <x:xf numFmtId="164" fontId="51" fillId="61" borderId="0" xfId="0" applyNumberFormat="1" applyFont="1" applyFill="1" applyBorder="1" applyAlignment="1">
      <x:alignment horizontal="general" vertical="bottom" wrapText="0"/>
    </x:xf>
    <x:xf numFmtId="164" fontId="0" fillId="63" borderId="0" xfId="0" applyNumberFormat="1" applyFont="1" applyFill="1" applyBorder="1" applyAlignment="1">
      <x:alignment horizontal="general" vertical="top" wrapText="1"/>
    </x:xf>
    <x:xf numFmtId="164" fontId="47" fillId="63" borderId="0" xfId="0" applyNumberFormat="1" applyFont="1" applyFill="1" applyBorder="1" applyAlignment="1">
      <x:alignment horizontal="general" vertical="top" wrapText="1"/>
    </x:xf>
    <x:xf numFmtId="164" fontId="45" fillId="63" borderId="0" xfId="0" applyNumberFormat="1" applyFont="1" applyFill="1" applyBorder="1" applyAlignment="1">
      <x:alignment horizontal="general" vertical="top" wrapText="1"/>
    </x:xf>
    <x:xf numFmtId="164" fontId="42" fillId="63" borderId="0" xfId="0" applyNumberFormat="1" applyFont="1" applyFill="1" applyBorder="1" applyAlignment="1">
      <x:alignment horizontal="general" vertical="top" wrapText="1"/>
    </x:xf>
    <x:xf numFmtId="164" fontId="0" fillId="70" borderId="0" xfId="0" applyNumberFormat="1" applyFont="1" applyFill="1" applyBorder="1" applyAlignment="1">
      <x:alignment horizontal="general" vertical="top" wrapText="1"/>
    </x:xf>
    <x:xf numFmtId="164" fontId="50" fillId="70" borderId="0" xfId="0" applyNumberFormat="1" applyFont="1" applyFill="1" applyBorder="1" applyAlignment="1">
      <x:alignment horizontal="general" vertical="top" wrapText="1"/>
    </x:xf>
    <x:xf numFmtId="164" fontId="0" fillId="70" borderId="0" xfId="0" applyNumberFormat="1" applyFont="1" applyFill="1" applyBorder="1" applyAlignment="1">
      <x:alignment horizontal="general" vertical="bottom" wrapText="0"/>
    </x:xf>
    <x:xf numFmtId="164" fontId="51" fillId="70" borderId="0" xfId="0" applyNumberFormat="1" applyFont="1" applyFill="1" applyBorder="1" applyAlignment="1">
      <x:alignment horizontal="general" vertical="top" wrapText="1"/>
    </x:xf>
    <x:xf numFmtId="164" fontId="51" fillId="70" borderId="0" xfId="0" applyNumberFormat="1" applyFont="1" applyFill="1" applyBorder="1" applyAlignment="1">
      <x:alignment horizontal="general" vertical="bottom" wrapText="0"/>
    </x:xf>
    <x:xf numFmtId="164" fontId="51" fillId="71" borderId="0" xfId="0" applyNumberFormat="1" applyFont="1" applyFill="1" applyBorder="1" applyAlignment="1">
      <x:alignment horizontal="center" vertical="bottom" wrapText="1"/>
    </x:xf>
    <x:xf numFmtId="164" fontId="51" fillId="71" borderId="0" xfId="0" applyNumberFormat="1" applyFont="1" applyFill="1" applyBorder="1" applyAlignment="1">
      <x:alignment horizontal="center" vertical="bottom" wrapText="0"/>
    </x:xf>
    <x:xf numFmtId="164" fontId="0" fillId="71" borderId="0" xfId="0" applyNumberFormat="1" applyFont="1" applyFill="1" applyBorder="1" applyAlignment="1">
      <x:alignment horizontal="general" vertical="bottom" wrapText="0"/>
    </x:xf>
    <x:xf numFmtId="164" fontId="42" fillId="71" borderId="0" xfId="0" applyNumberFormat="1" applyFont="1" applyFill="1" applyBorder="1" applyAlignment="1">
      <x:alignment horizontal="general" vertical="bottom" wrapText="0"/>
    </x:xf>
    <x:xf numFmtId="164" fontId="42" fillId="71" borderId="0" xfId="0" applyNumberFormat="1" applyFont="1" applyFill="1" applyBorder="1" applyAlignment="1">
      <x:alignment horizontal="general" vertical="bottom" wrapText="1"/>
    </x:xf>
    <x:xf numFmtId="164" fontId="51" fillId="25" borderId="0" xfId="0" applyNumberFormat="1" applyFont="1" applyFill="1" applyBorder="1" applyAlignment="1">
      <x:alignment horizontal="center" vertical="top" wrapText="1"/>
    </x:xf>
    <x:xf numFmtId="164" fontId="42" fillId="25" borderId="0" xfId="0" applyNumberFormat="1" applyFont="1" applyFill="1" applyBorder="1" applyAlignment="1">
      <x:alignment horizontal="center" vertical="top" wrapText="1"/>
    </x:xf>
    <x:xf numFmtId="164" fontId="58" fillId="64" borderId="0" xfId="0" applyNumberFormat="1" applyFont="1" applyFill="1" applyBorder="1" applyAlignment="1">
      <x:alignment horizontal="left" vertical="center" wrapText="1"/>
    </x:xf>
    <x:xf numFmtId="164" fontId="57" fillId="64" borderId="0" xfId="0" applyNumberFormat="1" applyFont="1" applyFill="1" applyBorder="1" applyAlignment="1">
      <x:alignment horizontal="general" vertical="top" wrapText="1"/>
    </x:xf>
    <x:xf numFmtId="164" fontId="50" fillId="6" borderId="0" xfId="0" applyNumberFormat="1" applyFont="1" applyFill="1" applyBorder="1" applyAlignment="1">
      <x:alignment horizontal="general" vertical="top" wrapText="1"/>
    </x:xf>
    <x:xf numFmtId="164" fontId="47" fillId="50" borderId="0" xfId="0" applyNumberFormat="1" applyFont="1" applyFill="1" applyBorder="1" applyAlignment="1">
      <x:alignment horizontal="general" vertical="top" wrapText="1"/>
    </x:xf>
    <x:xf numFmtId="164" fontId="13" fillId="15" borderId="1" xfId="0" applyNumberFormat="1" applyFont="1" applyFill="1" applyBorder="1" applyAlignment="1">
      <x:alignment horizontal="general" vertical="top" wrapText="1"/>
    </x:xf>
    <x:xf numFmtId="164" fontId="55" fillId="15" borderId="1" xfId="0" applyNumberFormat="1" applyFont="1" applyFill="1" applyBorder="1" applyAlignment="1">
      <x:alignment horizontal="general" vertical="top" wrapText="1"/>
    </x:xf>
    <x:xf numFmtId="164" fontId="8" fillId="15" borderId="1" xfId="0" applyNumberFormat="1" applyFont="1" applyFill="1" applyBorder="1" applyAlignment="1">
      <x:alignment horizontal="general" vertical="top" wrapText="1"/>
    </x:xf>
    <x:xf numFmtId="164" fontId="8" fillId="15" borderId="1" xfId="0" applyNumberFormat="1" applyFont="1" applyFill="1" applyBorder="1" applyAlignment="1">
      <x:alignment horizontal="general" vertical="center" wrapText="1"/>
    </x:xf>
    <x:xf numFmtId="164" fontId="55" fillId="15" borderId="1" xfId="0" applyNumberFormat="1" applyFont="1" applyFill="1" applyBorder="1" applyAlignment="1">
      <x:alignment horizontal="general" vertical="center" wrapText="1"/>
    </x:xf>
    <x:xf numFmtId="164" fontId="53" fillId="33" borderId="0" xfId="0" applyNumberFormat="1" applyFont="1" applyFill="1" applyBorder="1" applyAlignment="1">
      <x:alignment horizontal="general" vertical="bottom" wrapText="0"/>
    </x:xf>
    <x:xf numFmtId="164" fontId="53" fillId="33" borderId="0" xfId="0" applyNumberFormat="1" applyFont="1" applyFill="1" applyBorder="1" applyAlignment="1">
      <x:alignment horizontal="center" vertical="bottom" wrapText="0"/>
    </x:xf>
    <x:xf numFmtId="164" fontId="51" fillId="23" borderId="0" xfId="0" applyNumberFormat="1" applyFont="1" applyFill="1" applyBorder="1" applyAlignment="1">
      <x:alignment horizontal="center" vertical="center" wrapText="1"/>
    </x:xf>
    <x:xf numFmtId="164" fontId="51" fillId="23" borderId="0" xfId="0" applyNumberFormat="1" applyFont="1" applyFill="1" applyBorder="1" applyAlignment="1">
      <x:alignment horizontal="general" vertical="bottom" wrapText="0"/>
    </x:xf>
    <x:xf numFmtId="164" fontId="0" fillId="51" borderId="0" xfId="0" applyNumberFormat="1" applyFont="1" applyFill="1" applyBorder="1" applyAlignment="1">
      <x:alignment horizontal="general" vertical="top" wrapText="1"/>
    </x:xf>
    <x:xf numFmtId="164" fontId="50" fillId="51" borderId="0" xfId="0" applyNumberFormat="1" applyFont="1" applyFill="1" applyBorder="1" applyAlignment="1">
      <x:alignment horizontal="general" vertical="top" wrapText="1"/>
    </x:xf>
    <x:xf numFmtId="164" fontId="51" fillId="51" borderId="0" xfId="0" applyNumberFormat="1" applyFont="1" applyFill="1" applyBorder="1" applyAlignment="1">
      <x:alignment horizontal="general" vertical="top" wrapText="1"/>
    </x:xf>
    <x:xf numFmtId="164" fontId="51" fillId="25" borderId="0" xfId="0" applyNumberFormat="1" applyFont="1" applyFill="1" applyBorder="1" applyAlignment="1">
      <x:alignment horizontal="center" vertical="bottom" wrapText="0"/>
    </x:xf>
    <x:xf numFmtId="164" fontId="47" fillId="72" borderId="0" xfId="0" applyNumberFormat="1" applyFont="1" applyFill="1" applyBorder="1" applyAlignment="1">
      <x:alignment horizontal="general" vertical="top" wrapText="1"/>
    </x:xf>
    <x:xf numFmtId="164" fontId="12" fillId="73" borderId="1" xfId="0" applyNumberFormat="1" applyFont="1" applyFill="1" applyBorder="1" applyAlignment="1">
      <x:alignment horizontal="general" vertical="top" wrapText="1"/>
    </x:xf>
    <x:xf numFmtId="164" fontId="59" fillId="73" borderId="1" xfId="0" applyNumberFormat="1" applyFont="1" applyFill="1" applyBorder="1" applyAlignment="1">
      <x:alignment horizontal="general" vertical="top" wrapText="1"/>
    </x:xf>
    <x:xf numFmtId="164" fontId="55" fillId="74" borderId="1" xfId="0" applyNumberFormat="1" applyFont="1" applyFill="1" applyBorder="1" applyAlignment="1">
      <x:alignment horizontal="general" vertical="center" wrapText="1"/>
    </x:xf>
    <x:xf numFmtId="164" fontId="60" fillId="74" borderId="1" xfId="0" applyNumberFormat="1" applyFont="1" applyFill="1" applyBorder="1" applyAlignment="1">
      <x:alignment horizontal="general" vertical="center" wrapText="1"/>
    </x:xf>
    <x:xf numFmtId="164" fontId="57" fillId="74" borderId="1" xfId="0" applyNumberFormat="1" applyFont="1" applyFill="1" applyBorder="1" applyAlignment="1">
      <x:alignment horizontal="general" vertical="center" wrapText="1"/>
    </x:xf>
    <x:xf numFmtId="164" fontId="14" fillId="74" borderId="1" xfId="0" applyNumberFormat="1" applyFont="1" applyFill="1" applyBorder="1" applyAlignment="1">
      <x:alignment horizontal="general" vertical="top" wrapText="1"/>
    </x:xf>
    <x:xf numFmtId="164" fontId="56" fillId="74" borderId="1" xfId="0" applyNumberFormat="1" applyFont="1" applyFill="1" applyBorder="1" applyAlignment="1">
      <x:alignment horizontal="general" vertical="top" wrapText="1"/>
    </x:xf>
    <x:xf numFmtId="164" fontId="12" fillId="15" borderId="1" xfId="0" applyNumberFormat="1" applyFont="1" applyFill="1" applyBorder="1" applyAlignment="1">
      <x:alignment horizontal="general" vertical="top" wrapText="1"/>
    </x:xf>
    <x:xf numFmtId="164" fontId="59" fillId="15" borderId="1" xfId="0" applyNumberFormat="1" applyFont="1" applyFill="1" applyBorder="1" applyAlignment="1">
      <x:alignment horizontal="general" vertical="top" wrapText="1"/>
    </x:xf>
    <x:xf numFmtId="164" fontId="55" fillId="64" borderId="1" xfId="0" applyNumberFormat="1" applyFont="1" applyFill="1" applyBorder="1" applyAlignment="1">
      <x:alignment horizontal="general" vertical="center" wrapText="1"/>
    </x:xf>
    <x:xf numFmtId="164" fontId="60" fillId="64" borderId="1" xfId="0" applyNumberFormat="1" applyFont="1" applyFill="1" applyBorder="1" applyAlignment="1">
      <x:alignment horizontal="general" vertical="center" wrapText="1"/>
    </x:xf>
    <x:xf numFmtId="164" fontId="14" fillId="64" borderId="1" xfId="0" applyNumberFormat="1" applyFont="1" applyFill="1" applyBorder="1" applyAlignment="1">
      <x:alignment horizontal="general" vertical="top" wrapText="1"/>
    </x:xf>
    <x:xf numFmtId="164" fontId="0" fillId="75" borderId="0" xfId="0" applyNumberFormat="1" applyFont="1" applyFill="1" applyBorder="1" applyAlignment="1">
      <x:alignment horizontal="general" vertical="bottom" wrapText="0"/>
    </x:xf>
    <x:xf numFmtId="164" fontId="38" fillId="75" borderId="0" xfId="0" applyNumberFormat="1" applyFont="1" applyFill="1" applyBorder="1" applyAlignment="1">
      <x:alignment horizontal="general" vertical="bottom" wrapText="0"/>
    </x:xf>
    <x:xf numFmtId="164" fontId="38" fillId="75" borderId="0" xfId="0" applyNumberFormat="1" applyFont="1" applyFill="1" applyBorder="1" applyAlignment="1">
      <x:alignment horizontal="center" vertical="bottom" wrapText="0"/>
    </x:xf>
    <x:xf numFmtId="164" fontId="0" fillId="76" borderId="0" xfId="0" applyNumberFormat="1" applyFont="1" applyFill="1" applyBorder="1" applyAlignment="1">
      <x:alignment horizontal="general" vertical="bottom" wrapText="0"/>
    </x:xf>
    <x:xf numFmtId="164" fontId="0" fillId="76" borderId="0" xfId="0" applyNumberFormat="1" applyFont="1" applyFill="1" applyBorder="1" applyAlignment="1">
      <x:alignment horizontal="general" vertical="bottom" wrapText="1"/>
    </x:xf>
    <x:xf numFmtId="164" fontId="0" fillId="77" borderId="0" xfId="0" applyNumberFormat="1" applyFont="1" applyFill="1" applyBorder="1" applyAlignment="1">
      <x:alignment horizontal="general" vertical="bottom" wrapText="0"/>
    </x:xf>
    <x:xf numFmtId="164" fontId="61" fillId="77" borderId="0" xfId="0" applyNumberFormat="1" applyFont="1" applyFill="1" applyBorder="1" applyAlignment="1">
      <x:alignment horizontal="general" vertical="bottom" wrapText="0"/>
    </x:xf>
    <x:xf numFmtId="164" fontId="61" fillId="77" borderId="0" xfId="0" applyNumberFormat="1" applyFont="1" applyFill="1" applyBorder="1" applyAlignment="1">
      <x:alignment horizontal="general" vertical="bottom" wrapText="1"/>
    </x:xf>
    <x:xf numFmtId="164" fontId="0" fillId="78" borderId="0" xfId="0" applyNumberFormat="1" applyFont="1" applyFill="1" applyBorder="1" applyAlignment="1">
      <x:alignment horizontal="general" vertical="bottom" wrapText="0"/>
    </x:xf>
    <x:xf numFmtId="164" fontId="42" fillId="78" borderId="0" xfId="0" applyNumberFormat="1" applyFont="1" applyFill="1" applyBorder="1" applyAlignment="1">
      <x:alignment horizontal="general" vertical="bottom" wrapText="0"/>
    </x:xf>
    <x:xf numFmtId="164" fontId="42" fillId="78" borderId="0" xfId="0" applyNumberFormat="1" applyFont="1" applyFill="1" applyBorder="1" applyAlignment="1">
      <x:alignment horizontal="general" vertical="bottom" wrapText="1"/>
    </x:xf>
    <x:xf numFmtId="164" fontId="42" fillId="78" borderId="0" xfId="0" applyNumberFormat="1" applyFont="1" applyFill="1" applyBorder="1" applyAlignment="1">
      <x:alignment horizontal="center" vertical="bottom" wrapText="1"/>
    </x:xf>
    <x:xf numFmtId="164" fontId="0" fillId="79" borderId="0" xfId="0" applyNumberFormat="1" applyFont="1" applyFill="1" applyBorder="1" applyAlignment="1">
      <x:alignment horizontal="general" vertical="top" wrapText="1"/>
    </x:xf>
    <x:xf numFmtId="164" fontId="44" fillId="79" borderId="0" xfId="0" applyNumberFormat="1" applyFont="1" applyFill="1" applyBorder="1" applyAlignment="1">
      <x:alignment horizontal="general" vertical="top" wrapText="1"/>
    </x:xf>
    <x:xf numFmtId="164" fontId="0" fillId="76" borderId="0" xfId="0" applyNumberFormat="1" applyFont="1" applyFill="1" applyBorder="1" applyAlignment="1">
      <x:alignment horizontal="general" vertical="top" wrapText="1"/>
    </x:xf>
    <x:xf numFmtId="164" fontId="45" fillId="76" borderId="0" xfId="0" applyNumberFormat="1" applyFont="1" applyFill="1" applyBorder="1" applyAlignment="1">
      <x:alignment horizontal="general" vertical="top" wrapText="1"/>
    </x:xf>
    <x:xf numFmtId="164" fontId="0" fillId="80" borderId="0" xfId="0" applyNumberFormat="1" applyFont="1" applyFill="1" applyBorder="1" applyAlignment="1">
      <x:alignment horizontal="general" vertical="top" wrapText="1"/>
    </x:xf>
    <x:xf numFmtId="164" fontId="46" fillId="80" borderId="0" xfId="0" applyNumberFormat="1" applyFont="1" applyFill="1" applyBorder="1" applyAlignment="1">
      <x:alignment horizontal="general" vertical="top" wrapText="1"/>
    </x:xf>
    <x:xf numFmtId="164" fontId="12" fillId="81" borderId="1" xfId="0" applyNumberFormat="1" applyFont="1" applyFill="1" applyBorder="1" applyAlignment="1">
      <x:alignment horizontal="general" vertical="top" wrapText="1"/>
    </x:xf>
    <x:xf numFmtId="164" fontId="56" fillId="81" borderId="1" xfId="0" applyNumberFormat="1" applyFont="1" applyFill="1" applyBorder="1" applyAlignment="1">
      <x:alignment horizontal="general" vertical="top" wrapText="1"/>
    </x:xf>
    <x:xf numFmtId="164" fontId="8" fillId="76" borderId="1" xfId="0" applyNumberFormat="1" applyFont="1" applyFill="1" applyBorder="1" applyAlignment="1">
      <x:alignment horizontal="general" vertical="top" wrapText="1"/>
    </x:xf>
    <x:xf numFmtId="164" fontId="55" fillId="76" borderId="1" xfId="0" applyNumberFormat="1" applyFont="1" applyFill="1" applyBorder="1" applyAlignment="1">
      <x:alignment horizontal="general" vertical="top" wrapText="1"/>
    </x:xf>
    <x:xf numFmtId="164" fontId="12" fillId="82" borderId="1" xfId="0" applyNumberFormat="1" applyFont="1" applyFill="1" applyBorder="1" applyAlignment="1">
      <x:alignment horizontal="general" vertical="top" wrapText="1"/>
    </x:xf>
    <x:xf numFmtId="164" fontId="8" fillId="83" borderId="1" xfId="0" applyNumberFormat="1" applyFont="1" applyFill="1" applyBorder="1" applyAlignment="1">
      <x:alignment horizontal="general" vertical="top" wrapText="1"/>
    </x:xf>
    <x:xf numFmtId="164" fontId="57" fillId="81" borderId="1" xfId="0" applyNumberFormat="1" applyFont="1" applyFill="1" applyBorder="1" applyAlignment="1">
      <x:alignment horizontal="general" vertical="top" wrapText="1"/>
    </x:xf>
    <x:xf numFmtId="164" fontId="57" fillId="82" borderId="1" xfId="0" applyNumberFormat="1" applyFont="1" applyFill="1" applyBorder="1" applyAlignment="1">
      <x:alignment horizontal="general" vertical="top" wrapText="1"/>
    </x:xf>
    <x:xf numFmtId="164" fontId="12" fillId="83" borderId="1" xfId="0" applyNumberFormat="1" applyFont="1" applyFill="1" applyBorder="1" applyAlignment="1">
      <x:alignment horizontal="general" vertical="top" wrapText="1"/>
    </x:xf>
    <x:xf numFmtId="164" fontId="14" fillId="82" borderId="1" xfId="0" applyNumberFormat="1" applyFont="1" applyFill="1" applyBorder="1" applyAlignment="1">
      <x:alignment horizontal="general" vertical="top" wrapText="1"/>
    </x:xf>
    <x:xf numFmtId="164" fontId="13" fillId="84" borderId="1" xfId="0" applyNumberFormat="1" applyFont="1" applyFill="1" applyBorder="1" applyAlignment="1">
      <x:alignment horizontal="general" vertical="top" wrapText="1"/>
    </x:xf>
    <x:xf numFmtId="164" fontId="8" fillId="81" borderId="1" xfId="0" applyNumberFormat="1" applyFont="1" applyFill="1" applyBorder="1" applyAlignment="1">
      <x:alignment horizontal="general" vertical="center" wrapText="1"/>
    </x:xf>
    <x:xf numFmtId="164" fontId="57" fillId="81" borderId="1" xfId="0" applyNumberFormat="1" applyFont="1" applyFill="1" applyBorder="1" applyAlignment="1">
      <x:alignment horizontal="general" vertical="center" wrapText="1"/>
    </x:xf>
    <x:xf numFmtId="164" fontId="57" fillId="83" borderId="1" xfId="0" applyNumberFormat="1" applyFont="1" applyFill="1" applyBorder="1" applyAlignment="1">
      <x:alignment horizontal="general" vertical="center" wrapText="1"/>
    </x:xf>
    <x:xf numFmtId="164" fontId="8" fillId="84" borderId="1" xfId="0" applyNumberFormat="1" applyFont="1" applyFill="1" applyBorder="1" applyAlignment="1">
      <x:alignment horizontal="general" vertical="top" wrapText="1"/>
    </x:xf>
    <x:xf numFmtId="164" fontId="56" fillId="82" borderId="1" xfId="0" applyNumberFormat="1" applyFont="1" applyFill="1" applyBorder="1" applyAlignment="1">
      <x:alignment horizontal="general" vertical="top" wrapText="1"/>
    </x:xf>
    <x:xf numFmtId="164" fontId="8" fillId="81" borderId="1" xfId="0" applyNumberFormat="1" applyFont="1" applyFill="1" applyBorder="1" applyAlignment="1">
      <x:alignment horizontal="general" vertical="top" wrapText="1"/>
    </x:xf>
    <x:xf numFmtId="164" fontId="57" fillId="84" borderId="1" xfId="0" applyNumberFormat="1" applyFont="1" applyFill="1" applyBorder="1" applyAlignment="1">
      <x:alignment horizontal="general" vertical="top" wrapText="1"/>
    </x:xf>
    <x:xf numFmtId="164" fontId="13" fillId="83" borderId="1" xfId="0" applyNumberFormat="1" applyFont="1" applyFill="1" applyBorder="1" applyAlignment="1">
      <x:alignment horizontal="general" vertical="top" wrapText="1"/>
    </x:xf>
    <x:xf numFmtId="164" fontId="14" fillId="81" borderId="1" xfId="0" applyNumberFormat="1" applyFont="1" applyFill="1" applyBorder="1" applyAlignment="1">
      <x:alignment horizontal="general" vertical="top" wrapText="1"/>
    </x:xf>
    <x:xf numFmtId="164" fontId="60" fillId="81" borderId="1" xfId="0" applyNumberFormat="1" applyFont="1" applyFill="1" applyBorder="1" applyAlignment="1">
      <x:alignment horizontal="general" vertical="center" wrapText="1"/>
    </x:xf>
    <x:xf numFmtId="164" fontId="57" fillId="82" borderId="1" xfId="0" applyNumberFormat="1" applyFont="1" applyFill="1" applyBorder="1" applyAlignment="1">
      <x:alignment horizontal="general" vertical="center" wrapText="1"/>
    </x:xf>
    <x:xf numFmtId="164" fontId="55" fillId="76" borderId="1" xfId="0" applyNumberFormat="1" applyFont="1" applyFill="1" applyBorder="1" applyAlignment="1">
      <x:alignment horizontal="general" vertical="center" wrapText="1"/>
    </x:xf>
    <x:xf numFmtId="164" fontId="57" fillId="83" borderId="1" xfId="0" applyNumberFormat="1" applyFont="1" applyFill="1" applyBorder="1" applyAlignment="1">
      <x:alignment horizontal="general" vertical="top" wrapText="1"/>
    </x:xf>
    <x:xf numFmtId="164" fontId="13" fillId="82" borderId="1" xfId="0" applyNumberFormat="1" applyFont="1" applyFill="1" applyBorder="1" applyAlignment="1">
      <x:alignment horizontal="general" vertical="top" wrapText="1"/>
    </x:xf>
    <x:xf numFmtId="164" fontId="12" fillId="84" borderId="1" xfId="0" applyNumberFormat="1" applyFont="1" applyFill="1" applyBorder="1" applyAlignment="1">
      <x:alignment horizontal="general" vertical="top" wrapText="1"/>
    </x:xf>
    <x:xf numFmtId="164" fontId="14" fillId="84" borderId="1" xfId="0" applyNumberFormat="1" applyFont="1" applyFill="1" applyBorder="1" applyAlignment="1">
      <x:alignment horizontal="general" vertical="top" wrapText="1"/>
    </x:xf>
    <x:xf numFmtId="164" fontId="8" fillId="84" borderId="1" xfId="0" applyNumberFormat="1" applyFont="1" applyFill="1" applyBorder="1" applyAlignment="1">
      <x:alignment horizontal="general" vertical="center" wrapText="1"/>
    </x:xf>
    <x:xf numFmtId="164" fontId="14" fillId="81" borderId="1" xfId="0" applyNumberFormat="1" applyFont="1" applyFill="1" applyBorder="1" applyAlignment="1">
      <x:alignment horizontal="general" vertical="center" wrapText="1"/>
    </x:xf>
    <x:xf numFmtId="164" fontId="56" fillId="81" borderId="1" xfId="0" applyNumberFormat="1" applyFont="1" applyFill="1" applyBorder="1" applyAlignment="1">
      <x:alignment horizontal="general" vertical="center" wrapText="1"/>
    </x:xf>
    <x:xf numFmtId="164" fontId="8" fillId="82" borderId="1" xfId="0" applyNumberFormat="1" applyFont="1" applyFill="1" applyBorder="1" applyAlignment="1">
      <x:alignment horizontal="general" vertical="center" wrapText="1"/>
    </x:xf>
    <x:xf numFmtId="164" fontId="0" fillId="85" borderId="0" xfId="0" applyNumberFormat="1" applyFont="1" applyFill="1" applyBorder="1" applyAlignment="1">
      <x:alignment horizontal="general" vertical="bottom" wrapText="0"/>
    </x:xf>
    <x:xf numFmtId="164" fontId="42" fillId="85" borderId="0" xfId="0" applyNumberFormat="1" applyFont="1" applyFill="1" applyBorder="1" applyAlignment="1">
      <x:alignment horizontal="general" vertical="bottom" wrapText="0"/>
    </x:xf>
    <x:xf numFmtId="164" fontId="42" fillId="85" borderId="0" xfId="0" applyNumberFormat="1" applyFont="1" applyFill="1" applyBorder="1" applyAlignment="1">
      <x:alignment horizontal="general" vertical="bottom" wrapText="1"/>
    </x:xf>
    <x:xf numFmtId="164" fontId="0" fillId="86" borderId="0" xfId="0" applyNumberFormat="1" applyFont="1" applyFill="1" applyBorder="1" applyAlignment="1">
      <x:alignment horizontal="general" vertical="top" wrapText="1"/>
    </x:xf>
    <x:xf numFmtId="164" fontId="62" fillId="86" borderId="0" xfId="0" applyNumberFormat="1" applyFont="1" applyFill="1" applyBorder="1" applyAlignment="1">
      <x:alignment horizontal="general" vertical="top" wrapText="1"/>
    </x:xf>
    <x:xf numFmtId="164" fontId="47" fillId="0" borderId="0" xfId="0" applyNumberFormat="1" applyFont="1" applyFill="1" applyBorder="1" applyAlignment="1">
      <x:alignment horizontal="general" vertical="bottom" wrapText="1"/>
    </x:xf>
    <x:xf numFmtId="164" fontId="44" fillId="80" borderId="0" xfId="0" applyNumberFormat="1" applyFont="1" applyFill="1" applyBorder="1" applyAlignment="1">
      <x:alignment horizontal="general" vertical="top" wrapText="1"/>
    </x:xf>
    <x:xf numFmtId="164" fontId="50" fillId="80" borderId="0" xfId="0" applyNumberFormat="1" applyFont="1" applyFill="1" applyBorder="1" applyAlignment="1">
      <x:alignment horizontal="general" vertical="top" wrapText="1"/>
    </x:xf>
    <x:xf numFmtId="164" fontId="45" fillId="80" borderId="0" xfId="0" applyNumberFormat="1" applyFont="1" applyFill="1" applyBorder="1" applyAlignment="1">
      <x:alignment horizontal="general" vertical="top" wrapText="1"/>
    </x:xf>
    <x:xf numFmtId="164" fontId="0" fillId="80" borderId="0" xfId="0" applyNumberFormat="1" applyFont="1" applyFill="1" applyBorder="1" applyAlignment="1">
      <x:alignment horizontal="general" vertical="bottom" wrapText="0"/>
    </x:xf>
    <x:xf numFmtId="164" fontId="46" fillId="80" borderId="0" xfId="0" applyNumberFormat="1" applyFont="1" applyFill="1" applyBorder="1" applyAlignment="1">
      <x:alignment horizontal="general" vertical="bottom" wrapText="0"/>
    </x:xf>
    <x:xf numFmtId="164" fontId="0" fillId="81" borderId="0" xfId="0" applyNumberFormat="1" applyFont="1" applyFill="1" applyBorder="1" applyAlignment="1">
      <x:alignment horizontal="general" vertical="top" wrapText="1"/>
    </x:xf>
    <x:xf numFmtId="164" fontId="63" fillId="81" borderId="0" xfId="0" applyNumberFormat="1" applyFont="1" applyFill="1" applyBorder="1" applyAlignment="1">
      <x:alignment horizontal="general" vertical="top" wrapText="1"/>
    </x:xf>
    <x:xf numFmtId="164" fontId="53" fillId="87" borderId="0" xfId="0" applyNumberFormat="1" applyFont="1" applyFill="1" applyBorder="1" applyAlignment="1">
      <x:alignment horizontal="center" vertical="center" wrapText="0"/>
    </x:xf>
    <x:xf numFmtId="164" fontId="53" fillId="87" borderId="0" xfId="0" applyNumberFormat="1" applyFont="1" applyFill="1" applyBorder="1" applyAlignment="1">
      <x:alignment horizontal="center" vertical="bottom" wrapText="0"/>
    </x:xf>
    <x:xf numFmtId="164" fontId="49" fillId="83" borderId="0" xfId="0" applyNumberFormat="1" applyFont="1" applyFill="1" applyBorder="1" applyAlignment="1">
      <x:alignment horizontal="general" vertical="center" wrapText="1"/>
    </x:xf>
    <x:xf numFmtId="164" fontId="0" fillId="83" borderId="0" xfId="0" applyNumberFormat="1" applyFont="1" applyFill="1" applyBorder="1" applyAlignment="1">
      <x:alignment horizontal="general" vertical="bottom" wrapText="1"/>
    </x:xf>
    <x:xf numFmtId="164" fontId="51" fillId="75" borderId="0" xfId="0" applyNumberFormat="1" applyFont="1" applyFill="1" applyBorder="1" applyAlignment="1">
      <x:alignment horizontal="center" vertical="center" wrapText="1"/>
    </x:xf>
    <x:xf numFmtId="164" fontId="51" fillId="75" borderId="0" xfId="0" applyNumberFormat="1" applyFont="1" applyFill="1" applyBorder="1" applyAlignment="1">
      <x:alignment horizontal="general" vertical="bottom" wrapText="0"/>
    </x:xf>
    <x:xf numFmtId="164" fontId="42" fillId="78" borderId="0" xfId="0" applyNumberFormat="1" applyFont="1" applyFill="1" applyBorder="1" applyAlignment="1">
      <x:alignment horizontal="center" vertical="top" wrapText="1"/>
    </x:xf>
    <x:xf numFmtId="164" fontId="51" fillId="68" borderId="0" xfId="0" applyNumberFormat="1" applyFont="1" applyFill="1" applyBorder="1" applyAlignment="1">
      <x:alignment horizontal="general" vertical="bottom" wrapText="1"/>
    </x:xf>
    <x:xf numFmtId="164" fontId="51" fillId="61" borderId="0" xfId="0" applyNumberFormat="1" applyFont="1" applyFill="1" applyBorder="1" applyAlignment="1">
      <x:alignment horizontal="general" vertical="bottom" wrapText="1"/>
    </x:xf>
    <x:xf numFmtId="164" fontId="0" fillId="88" borderId="0" xfId="0" applyNumberFormat="1" applyFont="1" applyFill="1" applyBorder="1" applyAlignment="1">
      <x:alignment horizontal="general" vertical="top" wrapText="1"/>
    </x:xf>
    <x:xf numFmtId="164" fontId="44" fillId="88" borderId="0" xfId="0" applyNumberFormat="1" applyFont="1" applyFill="1" applyBorder="1" applyAlignment="1">
      <x:alignment horizontal="general" vertical="top" wrapText="1"/>
    </x:xf>
    <x:xf numFmtId="164" fontId="45" fillId="88" borderId="0" xfId="0" applyNumberFormat="1" applyFont="1" applyFill="1" applyBorder="1" applyAlignment="1">
      <x:alignment horizontal="general" vertical="top" wrapText="1"/>
    </x:xf>
    <x:xf numFmtId="164" fontId="47" fillId="88" borderId="0" xfId="0" applyNumberFormat="1" applyFont="1" applyFill="1" applyBorder="1" applyAlignment="1">
      <x:alignment horizontal="general" vertical="top" wrapText="1"/>
    </x:xf>
    <x:xf numFmtId="164" fontId="51" fillId="88" borderId="0" xfId="0" applyNumberFormat="1" applyFont="1" applyFill="1" applyBorder="1" applyAlignment="1">
      <x:alignment horizontal="general" vertical="top" wrapText="1"/>
    </x:xf>
    <x:xf numFmtId="164" fontId="0" fillId="89" borderId="0" xfId="0" applyNumberFormat="1" applyFont="1" applyFill="1" applyBorder="1" applyAlignment="1">
      <x:alignment horizontal="general" vertical="top" wrapText="1"/>
    </x:xf>
    <x:xf numFmtId="164" fontId="45" fillId="89" borderId="0" xfId="0" applyNumberFormat="1" applyFont="1" applyFill="1" applyBorder="1" applyAlignment="1">
      <x:alignment horizontal="general" vertical="top" wrapText="1"/>
    </x:xf>
    <x:xf numFmtId="164" fontId="47" fillId="89" borderId="0" xfId="0" applyNumberFormat="1" applyFont="1" applyFill="1" applyBorder="1" applyAlignment="1">
      <x:alignment horizontal="general" vertical="top" wrapText="1"/>
    </x:xf>
    <x:xf numFmtId="164" fontId="42" fillId="89" borderId="0" xfId="0" applyNumberFormat="1" applyFont="1" applyFill="1" applyBorder="1" applyAlignment="1">
      <x:alignment horizontal="general" vertical="top" wrapText="1"/>
    </x:xf>
    <x:xf numFmtId="164" fontId="64" fillId="51" borderId="0" xfId="0" applyNumberFormat="1" applyFont="1" applyFill="1" applyBorder="1" applyAlignment="1">
      <x:alignment horizontal="general" vertical="top" wrapText="1"/>
    </x:xf>
    <x:xf numFmtId="164" fontId="64" fillId="25" borderId="0" xfId="0" applyNumberFormat="1" applyFont="1" applyFill="1" applyBorder="1" applyAlignment="1">
      <x:alignment horizontal="center" vertical="bottom" wrapText="1"/>
    </x:xf>
    <x:xf numFmtId="164" fontId="64" fillId="25" borderId="0" xfId="0" applyNumberFormat="1" applyFont="1" applyFill="1" applyBorder="1" applyAlignment="1">
      <x:alignment horizontal="center" vertical="top" wrapText="1"/>
    </x:xf>
    <x:xf numFmtId="164" fontId="47" fillId="29" borderId="0" xfId="0" applyNumberFormat="1" applyFont="1" applyFill="1" applyBorder="1" applyAlignment="1">
      <x:alignment horizontal="center" vertical="top" wrapText="1"/>
    </x:xf>
    <x:xf numFmtId="164" fontId="51" fillId="88" borderId="0" xfId="0" applyNumberFormat="1" applyFont="1" applyFill="1" applyBorder="1" applyAlignment="1">
      <x:alignment horizontal="general" vertical="bottom" wrapText="0"/>
    </x:xf>
    <x:xf numFmtId="164" fontId="42" fillId="89" borderId="0" xfId="0" applyNumberFormat="1" applyFont="1" applyFill="1" applyBorder="1" applyAlignment="1">
      <x:alignment horizontal="general" vertical="bottom" wrapText="1"/>
    </x:xf>
    <x:xf numFmtId="164" fontId="51" fillId="85" borderId="0" xfId="0" applyNumberFormat="1" applyFont="1" applyFill="1" applyBorder="1" applyAlignment="1">
      <x:alignment horizontal="general" vertical="bottom" wrapText="0"/>
    </x:xf>
    <x:xf numFmtId="164" fontId="42" fillId="90" borderId="0" xfId="0" applyNumberFormat="1" applyFont="1" applyFill="1" applyBorder="1" applyAlignment="1">
      <x:alignment horizontal="general" vertical="bottom" wrapText="1"/>
    </x:xf>
    <x:xf numFmtId="164" fontId="0" fillId="77" borderId="0" xfId="0" applyNumberFormat="1" applyFont="1" applyFill="1" applyBorder="1" applyAlignment="1">
      <x:alignment horizontal="general" vertical="top" wrapText="1"/>
    </x:xf>
    <x:xf numFmtId="164" fontId="0" fillId="91" borderId="0" xfId="0" applyNumberFormat="1" applyFont="1" applyFill="1" applyBorder="1" applyAlignment="1">
      <x:alignment horizontal="general" vertical="top" wrapText="1"/>
    </x:xf>
    <x:xf numFmtId="164" fontId="51" fillId="91" borderId="0" xfId="0" applyNumberFormat="1" applyFont="1" applyFill="1" applyBorder="1" applyAlignment="1">
      <x:alignment horizontal="general" vertical="top" wrapText="1"/>
    </x:xf>
    <x:xf numFmtId="164" fontId="0" fillId="92" borderId="0" xfId="0" applyNumberFormat="1" applyFont="1" applyFill="1" applyBorder="1" applyAlignment="1">
      <x:alignment horizontal="general" vertical="top" wrapText="1"/>
    </x:xf>
    <x:xf numFmtId="164" fontId="42" fillId="92" borderId="0" xfId="0" applyNumberFormat="1" applyFont="1" applyFill="1" applyBorder="1" applyAlignment="1">
      <x:alignment horizontal="general" vertical="top" wrapText="1"/>
    </x:xf>
    <x:xf numFmtId="164" fontId="42" fillId="25" borderId="0" xfId="0" applyNumberFormat="1" applyFont="1" applyFill="1" applyBorder="1" applyAlignment="1">
      <x:alignment horizontal="general" vertical="top" wrapText="1"/>
    </x:xf>
    <x:xf numFmtId="164" fontId="42" fillId="75" borderId="0" xfId="0" applyNumberFormat="1" applyFont="1" applyFill="1" applyBorder="1" applyAlignment="1">
      <x:alignment horizontal="general" vertical="bottom" wrapText="0"/>
    </x:xf>
    <x:xf numFmtId="164" fontId="0" fillId="79" borderId="0" xfId="0" applyNumberFormat="1" applyFont="1" applyFill="1" applyBorder="1" applyAlignment="1">
      <x:alignment horizontal="general" vertical="bottom" wrapText="0"/>
    </x:xf>
    <x:xf numFmtId="164" fontId="38" fillId="28" borderId="0" xfId="0" applyNumberFormat="1" applyFont="1" applyFill="1" applyBorder="1" applyAlignment="1">
      <x:alignment horizontal="general" vertical="bottom" wrapText="0"/>
    </x:xf>
    <x:xf numFmtId="164" fontId="38" fillId="28" borderId="0" xfId="0" applyNumberFormat="1" applyFont="1" applyFill="1" applyBorder="1" applyAlignment="1">
      <x:alignment horizontal="center" vertical="bottom" wrapText="0"/>
    </x:xf>
    <x:xf numFmtId="164" fontId="61" fillId="22" borderId="0" xfId="0" applyNumberFormat="1" applyFont="1" applyFill="1" applyBorder="1" applyAlignment="1">
      <x:alignment horizontal="general" vertical="bottom" wrapText="0"/>
    </x:xf>
    <x:xf numFmtId="164" fontId="61" fillId="22" borderId="0" xfId="0" applyNumberFormat="1" applyFont="1" applyFill="1" applyBorder="1" applyAlignment="1">
      <x:alignment horizontal="general" vertical="bottom" wrapText="1"/>
    </x:xf>
    <x:xf numFmtId="164" fontId="42" fillId="69" borderId="0" xfId="0" applyNumberFormat="1" applyFont="1" applyFill="1" applyBorder="1" applyAlignment="1">
      <x:alignment horizontal="center" vertical="bottom" wrapText="1"/>
    </x:xf>
    <x:xf numFmtId="164" fontId="12" fillId="9" borderId="1" xfId="0" applyNumberFormat="1" applyFont="1" applyFill="1" applyBorder="1" applyAlignment="1">
      <x:alignment horizontal="general" vertical="top" wrapText="1"/>
    </x:xf>
    <x:xf numFmtId="164" fontId="57" fillId="9" borderId="1" xfId="0" applyNumberFormat="1" applyFont="1" applyFill="1" applyBorder="1" applyAlignment="1">
      <x:alignment horizontal="general" vertical="top" wrapText="1"/>
    </x:xf>
    <x:xf numFmtId="164" fontId="14" fillId="9" borderId="1" xfId="0" applyNumberFormat="1" applyFont="1" applyFill="1" applyBorder="1" applyAlignment="1">
      <x:alignment horizontal="general" vertical="top" wrapText="1"/>
    </x:xf>
    <x:xf numFmtId="164" fontId="57" fillId="8" borderId="1" xfId="0" applyNumberFormat="1" applyFont="1" applyFill="1" applyBorder="1" applyAlignment="1">
      <x:alignment horizontal="general" vertical="center" wrapText="1"/>
    </x:xf>
    <x:xf numFmtId="164" fontId="56" fillId="9" borderId="1" xfId="0" applyNumberFormat="1" applyFont="1" applyFill="1" applyBorder="1" applyAlignment="1">
      <x:alignment horizontal="general" vertical="top" wrapText="1"/>
    </x:xf>
    <x:xf numFmtId="164" fontId="57" fillId="19" borderId="1" xfId="0" applyNumberFormat="1" applyFont="1" applyFill="1" applyBorder="1" applyAlignment="1">
      <x:alignment horizontal="general" vertical="top" wrapText="1"/>
    </x:xf>
    <x:xf numFmtId="164" fontId="57" fillId="9" borderId="1" xfId="0" applyNumberFormat="1" applyFont="1" applyFill="1" applyBorder="1" applyAlignment="1">
      <x:alignment horizontal="general" vertical="center" wrapText="1"/>
    </x:xf>
    <x:xf numFmtId="164" fontId="57" fillId="8" borderId="1" xfId="0" applyNumberFormat="1" applyFont="1" applyFill="1" applyBorder="1" applyAlignment="1">
      <x:alignment horizontal="general" vertical="top" wrapText="1"/>
    </x:xf>
    <x:xf numFmtId="164" fontId="13" fillId="9" borderId="1" xfId="0" applyNumberFormat="1" applyFont="1" applyFill="1" applyBorder="1" applyAlignment="1">
      <x:alignment horizontal="general" vertical="top" wrapText="1"/>
    </x:xf>
    <x:xf numFmtId="164" fontId="14" fillId="64" borderId="1" xfId="0" applyNumberFormat="1" applyFont="1" applyFill="1" applyBorder="1" applyAlignment="1">
      <x:alignment horizontal="general" vertical="center" wrapText="1"/>
    </x:xf>
    <x:xf numFmtId="164" fontId="56" fillId="64" borderId="1" xfId="0" applyNumberFormat="1" applyFont="1" applyFill="1" applyBorder="1" applyAlignment="1">
      <x:alignment horizontal="general" vertical="center" wrapText="1"/>
    </x:xf>
    <x:xf numFmtId="164" fontId="8" fillId="9" borderId="1" xfId="0" applyNumberFormat="1" applyFont="1" applyFill="1" applyBorder="1" applyAlignment="1">
      <x:alignment horizontal="general" vertical="center" wrapText="1"/>
    </x:xf>
    <x:xf numFmtId="164" fontId="0" fillId="64" borderId="0" xfId="0" applyNumberFormat="1" applyFont="1" applyFill="1" applyBorder="1" applyAlignment="1">
      <x:alignment horizontal="general" vertical="top" wrapText="1"/>
    </x:xf>
    <x:xf numFmtId="164" fontId="63" fillId="64" borderId="0" xfId="0" applyNumberFormat="1" applyFont="1" applyFill="1" applyBorder="1" applyAlignment="1">
      <x:alignment horizontal="general" vertical="top" wrapText="1"/>
    </x:xf>
    <x:xf numFmtId="164" fontId="51" fillId="28" borderId="0" xfId="0" applyNumberFormat="1" applyFont="1" applyFill="1" applyBorder="1" applyAlignment="1">
      <x:alignment horizontal="center" vertical="center" wrapText="1"/>
    </x:xf>
    <x:xf numFmtId="164" fontId="51" fillId="28" borderId="0" xfId="0" applyNumberFormat="1" applyFont="1" applyFill="1" applyBorder="1" applyAlignment="1">
      <x:alignment horizontal="general" vertical="bottom" wrapText="0"/>
    </x:xf>
    <x:xf numFmtId="164" fontId="42" fillId="69" borderId="0" xfId="0" applyNumberFormat="1" applyFont="1" applyFill="1" applyBorder="1" applyAlignment="1">
      <x:alignment horizontal="center" vertical="top" wrapText="1"/>
    </x:xf>
    <x:xf numFmtId="164" fontId="0" fillId="23" borderId="0" xfId="0" applyNumberFormat="1" applyFont="1" applyFill="1" applyBorder="1" applyAlignment="1">
      <x:alignment horizontal="general" vertical="top" wrapText="1"/>
    </x:xf>
    <x:xf numFmtId="164" fontId="44" fillId="23" borderId="0" xfId="0" applyNumberFormat="1" applyFont="1" applyFill="1" applyBorder="1" applyAlignment="1">
      <x:alignment horizontal="general" vertical="top" wrapText="1"/>
    </x:xf>
    <x:xf numFmtId="164" fontId="45" fillId="23" borderId="0" xfId="0" applyNumberFormat="1" applyFont="1" applyFill="1" applyBorder="1" applyAlignment="1">
      <x:alignment horizontal="general" vertical="top" wrapText="1"/>
    </x:xf>
    <x:xf numFmtId="164" fontId="47" fillId="23" borderId="0" xfId="0" applyNumberFormat="1" applyFont="1" applyFill="1" applyBorder="1" applyAlignment="1">
      <x:alignment horizontal="general" vertical="top" wrapText="1"/>
    </x:xf>
    <x:xf numFmtId="164" fontId="51" fillId="23" borderId="0" xfId="0" applyNumberFormat="1" applyFont="1" applyFill="1" applyBorder="1" applyAlignment="1">
      <x:alignment horizontal="general" vertical="top" wrapText="1"/>
    </x:xf>
    <x:xf numFmtId="164" fontId="0" fillId="67" borderId="0" xfId="0" applyNumberFormat="1" applyFont="1" applyFill="1" applyBorder="1" applyAlignment="1">
      <x:alignment horizontal="general" vertical="top" wrapText="1"/>
    </x:xf>
    <x:xf numFmtId="164" fontId="45" fillId="67" borderId="0" xfId="0" applyNumberFormat="1" applyFont="1" applyFill="1" applyBorder="1" applyAlignment="1">
      <x:alignment horizontal="general" vertical="top" wrapText="1"/>
    </x:xf>
    <x:xf numFmtId="164" fontId="47" fillId="67" borderId="0" xfId="0" applyNumberFormat="1" applyFont="1" applyFill="1" applyBorder="1" applyAlignment="1">
      <x:alignment horizontal="general" vertical="top" wrapText="1"/>
    </x:xf>
    <x:xf numFmtId="164" fontId="42" fillId="67" borderId="0" xfId="0" applyNumberFormat="1" applyFont="1" applyFill="1" applyBorder="1" applyAlignment="1">
      <x:alignment horizontal="general" vertical="top" wrapText="1"/>
    </x:xf>
    <x:xf numFmtId="164" fontId="0" fillId="25" borderId="0" xfId="0" applyNumberFormat="1" applyFont="1" applyFill="1" applyBorder="1" applyAlignment="1">
      <x:alignment horizontal="general" vertical="top" wrapText="1"/>
    </x:xf>
    <x:xf numFmtId="164" fontId="38" fillId="93" borderId="0" xfId="0" applyNumberFormat="1" applyFont="1" applyFill="1" applyBorder="1" applyAlignment="1">
      <x:alignment horizontal="center" vertical="center" wrapText="1"/>
    </x:xf>
    <x:xf numFmtId="164" fontId="38" fillId="93" borderId="0" xfId="0" applyNumberFormat="1" applyFont="1" applyFill="1" applyBorder="1" applyAlignment="1">
      <x:alignment horizontal="center" vertical="center" wrapText="0"/>
    </x:xf>
    <x:xf numFmtId="164" fontId="49" fillId="94" borderId="0" xfId="0" applyNumberFormat="1" applyFont="1" applyFill="1" applyBorder="1" applyAlignment="1">
      <x:alignment horizontal="general" vertical="bottom" wrapText="1"/>
    </x:xf>
    <x:xf numFmtId="164" fontId="52" fillId="95" borderId="0" xfId="0" applyNumberFormat="1" applyFont="1" applyFill="1" applyBorder="1" applyAlignment="1">
      <x:alignment horizontal="general" vertical="bottom" wrapText="1"/>
    </x:xf>
    <x:xf numFmtId="164" fontId="42" fillId="96" borderId="0" xfId="0" applyNumberFormat="1" applyFont="1" applyFill="1" applyBorder="1" applyAlignment="1">
      <x:alignment horizontal="center" vertical="center" wrapText="1"/>
    </x:xf>
    <x:xf numFmtId="164" fontId="0" fillId="97" borderId="0" xfId="0" applyNumberFormat="1" applyFont="1" applyFill="1" applyBorder="1" applyAlignment="1">
      <x:alignment horizontal="general" vertical="top" wrapText="1"/>
    </x:xf>
    <x:xf numFmtId="164" fontId="44" fillId="97" borderId="0" xfId="0" applyNumberFormat="1" applyFont="1" applyFill="1" applyBorder="1" applyAlignment="1">
      <x:alignment horizontal="general" vertical="top" wrapText="1"/>
    </x:xf>
    <x:xf numFmtId="164" fontId="0" fillId="98" borderId="0" xfId="0" applyNumberFormat="1" applyFont="1" applyFill="1" applyBorder="1" applyAlignment="1">
      <x:alignment horizontal="general" vertical="top" wrapText="1"/>
    </x:xf>
    <x:xf numFmtId="164" fontId="62" fillId="98" borderId="0" xfId="0" applyNumberFormat="1" applyFont="1" applyFill="1" applyBorder="1" applyAlignment="1">
      <x:alignment horizontal="general" vertical="top" wrapText="1"/>
    </x:xf>
    <x:xf numFmtId="164" fontId="47" fillId="99" borderId="0" xfId="0" applyNumberFormat="1" applyFont="1" applyFill="1" applyBorder="1" applyAlignment="1">
      <x:alignment horizontal="general" vertical="top" wrapText="1"/>
    </x:xf>
    <x:xf numFmtId="164" fontId="38" fillId="100" borderId="0" xfId="0" applyNumberFormat="1" applyFont="1" applyFill="1" applyBorder="1" applyAlignment="1">
      <x:alignment horizontal="center" vertical="bottom" wrapText="0"/>
    </x:xf>
    <x:xf numFmtId="164" fontId="0" fillId="101" borderId="0" xfId="0" applyNumberFormat="1" applyFont="1" applyFill="1" applyBorder="1" applyAlignment="1">
      <x:alignment horizontal="general" vertical="bottom" wrapText="1"/>
    </x:xf>
    <x:xf numFmtId="164" fontId="42" fillId="102" borderId="0" xfId="0" applyNumberFormat="1" applyFont="1" applyFill="1" applyBorder="1" applyAlignment="1">
      <x:alignment horizontal="center" vertical="bottom" wrapText="1"/>
    </x:xf>
    <x:xf numFmtId="164" fontId="0" fillId="103" borderId="0" xfId="0" applyNumberFormat="1" applyFont="1" applyFill="1" applyBorder="1" applyAlignment="1">
      <x:alignment horizontal="general" vertical="bottom" wrapText="0"/>
    </x:xf>
    <x:xf numFmtId="164" fontId="38" fillId="103" borderId="0" xfId="0" applyNumberFormat="1" applyFont="1" applyFill="1" applyBorder="1" applyAlignment="1">
      <x:alignment horizontal="general" vertical="bottom" wrapText="0"/>
    </x:xf>
    <x:xf numFmtId="164" fontId="38" fillId="103" borderId="0" xfId="0" applyNumberFormat="1" applyFont="1" applyFill="1" applyBorder="1" applyAlignment="1">
      <x:alignment horizontal="center" vertical="bottom" wrapText="0"/>
    </x:xf>
    <x:xf numFmtId="164" fontId="0" fillId="104" borderId="0" xfId="0" applyNumberFormat="1" applyFont="1" applyFill="1" applyBorder="1" applyAlignment="1">
      <x:alignment horizontal="general" vertical="bottom" wrapText="0"/>
    </x:xf>
    <x:xf numFmtId="164" fontId="0" fillId="104" borderId="0" xfId="0" applyNumberFormat="1" applyFont="1" applyFill="1" applyBorder="1" applyAlignment="1">
      <x:alignment horizontal="general" vertical="bottom" wrapText="1"/>
    </x:xf>
    <x:xf numFmtId="164" fontId="0" fillId="95" borderId="0" xfId="0" applyNumberFormat="1" applyFont="1" applyFill="1" applyBorder="1" applyAlignment="1">
      <x:alignment horizontal="general" vertical="bottom" wrapText="0"/>
    </x:xf>
    <x:xf numFmtId="164" fontId="0" fillId="95" borderId="0" xfId="0" applyNumberFormat="1" applyFont="1" applyFill="1" applyBorder="1" applyAlignment="1">
      <x:alignment horizontal="general" vertical="bottom" wrapText="1"/>
    </x:xf>
    <x:xf numFmtId="164" fontId="0" fillId="105" borderId="0" xfId="0" applyNumberFormat="1" applyFont="1" applyFill="1" applyBorder="1" applyAlignment="1">
      <x:alignment horizontal="general" vertical="bottom" wrapText="0"/>
    </x:xf>
    <x:xf numFmtId="164" fontId="42" fillId="105" borderId="0" xfId="0" applyNumberFormat="1" applyFont="1" applyFill="1" applyBorder="1" applyAlignment="1">
      <x:alignment horizontal="general" vertical="bottom" wrapText="0"/>
    </x:xf>
    <x:xf numFmtId="164" fontId="42" fillId="105" borderId="0" xfId="0" applyNumberFormat="1" applyFont="1" applyFill="1" applyBorder="1" applyAlignment="1">
      <x:alignment horizontal="general" vertical="bottom" wrapText="1"/>
    </x:xf>
    <x:xf numFmtId="164" fontId="42" fillId="105" borderId="0" xfId="0" applyNumberFormat="1" applyFont="1" applyFill="1" applyBorder="1" applyAlignment="1">
      <x:alignment horizontal="center" vertical="bottom" wrapText="1"/>
    </x:xf>
    <x:xf numFmtId="164" fontId="0" fillId="95" borderId="0" xfId="0" applyNumberFormat="1" applyFont="1" applyFill="1" applyBorder="1" applyAlignment="1">
      <x:alignment horizontal="general" vertical="top" wrapText="1"/>
    </x:xf>
    <x:xf numFmtId="164" fontId="45" fillId="95" borderId="0" xfId="0" applyNumberFormat="1" applyFont="1" applyFill="1" applyBorder="1" applyAlignment="1">
      <x:alignment horizontal="general" vertical="top" wrapText="1"/>
    </x:xf>
    <x:xf numFmtId="164" fontId="0" fillId="106" borderId="0" xfId="0" applyNumberFormat="1" applyFont="1" applyFill="1" applyBorder="1" applyAlignment="1">
      <x:alignment horizontal="general" vertical="top" wrapText="1"/>
    </x:xf>
    <x:xf numFmtId="164" fontId="46" fillId="106" borderId="0" xfId="0" applyNumberFormat="1" applyFont="1" applyFill="1" applyBorder="1" applyAlignment="1">
      <x:alignment horizontal="general" vertical="top" wrapText="1"/>
    </x:xf>
    <x:xf numFmtId="164" fontId="53" fillId="93" borderId="0" xfId="0" applyNumberFormat="1" applyFont="1" applyFill="1" applyBorder="1" applyAlignment="1">
      <x:alignment horizontal="center" vertical="center" wrapText="0"/>
    </x:xf>
    <x:xf numFmtId="164" fontId="49" fillId="94" borderId="0" xfId="0" applyNumberFormat="1" applyFont="1" applyFill="1" applyBorder="1" applyAlignment="1">
      <x:alignment horizontal="general" vertical="center" wrapText="1"/>
    </x:xf>
    <x:xf numFmtId="164" fontId="51" fillId="107" borderId="0" xfId="0" applyNumberFormat="1" applyFont="1" applyFill="1" applyBorder="1" applyAlignment="1">
      <x:alignment horizontal="center" vertical="center" wrapText="1"/>
    </x:xf>
    <x:xf numFmtId="164" fontId="53" fillId="93" borderId="0" xfId="0" applyNumberFormat="1" applyFont="1" applyFill="1" applyBorder="1" applyAlignment="1">
      <x:alignment horizontal="center" vertical="bottom" wrapText="0"/>
    </x:xf>
    <x:xf numFmtId="164" fontId="38" fillId="93" borderId="0" xfId="0" applyNumberFormat="1" applyFont="1" applyFill="1" applyBorder="1" applyAlignment="1">
      <x:alignment horizontal="center" vertical="bottom" wrapText="0"/>
    </x:xf>
    <x:xf numFmtId="164" fontId="0" fillId="94" borderId="0" xfId="0" applyNumberFormat="1" applyFont="1" applyFill="1" applyBorder="1" applyAlignment="1">
      <x:alignment horizontal="general" vertical="bottom" wrapText="1"/>
    </x:xf>
    <x:xf numFmtId="164" fontId="51" fillId="107" borderId="0" xfId="0" applyNumberFormat="1" applyFont="1" applyFill="1" applyBorder="1" applyAlignment="1">
      <x:alignment horizontal="general" vertical="bottom" wrapText="0"/>
    </x:xf>
    <x:xf numFmtId="164" fontId="51" fillId="107" borderId="0" xfId="0" applyNumberFormat="1" applyFont="1" applyFill="1" applyBorder="1" applyAlignment="1">
      <x:alignment horizontal="general" vertical="bottom" wrapText="1"/>
    </x:xf>
    <x:xf numFmtId="164" fontId="51" fillId="107" borderId="0" xfId="0" applyNumberFormat="1" applyFont="1" applyFill="1" applyBorder="1" applyAlignment="1">
      <x:alignment horizontal="center" vertical="bottom" wrapText="1"/>
    </x:xf>
    <x:xf numFmtId="164" fontId="51" fillId="85" borderId="0" xfId="0" applyNumberFormat="1" applyFont="1" applyFill="1" applyBorder="1" applyAlignment="1">
      <x:alignment horizontal="general" vertical="bottom" wrapText="1"/>
    </x:xf>
    <x:xf numFmtId="164" fontId="51" fillId="85" borderId="0" xfId="0" applyNumberFormat="1" applyFont="1" applyFill="1" applyBorder="1" applyAlignment="1">
      <x:alignment horizontal="general" vertical="top" wrapText="1"/>
    </x:xf>
    <x:xf numFmtId="164" fontId="42" fillId="26" borderId="0" xfId="0" applyNumberFormat="1" applyFont="1" applyFill="1" applyBorder="1" applyAlignment="1">
      <x:alignment horizontal="general" vertical="top" wrapText="1"/>
    </x:xf>
    <x:xf numFmtId="164" fontId="42" fillId="108" borderId="0" xfId="0" applyNumberFormat="1" applyFont="1" applyFill="1" applyBorder="1" applyAlignment="1">
      <x:alignment horizontal="center" vertical="bottom" wrapText="1"/>
    </x:xf>
    <x:xf numFmtId="164" fontId="42" fillId="108" borderId="0" xfId="0" applyNumberFormat="1" applyFont="1" applyFill="1" applyBorder="1" applyAlignment="1">
      <x:alignment horizontal="center" vertical="center" wrapText="1"/>
    </x:xf>
    <x:xf numFmtId="164" fontId="42" fillId="85" borderId="0" xfId="0" applyNumberFormat="1" applyFont="1" applyFill="1" applyBorder="1" applyAlignment="1">
      <x:alignment horizontal="center" vertical="bottom" wrapText="1"/>
    </x:xf>
    <x:xf numFmtId="164" fontId="51" fillId="25" borderId="0" xfId="0" applyNumberFormat="1" applyFont="1" applyFill="1" applyBorder="1" applyAlignment="1">
      <x:alignment horizontal="center" vertical="center" wrapText="1"/>
    </x:xf>
    <x:xf numFmtId="164" fontId="51" fillId="25" borderId="0" xfId="0" applyNumberFormat="1" applyFont="1" applyFill="1" applyBorder="1" applyAlignment="1">
      <x:alignment horizontal="general" vertical="bottom" wrapText="0"/>
    </x:xf>
    <x:xf numFmtId="164" fontId="51" fillId="25" borderId="0" xfId="0" applyNumberFormat="1" applyFont="1" applyFill="1" applyBorder="1" applyAlignment="1">
      <x:alignment horizontal="general" vertical="bottom" wrapText="1"/>
    </x:xf>
    <x:xf numFmtId="164" fontId="42" fillId="65" borderId="0" xfId="0" applyNumberFormat="1" applyFont="1" applyFill="1" applyBorder="1" applyAlignment="1">
      <x:alignment horizontal="center" vertical="center" wrapText="1"/>
    </x:xf>
    <x:xf numFmtId="164" fontId="8" fillId="5" borderId="1" xfId="0" applyNumberFormat="1" applyFont="1" applyFill="1" applyBorder="1" applyAlignment="1">
      <x:alignment horizontal="general" vertical="top" wrapText="1"/>
    </x:xf>
    <x:xf numFmtId="164" fontId="8" fillId="7" borderId="1" xfId="0" applyNumberFormat="1" applyFont="1" applyFill="1" applyBorder="1" applyAlignment="1">
      <x:alignment horizontal="general" vertical="top" wrapText="1"/>
    </x:xf>
    <x:xf numFmtId="164" fontId="8" fillId="9" borderId="1" xfId="0" applyNumberFormat="1" applyFont="1" applyFill="1" applyBorder="1" applyAlignment="1">
      <x:alignment horizontal="general" vertical="top" wrapText="1"/>
    </x:xf>
    <x:xf numFmtId="164" fontId="8" fillId="2" borderId="1" xfId="0" applyNumberFormat="1" applyFont="1" applyFill="1" applyBorder="1" applyAlignment="1">
      <x:alignment horizontal="general" vertical="top" wrapText="1"/>
    </x:xf>
    <x:xf numFmtId="164" fontId="65" fillId="9" borderId="1" xfId="0" applyNumberFormat="1" applyFont="1" applyFill="1" applyBorder="1" applyAlignment="1">
      <x:alignment horizontal="general" vertical="top" wrapText="1"/>
    </x:xf>
    <x:xf numFmtId="164" fontId="65" fillId="19" borderId="1" xfId="0" applyNumberFormat="1" applyFont="1" applyFill="1" applyBorder="1" applyAlignment="1">
      <x:alignment horizontal="general" vertical="top" wrapText="1"/>
    </x:xf>
    <x:xf numFmtId="164" fontId="9" fillId="10" borderId="0" xfId="0" applyNumberFormat="1" applyFont="1" applyFill="1" applyBorder="1" applyAlignment="1">
      <x:alignment horizontal="general" vertical="center" wrapText="1"/>
    </x:xf>
    <x:xf numFmtId="164" fontId="19" fillId="29" borderId="0" xfId="0" applyNumberFormat="1" applyFont="1" applyFill="1" applyBorder="1" applyAlignment="1">
      <x:alignment horizontal="left" vertical="center" wrapText="1"/>
    </x:xf>
    <x:xf numFmtId="164" fontId="0" fillId="109" borderId="0" xfId="0" applyNumberFormat="1" applyFont="1" applyFill="1" applyBorder="1" applyAlignment="1">
      <x:alignment horizontal="general" vertical="top" wrapText="1"/>
    </x:xf>
    <x:xf numFmtId="164" fontId="47" fillId="109" borderId="0" xfId="0" applyNumberFormat="1" applyFont="1" applyFill="1" applyBorder="1" applyAlignment="1">
      <x:alignment horizontal="general" vertical="top" wrapText="1"/>
    </x:xf>
    <x:xf numFmtId="164" fontId="44" fillId="109" borderId="0" xfId="0" applyNumberFormat="1" applyFont="1" applyFill="1" applyBorder="1" applyAlignment="1">
      <x:alignment horizontal="general" vertical="top" wrapText="1"/>
    </x:xf>
    <x:xf numFmtId="164" fontId="45" fillId="109" borderId="0" xfId="0" applyNumberFormat="1" applyFont="1" applyFill="1" applyBorder="1" applyAlignment="1">
      <x:alignment horizontal="general" vertical="top" wrapText="1"/>
    </x:xf>
    <x:xf numFmtId="164" fontId="47" fillId="109" borderId="0" xfId="0" applyNumberFormat="1" applyFont="1" applyFill="1" applyBorder="1" applyAlignment="1">
      <x:alignment horizontal="center" vertical="top" wrapText="1"/>
    </x:xf>
    <x:xf numFmtId="164" fontId="0" fillId="110" borderId="0" xfId="0" applyNumberFormat="1" applyFont="1" applyFill="1" applyBorder="1" applyAlignment="1">
      <x:alignment horizontal="general" vertical="top" wrapText="1"/>
    </x:xf>
    <x:xf numFmtId="164" fontId="47" fillId="110" borderId="0" xfId="0" applyNumberFormat="1" applyFont="1" applyFill="1" applyBorder="1" applyAlignment="1">
      <x:alignment horizontal="general" vertical="top" wrapText="1"/>
    </x:xf>
    <x:xf numFmtId="164" fontId="47" fillId="110" borderId="0" xfId="0" applyNumberFormat="1" applyFont="1" applyFill="1" applyBorder="1" applyAlignment="1">
      <x:alignment horizontal="center" vertical="top" wrapText="1"/>
    </x:xf>
    <x:xf numFmtId="164" fontId="45" fillId="110" borderId="0" xfId="0" applyNumberFormat="1" applyFont="1" applyFill="1" applyBorder="1" applyAlignment="1">
      <x:alignment horizontal="general" vertical="top" wrapText="1"/>
    </x:xf>
    <x:xf numFmtId="164" fontId="62" fillId="110" borderId="0" xfId="0" applyNumberFormat="1" applyFont="1" applyFill="1" applyBorder="1" applyAlignment="1">
      <x:alignment horizontal="general" vertical="top" wrapText="1"/>
    </x:xf>
    <x:xf numFmtId="164" fontId="48" fillId="110" borderId="0" xfId="0" applyNumberFormat="1" applyFont="1" applyFill="1" applyBorder="1" applyAlignment="1">
      <x:alignment horizontal="general" vertical="top" wrapText="1"/>
    </x:xf>
    <x:xf numFmtId="164" fontId="43" fillId="110" borderId="0" xfId="0" applyNumberFormat="1" applyFont="1" applyFill="1" applyBorder="1" applyAlignment="1">
      <x:alignment horizontal="general" vertical="top" wrapText="1"/>
    </x:xf>
    <x:xf numFmtId="164" fontId="46" fillId="110" borderId="0" xfId="0" applyNumberFormat="1" applyFont="1" applyFill="1" applyBorder="1" applyAlignment="1">
      <x:alignment horizontal="general" vertical="top" wrapText="1"/>
    </x:xf>
    <x:xf numFmtId="164" fontId="44" fillId="110" borderId="0" xfId="0" applyNumberFormat="1" applyFont="1" applyFill="1" applyBorder="1" applyAlignment="1">
      <x:alignment horizontal="general" vertical="top" wrapText="1"/>
    </x:xf>
    <x:xf numFmtId="164" fontId="46" fillId="109" borderId="0" xfId="0" applyNumberFormat="1" applyFont="1" applyFill="1" applyBorder="1" applyAlignment="1">
      <x:alignment horizontal="general" vertical="top" wrapText="1"/>
    </x:xf>
    <x:xf numFmtId="164" fontId="0" fillId="111" borderId="0" xfId="0" applyNumberFormat="1" applyFont="1" applyFill="1" applyBorder="1" applyAlignment="1">
      <x:alignment horizontal="general" vertical="top" wrapText="1"/>
    </x:xf>
    <x:xf numFmtId="164" fontId="43" fillId="111" borderId="0" xfId="0" applyNumberFormat="1" applyFont="1" applyFill="1" applyBorder="1" applyAlignment="1">
      <x:alignment horizontal="general" vertical="top" wrapText="1"/>
    </x:xf>
    <x:xf numFmtId="164" fontId="44" fillId="111" borderId="0" xfId="0" applyNumberFormat="1" applyFont="1" applyFill="1" applyBorder="1" applyAlignment="1">
      <x:alignment horizontal="general" vertical="top" wrapText="1"/>
    </x:xf>
    <x:xf numFmtId="164" fontId="45" fillId="111" borderId="0" xfId="0" applyNumberFormat="1" applyFont="1" applyFill="1" applyBorder="1" applyAlignment="1">
      <x:alignment horizontal="general" vertical="top" wrapText="1"/>
    </x:xf>
    <x:xf numFmtId="164" fontId="46" fillId="111" borderId="0" xfId="0" applyNumberFormat="1" applyFont="1" applyFill="1" applyBorder="1" applyAlignment="1">
      <x:alignment horizontal="general" vertical="top" wrapText="1"/>
    </x:xf>
    <x:xf numFmtId="164" fontId="0" fillId="112" borderId="0" xfId="0" applyNumberFormat="1" applyFont="1" applyFill="1" applyBorder="1" applyAlignment="1">
      <x:alignment horizontal="general" vertical="top" wrapText="1"/>
    </x:xf>
    <x:xf numFmtId="164" fontId="43" fillId="112" borderId="0" xfId="0" applyNumberFormat="1" applyFont="1" applyFill="1" applyBorder="1" applyAlignment="1">
      <x:alignment horizontal="general" vertical="top" wrapText="1"/>
    </x:xf>
    <x:xf numFmtId="164" fontId="50" fillId="112" borderId="0" xfId="0" applyNumberFormat="1" applyFont="1" applyFill="1" applyBorder="1" applyAlignment="1">
      <x:alignment horizontal="general" vertical="top" wrapText="1"/>
    </x:xf>
    <x:xf numFmtId="164" fontId="44" fillId="112" borderId="0" xfId="0" applyNumberFormat="1" applyFont="1" applyFill="1" applyBorder="1" applyAlignment="1">
      <x:alignment horizontal="general" vertical="top" wrapText="1"/>
    </x:xf>
    <x:xf numFmtId="164" fontId="46" fillId="112" borderId="0" xfId="0" applyNumberFormat="1" applyFont="1" applyFill="1" applyBorder="1" applyAlignment="1">
      <x:alignment horizontal="general" vertical="top" wrapText="1"/>
    </x:xf>
    <x:xf numFmtId="164" fontId="45" fillId="112" borderId="0" xfId="0" applyNumberFormat="1" applyFont="1" applyFill="1" applyBorder="1" applyAlignment="1">
      <x:alignment horizontal="general" vertical="top" wrapText="1"/>
    </x:xf>
    <x:xf numFmtId="164" fontId="47" fillId="111" borderId="0" xfId="0" applyNumberFormat="1" applyFont="1" applyFill="1" applyBorder="1" applyAlignment="1">
      <x:alignment horizontal="center" vertical="top" wrapText="1"/>
    </x:xf>
    <x:xf numFmtId="164" fontId="0" fillId="113" borderId="0" xfId="0" applyNumberFormat="1" applyFont="1" applyFill="1" applyBorder="1" applyAlignment="1">
      <x:alignment horizontal="general" vertical="top" wrapText="1"/>
    </x:xf>
    <x:xf numFmtId="164" fontId="47" fillId="113" borderId="0" xfId="0" applyNumberFormat="1" applyFont="1" applyFill="1" applyBorder="1" applyAlignment="1">
      <x:alignment horizontal="general" vertical="top" wrapText="1"/>
    </x:xf>
    <x:xf numFmtId="164" fontId="44" fillId="113" borderId="0" xfId="0" applyNumberFormat="1" applyFont="1" applyFill="1" applyBorder="1" applyAlignment="1">
      <x:alignment horizontal="general" vertical="top" wrapText="1"/>
    </x:xf>
    <x:xf numFmtId="164" fontId="45" fillId="113" borderId="0" xfId="0" applyNumberFormat="1" applyFont="1" applyFill="1" applyBorder="1" applyAlignment="1">
      <x:alignment horizontal="general" vertical="top" wrapText="1"/>
    </x:xf>
    <x:xf numFmtId="164" fontId="0" fillId="114" borderId="0" xfId="0" applyNumberFormat="1" applyFont="1" applyFill="1" applyBorder="1" applyAlignment="1">
      <x:alignment horizontal="general" vertical="top" wrapText="1"/>
    </x:xf>
    <x:xf numFmtId="164" fontId="44" fillId="114" borderId="0" xfId="0" applyNumberFormat="1" applyFont="1" applyFill="1" applyBorder="1" applyAlignment="1">
      <x:alignment horizontal="general" vertical="top" wrapText="1"/>
    </x:xf>
    <x:xf numFmtId="164" fontId="0" fillId="114" borderId="0" xfId="0" applyNumberFormat="1" applyFont="1" applyFill="1" applyBorder="1" applyAlignment="1">
      <x:alignment horizontal="general" vertical="bottom" wrapText="0"/>
    </x:xf>
    <x:xf numFmtId="164" fontId="0" fillId="110" borderId="0" xfId="0" applyNumberFormat="1" applyFont="1" applyFill="1" applyBorder="1" applyAlignment="1">
      <x:alignment horizontal="general" vertical="bottom" wrapText="0"/>
    </x:xf>
    <x:xf numFmtId="164" fontId="0" fillId="112" borderId="0" xfId="0" applyNumberFormat="1" applyFont="1" applyFill="1" applyBorder="1" applyAlignment="1">
      <x:alignment horizontal="general" vertical="bottom" wrapText="0"/>
    </x:xf>
    <x:xf numFmtId="164" fontId="42" fillId="109" borderId="0" xfId="0" applyNumberFormat="1" applyFont="1" applyFill="1" applyBorder="1" applyAlignment="1">
      <x:alignment horizontal="center" vertical="top" wrapText="1"/>
    </x:xf>
    <x:xf numFmtId="164" fontId="47" fillId="111" borderId="0" xfId="0" applyNumberFormat="1" applyFont="1" applyFill="1" applyBorder="1" applyAlignment="1">
      <x:alignment horizontal="general" vertical="top" wrapText="1"/>
    </x:xf>
    <x:xf numFmtId="164" fontId="51" fillId="111" borderId="0" xfId="0" applyNumberFormat="1" applyFont="1" applyFill="1" applyBorder="1" applyAlignment="1">
      <x:alignment horizontal="general" vertical="top" wrapText="1"/>
    </x:xf>
    <x:xf numFmtId="164" fontId="42" fillId="111" borderId="0" xfId="0" applyNumberFormat="1" applyFont="1" applyFill="1" applyBorder="1" applyAlignment="1">
      <x:alignment horizontal="general" vertical="top" wrapText="1"/>
    </x:xf>
    <x:xf numFmtId="164" fontId="50" fillId="111" borderId="0" xfId="0" applyNumberFormat="1" applyFont="1" applyFill="1" applyBorder="1" applyAlignment="1">
      <x:alignment horizontal="general" vertical="top" wrapText="1"/>
    </x:xf>
    <x:xf numFmtId="164" fontId="51" fillId="113" borderId="0" xfId="0" applyNumberFormat="1" applyFont="1" applyFill="1" applyBorder="1" applyAlignment="1">
      <x:alignment horizontal="general" vertical="top" wrapText="1"/>
    </x:xf>
    <x:xf numFmtId="164" fontId="42" fillId="113" borderId="0" xfId="0" applyNumberFormat="1" applyFont="1" applyFill="1" applyBorder="1" applyAlignment="1">
      <x:alignment horizontal="general" vertical="top" wrapText="1"/>
    </x:xf>
    <x:xf numFmtId="164" fontId="47" fillId="114" borderId="0" xfId="0" applyNumberFormat="1" applyFont="1" applyFill="1" applyBorder="1" applyAlignment="1">
      <x:alignment horizontal="general" vertical="top" wrapText="1"/>
    </x:xf>
    <x:xf numFmtId="164" fontId="45" fillId="114" borderId="0" xfId="0" applyNumberFormat="1" applyFont="1" applyFill="1" applyBorder="1" applyAlignment="1">
      <x:alignment horizontal="general" vertical="top" wrapText="1"/>
    </x:xf>
    <x:xf numFmtId="164" fontId="64" fillId="114" borderId="0" xfId="0" applyNumberFormat="1" applyFont="1" applyFill="1" applyBorder="1" applyAlignment="1">
      <x:alignment horizontal="general" vertical="top" wrapText="1"/>
    </x:xf>
    <x:xf numFmtId="164" fontId="51" fillId="114" borderId="0" xfId="0" applyNumberFormat="1" applyFont="1" applyFill="1" applyBorder="1" applyAlignment="1">
      <x:alignment horizontal="general" vertical="top" wrapText="1"/>
    </x:xf>
    <x:xf numFmtId="164" fontId="64" fillId="114" borderId="0" xfId="0" applyNumberFormat="1" applyFont="1" applyFill="1" applyBorder="1" applyAlignment="1">
      <x:alignment horizontal="center" vertical="top" wrapText="1"/>
    </x:xf>
    <x:xf numFmtId="164" fontId="51" fillId="114" borderId="0" xfId="0" applyNumberFormat="1" applyFont="1" applyFill="1" applyBorder="1" applyAlignment="1">
      <x:alignment horizontal="center" vertical="top" wrapText="1"/>
    </x:xf>
    <x:xf numFmtId="164" fontId="42" fillId="114" borderId="0" xfId="0" applyNumberFormat="1" applyFont="1" applyFill="1" applyBorder="1" applyAlignment="1">
      <x:alignment horizontal="center" vertical="top" wrapText="1"/>
    </x:xf>
    <x:xf numFmtId="164" fontId="47" fillId="114" borderId="0" xfId="0" applyNumberFormat="1" applyFont="1" applyFill="1" applyBorder="1" applyAlignment="1">
      <x:alignment horizontal="center" vertical="top" wrapText="1"/>
    </x:xf>
    <x:xf numFmtId="164" fontId="45" fillId="114" borderId="0" xfId="0" applyNumberFormat="1" applyFont="1" applyFill="1" applyBorder="1" applyAlignment="1">
      <x:alignment horizontal="center" vertical="top" wrapText="1"/>
    </x:xf>
    <x:xf numFmtId="164" fontId="42" fillId="109" borderId="0" xfId="0" applyNumberFormat="1" applyFont="1" applyFill="1" applyBorder="1" applyAlignment="1">
      <x:alignment horizontal="general" vertical="top" wrapText="1"/>
    </x:xf>
    <x:xf numFmtId="164" fontId="42" fillId="110" borderId="0" xfId="0" applyNumberFormat="1" applyFont="1" applyFill="1" applyBorder="1" applyAlignment="1">
      <x:alignment horizontal="general" vertical="top" wrapText="1"/>
    </x:xf>
    <x:xf numFmtId="164" fontId="8" fillId="113" borderId="1" xfId="0" applyNumberFormat="1" applyFont="1" applyFill="1" applyBorder="1" applyAlignment="1">
      <x:alignment horizontal="general" vertical="center" wrapText="1"/>
    </x:xf>
    <x:xf numFmtId="164" fontId="8" fillId="113" borderId="1" xfId="0" applyNumberFormat="1" applyFont="1" applyFill="1" applyBorder="1" applyAlignment="1">
      <x:alignment horizontal="general" vertical="top" wrapText="1"/>
    </x:xf>
    <x:xf numFmtId="164" fontId="55" fillId="109" borderId="1" xfId="0" applyNumberFormat="1" applyFont="1" applyFill="1" applyBorder="1" applyAlignment="1">
      <x:alignment horizontal="general" vertical="top" wrapText="1"/>
    </x:xf>
    <x:xf numFmtId="164" fontId="8" fillId="109" borderId="1" xfId="0" applyNumberFormat="1" applyFont="1" applyFill="1" applyBorder="1" applyAlignment="1">
      <x:alignment horizontal="general" vertical="top" wrapText="1"/>
    </x:xf>
    <x:xf numFmtId="164" fontId="8" fillId="111" borderId="1" xfId="0" applyNumberFormat="1" applyFont="1" applyFill="1" applyBorder="1" applyAlignment="1">
      <x:alignment horizontal="general" vertical="center" wrapText="1"/>
    </x:xf>
    <x:xf numFmtId="164" fontId="8" fillId="111" borderId="1" xfId="0" applyNumberFormat="1" applyFont="1" applyFill="1" applyBorder="1" applyAlignment="1">
      <x:alignment horizontal="general" vertical="top" wrapText="1"/>
    </x:xf>
    <x:xf numFmtId="164" fontId="57" fillId="111" borderId="1" xfId="0" applyNumberFormat="1" applyFont="1" applyFill="1" applyBorder="1" applyAlignment="1">
      <x:alignment horizontal="general" vertical="top" wrapText="1"/>
    </x:xf>
    <x:xf numFmtId="164" fontId="57" fillId="115" borderId="1" xfId="0" applyNumberFormat="1" applyFont="1" applyFill="1" applyBorder="1" applyAlignment="1">
      <x:alignment horizontal="general" vertical="top" wrapText="1"/>
    </x:xf>
    <x:xf numFmtId="164" fontId="8" fillId="115" borderId="1" xfId="0" applyNumberFormat="1" applyFont="1" applyFill="1" applyBorder="1" applyAlignment="1">
      <x:alignment horizontal="general" vertical="top" wrapText="1"/>
    </x:xf>
    <x:xf numFmtId="164" fontId="13" fillId="111" borderId="1" xfId="0" applyNumberFormat="1" applyFont="1" applyFill="1" applyBorder="1" applyAlignment="1">
      <x:alignment horizontal="general" vertical="top" wrapText="1"/>
    </x:xf>
    <x:xf numFmtId="164" fontId="57" fillId="109" borderId="1" xfId="0" applyNumberFormat="1" applyFont="1" applyFill="1" applyBorder="1" applyAlignment="1">
      <x:alignment horizontal="general" vertical="top" wrapText="1"/>
    </x:xf>
    <x:xf numFmtId="164" fontId="13" fillId="109" borderId="1" xfId="0" applyNumberFormat="1" applyFont="1" applyFill="1" applyBorder="1" applyAlignment="1">
      <x:alignment horizontal="general" vertical="top" wrapText="1"/>
    </x:xf>
    <x:xf numFmtId="164" fontId="13" fillId="115" borderId="1" xfId="0" applyNumberFormat="1" applyFont="1" applyFill="1" applyBorder="1" applyAlignment="1">
      <x:alignment horizontal="general" vertical="top" wrapText="1"/>
    </x:xf>
    <x:xf numFmtId="164" fontId="8" fillId="110" borderId="1" xfId="0" applyNumberFormat="1" applyFont="1" applyFill="1" applyBorder="1" applyAlignment="1">
      <x:alignment horizontal="general" vertical="top" wrapText="1"/>
    </x:xf>
    <x:xf numFmtId="164" fontId="65" fillId="111" borderId="1" xfId="0" applyNumberFormat="1" applyFont="1" applyFill="1" applyBorder="1" applyAlignment="1">
      <x:alignment horizontal="general" vertical="top" wrapText="1"/>
    </x:xf>
    <x:xf numFmtId="164" fontId="57" fillId="115" borderId="1" xfId="0" applyNumberFormat="1" applyFont="1" applyFill="1" applyBorder="1" applyAlignment="1">
      <x:alignment horizontal="general" vertical="center" wrapText="1"/>
    </x:xf>
    <x:xf numFmtId="164" fontId="13" fillId="110" borderId="1" xfId="0" applyNumberFormat="1" applyFont="1" applyFill="1" applyBorder="1" applyAlignment="1">
      <x:alignment horizontal="general" vertical="top" wrapText="1"/>
    </x:xf>
    <x:xf numFmtId="164" fontId="65" fillId="115" borderId="1" xfId="0" applyNumberFormat="1" applyFont="1" applyFill="1" applyBorder="1" applyAlignment="1">
      <x:alignment horizontal="general" vertical="top" wrapText="1"/>
    </x:xf>
    <x:xf numFmtId="164" fontId="8" fillId="109" borderId="1" xfId="0" applyNumberFormat="1" applyFont="1" applyFill="1" applyBorder="1" applyAlignment="1">
      <x:alignment horizontal="general" vertical="center" wrapText="1"/>
    </x:xf>
    <x:xf numFmtId="164" fontId="60" fillId="115" borderId="1" xfId="0" applyNumberFormat="1" applyFont="1" applyFill="1" applyBorder="1" applyAlignment="1">
      <x:alignment horizontal="general" vertical="center" wrapText="1"/>
    </x:xf>
    <x:xf numFmtId="164" fontId="13" fillId="112" borderId="1" xfId="0" applyNumberFormat="1" applyFont="1" applyFill="1" applyBorder="1" applyAlignment="1">
      <x:alignment horizontal="general" vertical="top" wrapText="1"/>
    </x:xf>
    <x:xf numFmtId="164" fontId="57" fillId="112" borderId="1" xfId="0" applyNumberFormat="1" applyFont="1" applyFill="1" applyBorder="1" applyAlignment="1">
      <x:alignment horizontal="general" vertical="top" wrapText="1"/>
    </x:xf>
    <x:xf numFmtId="164" fontId="55" fillId="109" borderId="1" xfId="0" applyNumberFormat="1" applyFont="1" applyFill="1" applyBorder="1" applyAlignment="1">
      <x:alignment horizontal="general" vertical="center" wrapText="1"/>
    </x:xf>
    <x:xf numFmtId="164" fontId="55" fillId="19" borderId="1" xfId="0" applyNumberFormat="1" applyFont="1" applyFill="1" applyBorder="1" applyAlignment="1">
      <x:alignment horizontal="general" vertical="top" wrapText="1"/>
    </x:xf>
    <x:xf numFmtId="164" fontId="55" fillId="19" borderId="1" xfId="0" applyNumberFormat="1" applyFont="1" applyFill="1" applyBorder="1" applyAlignment="1">
      <x:alignment horizontal="general" vertical="center" wrapText="1"/>
    </x:xf>
    <x:xf numFmtId="164" fontId="65" fillId="8" borderId="1" xfId="0" applyNumberFormat="1" applyFont="1" applyFill="1" applyBorder="1" applyAlignment="1">
      <x:alignment horizontal="general" vertical="top" wrapText="1"/>
    </x:xf>
    <x:xf numFmtId="164" fontId="65" fillId="64" borderId="1" xfId="0" applyNumberFormat="1" applyFont="1" applyFill="1" applyBorder="1" applyAlignment="1">
      <x:alignment horizontal="general" vertical="top" wrapText="1"/>
    </x:xf>
    <x:xf numFmtId="164" fontId="8" fillId="0" borderId="0" xfId="0" applyNumberFormat="1" applyFont="1" applyFill="1" applyBorder="1" applyAlignment="1">
      <x:alignment horizontal="general" vertical="top" wrapText="1"/>
    </x:xf>
    <x:xf numFmtId="164" fontId="8" fillId="0" borderId="1" xfId="0" applyNumberFormat="1" applyFont="1" applyFill="1" applyBorder="1" applyAlignment="1">
      <x:alignment horizontal="general" vertical="top" wrapText="1"/>
    </x:xf>
    <x:xf numFmtId="164" fontId="9" fillId="2" borderId="1" xfId="0" applyNumberFormat="1" applyFont="1" applyFill="1" applyBorder="1" applyAlignment="1">
      <x:alignment horizontal="center" vertical="top" wrapText="1"/>
    </x:xf>
    <x:xf numFmtId="164" fontId="9" fillId="3" borderId="1" xfId="0" applyNumberFormat="1" applyFont="1" applyFill="1" applyBorder="1" applyAlignment="1">
      <x:alignment horizontal="center" vertical="top" wrapText="1"/>
    </x:xf>
    <x:xf numFmtId="164" fontId="9" fillId="4" borderId="1" xfId="0" applyNumberFormat="1" applyFont="1" applyFill="1" applyBorder="1" applyAlignment="1">
      <x:alignment horizontal="center" vertical="top" wrapText="1"/>
    </x:xf>
    <x:xf numFmtId="170" fontId="9" fillId="2" borderId="1" xfId="0" applyNumberFormat="1" applyFont="1" applyFill="1" applyBorder="1" applyAlignment="1">
      <x:alignment horizontal="center" vertical="top" wrapText="1"/>
    </x:xf>
    <x:xf numFmtId="170" fontId="9" fillId="3" borderId="1" xfId="0" applyNumberFormat="1" applyFont="1" applyFill="1" applyBorder="1" applyAlignment="1">
      <x:alignment horizontal="center" vertical="top" wrapText="1"/>
    </x:xf>
    <x:xf numFmtId="170" fontId="9" fillId="4" borderId="1" xfId="0" applyNumberFormat="1" applyFont="1" applyFill="1" applyBorder="1" applyAlignment="1">
      <x:alignment horizontal="center" vertical="top" wrapText="1"/>
    </x:xf>
    <x:xf numFmtId="164" fontId="60" fillId="64" borderId="1" xfId="0" applyNumberFormat="1" applyFont="1" applyFill="1" applyBorder="1" applyAlignment="1">
      <x:alignment horizontal="general" vertical="top" wrapText="1"/>
    </x:xf>
    <x:xf numFmtId="164" fontId="9" fillId="9" borderId="0" xfId="0" applyNumberFormat="1" applyFont="1" applyFill="1" applyBorder="1" applyAlignment="1">
      <x:alignment horizontal="general" vertical="top" wrapText="1"/>
    </x:xf>
    <x:xf numFmtId="200" fontId="8" fillId="0" borderId="0" xfId="0" applyNumberFormat="1" applyFont="1" applyFill="1" applyBorder="1" applyAlignment="1">
      <x:alignment horizontal="general" vertical="top" wrapText="1"/>
    </x:xf>
    <x:xf numFmtId="164" fontId="9" fillId="10" borderId="0" xfId="0" applyNumberFormat="1" applyFont="1" applyFill="1" applyBorder="1" applyAlignment="1">
      <x:alignment horizontal="general" vertical="top" wrapText="1"/>
    </x:xf>
    <x:xf numFmtId="164" fontId="19" fillId="29" borderId="0" xfId="0" applyNumberFormat="1" applyFont="1" applyFill="1" applyBorder="1" applyAlignment="1">
      <x:alignment horizontal="left" vertical="top" wrapText="1"/>
    </x:xf>
    <x:xf numFmtId="164" fontId="66" fillId="0" borderId="0" xfId="0" applyNumberFormat="1" applyFont="1" applyFill="1" applyBorder="1" applyAlignment="1">
      <x:alignment horizontal="general" vertical="top" wrapText="1"/>
    </x:xf>
    <x:xf numFmtId="164" fontId="19" fillId="17" borderId="0" xfId="0" applyNumberFormat="1" applyFont="1" applyFill="1" applyBorder="1" applyAlignment="1">
      <x:alignment horizontal="left" vertical="center" wrapText="1"/>
    </x:xf>
    <x:xf numFmtId="164" fontId="67" fillId="8" borderId="0" xfId="0" applyNumberFormat="1" applyFont="1" applyFill="1" applyBorder="1" applyAlignment="1">
      <x:alignment horizontal="general" vertical="center" wrapText="1"/>
    </x:xf>
    <x:xf numFmtId="164" fontId="68" fillId="8" borderId="0" xfId="0" applyNumberFormat="1" applyFont="1" applyFill="1" applyBorder="1" applyAlignment="1">
      <x:alignment horizontal="general" vertical="center" wrapText="1"/>
    </x:xf>
    <x:xf numFmtId="164" fontId="34" fillId="0" borderId="0" xfId="0" applyNumberFormat="1" applyFont="1" applyFill="1" applyBorder="1" applyAlignment="1">
      <x:alignment horizontal="general" vertical="bottom" wrapText="0"/>
    </x:xf>
    <x:xf numFmtId="164" fontId="69" fillId="19" borderId="0" xfId="0" applyNumberFormat="1" applyFont="1" applyFill="1" applyBorder="1" applyAlignment="1">
      <x:alignment horizontal="general" vertical="center" wrapText="1"/>
    </x:xf>
    <x:xf numFmtId="164" fontId="34" fillId="0" borderId="0" xfId="0" applyNumberFormat="1" applyFont="1" applyFill="1" applyBorder="1" applyAlignment="1">
      <x:alignment horizontal="general" vertical="center" wrapText="1"/>
    </x:xf>
    <x:xf numFmtId="202" fontId="34" fillId="49" borderId="0" xfId="0" applyNumberFormat="1" applyFont="1" applyFill="1" applyBorder="1" applyAlignment="1">
      <x:alignment horizontal="general" vertical="top" wrapText="1"/>
    </x:xf>
    <x:xf numFmtId="164" fontId="34" fillId="0" borderId="0" xfId="0" applyNumberFormat="1" applyFont="1" applyFill="1" applyBorder="1" applyAlignment="1">
      <x:alignment horizontal="general" vertical="top" wrapText="1"/>
    </x:xf>
    <x:xf numFmtId="202" fontId="69" fillId="8" borderId="0" xfId="0" applyNumberFormat="1" applyFont="1" applyFill="1" applyBorder="1" applyAlignment="1">
      <x:alignment horizontal="general" vertical="top" wrapText="1"/>
    </x:xf>
    <x:xf numFmtId="200" fontId="69" fillId="0" borderId="0" xfId="0" applyNumberFormat="1" applyFont="1" applyFill="1" applyBorder="1" applyAlignment="1">
      <x:alignment horizontal="general" vertical="top" wrapText="1"/>
    </x:xf>
    <x:xf numFmtId="164" fontId="69" fillId="0" borderId="0" xfId="0" applyNumberFormat="1" applyFont="1" applyFill="1" applyBorder="1" applyAlignment="1">
      <x:alignment horizontal="general" vertical="top" wrapText="1"/>
    </x:xf>
    <x:xf numFmtId="164" fontId="26" fillId="22" borderId="0" xfId="0" applyNumberFormat="1" applyFont="1" applyFill="1" applyBorder="1" applyAlignment="1">
      <x:alignment horizontal="general" vertical="center" wrapText="1"/>
    </x:xf>
    <x:xf numFmtId="164" fontId="69" fillId="22" borderId="0" xfId="0" applyNumberFormat="1" applyFont="1" applyFill="1" applyBorder="1" applyAlignment="1">
      <x:alignment horizontal="general" vertical="bottom" wrapText="1"/>
    </x:xf>
    <x:xf numFmtId="164" fontId="19" fillId="17" borderId="0" xfId="0" applyNumberFormat="1" applyFont="1" applyFill="1" applyBorder="1" applyAlignment="1">
      <x:alignment horizontal="left" vertical="top" wrapText="1"/>
    </x:xf>
    <x:xf numFmtId="164" fontId="67" fillId="8" borderId="0" xfId="0" applyNumberFormat="1" applyFont="1" applyFill="1" applyBorder="1" applyAlignment="1">
      <x:alignment horizontal="general" vertical="top" wrapText="1"/>
    </x:xf>
    <x:xf numFmtId="164" fontId="68" fillId="8" borderId="0" xfId="0" applyNumberFormat="1" applyFont="1" applyFill="1" applyBorder="1" applyAlignment="1">
      <x:alignment horizontal="general" vertical="top" wrapText="1"/>
    </x:xf>
    <x:xf numFmtId="164" fontId="26" fillId="19" borderId="0" xfId="0" applyNumberFormat="1" applyFont="1" applyFill="1" applyBorder="1" applyAlignment="1">
      <x:alignment horizontal="general" vertical="top" wrapText="1"/>
    </x:xf>
    <x:xf numFmtId="164" fontId="26" fillId="15" borderId="0" xfId="0" applyNumberFormat="1" applyFont="1" applyFill="1" applyBorder="1" applyAlignment="1">
      <x:alignment horizontal="general" vertical="top" wrapText="1"/>
    </x:xf>
    <x:xf numFmtId="169" fontId="26" fillId="19" borderId="0" xfId="0" applyNumberFormat="1" applyFont="1" applyFill="1" applyBorder="1" applyAlignment="1">
      <x:alignment horizontal="general" vertical="top" wrapText="1"/>
    </x:xf>
    <x:xf numFmtId="164" fontId="69" fillId="19" borderId="0" xfId="0" applyNumberFormat="1" applyFont="1" applyFill="1" applyBorder="1" applyAlignment="1">
      <x:alignment horizontal="general" vertical="top" wrapText="1"/>
    </x:xf>
    <x:xf numFmtId="164" fontId="24" fillId="15" borderId="0" xfId="0" applyNumberFormat="1" applyFont="1" applyFill="1" applyBorder="1" applyAlignment="1">
      <x:alignment horizontal="general" vertical="top" wrapText="1"/>
    </x:xf>
    <x:xf numFmtId="164" fontId="19" fillId="21" borderId="0" xfId="0" applyNumberFormat="1" applyFont="1" applyFill="1" applyBorder="1" applyAlignment="1">
      <x:alignment horizontal="center" vertical="top" wrapText="1"/>
    </x:xf>
    <x:xf numFmtId="164" fontId="26" fillId="22" borderId="0" xfId="0" applyNumberFormat="1" applyFont="1" applyFill="1" applyBorder="1" applyAlignment="1">
      <x:alignment horizontal="general" vertical="top" wrapText="1"/>
    </x:xf>
    <x:xf numFmtId="164" fontId="69" fillId="22" borderId="0" xfId="0" applyNumberFormat="1" applyFont="1" applyFill="1" applyBorder="1" applyAlignment="1">
      <x:alignment horizontal="general" vertical="top" wrapText="1"/>
    </x:xf>
    <x:xf numFmtId="164" fontId="70" fillId="17" borderId="0" xfId="0" applyNumberFormat="1" applyFont="1" applyFill="1" applyBorder="1" applyAlignment="1">
      <x:alignment horizontal="left" vertical="top" wrapText="1"/>
    </x:xf>
    <x:xf numFmtId="164" fontId="60" fillId="64" borderId="0" xfId="0" applyNumberFormat="1" applyFont="1" applyFill="1" applyBorder="1" applyAlignment="1">
      <x:alignment horizontal="left" vertical="center" wrapText="1"/>
    </x:xf>
    <x:xf numFmtId="164" fontId="34" fillId="27" borderId="0" xfId="0" applyNumberFormat="1" applyFont="1" applyFill="1" applyBorder="1" applyAlignment="1">
      <x:alignment horizontal="general" vertical="bottom" wrapText="1"/>
    </x:xf>
    <x:xf numFmtId="164" fontId="60" fillId="64" borderId="0" xfId="0" applyNumberFormat="1" applyFont="1" applyFill="1" applyBorder="1" applyAlignment="1">
      <x:alignment horizontal="left" vertical="top" wrapText="1"/>
    </x:xf>
    <x:xf numFmtId="164" fontId="34" fillId="27" borderId="0" xfId="0" applyNumberFormat="1" applyFont="1" applyFill="1" applyBorder="1" applyAlignment="1">
      <x:alignment horizontal="general" vertical="top" wrapText="1"/>
    </x:xf>
    <x:xf numFmtId="164" fontId="71" fillId="64" borderId="0" xfId="0" applyNumberFormat="1" applyFont="1" applyFill="1" applyBorder="1" applyAlignment="1">
      <x:alignment horizontal="left" vertical="top" wrapText="1"/>
    </x:xf>
    <x:xf numFmtId="164" fontId="19" fillId="33" borderId="0" xfId="0" applyNumberFormat="1" applyFont="1" applyFill="1" applyBorder="1" applyAlignment="1">
      <x:alignment horizontal="center" vertical="center" wrapText="1"/>
    </x:xf>
    <x:xf numFmtId="164" fontId="19" fillId="33" borderId="0" xfId="0" applyNumberFormat="1" applyFont="1" applyFill="1" applyBorder="1" applyAlignment="1">
      <x:alignment horizontal="center" vertical="center" wrapText="0"/>
    </x:xf>
    <x:xf numFmtId="164" fontId="72" fillId="8" borderId="0" xfId="0" applyNumberFormat="1" applyFont="1" applyFill="1" applyBorder="1" applyAlignment="1">
      <x:alignment horizontal="general" vertical="bottom" wrapText="1"/>
    </x:xf>
    <x:xf numFmtId="164" fontId="73" fillId="15" borderId="0" xfId="0" applyNumberFormat="1" applyFont="1" applyFill="1" applyBorder="1" applyAlignment="1">
      <x:alignment horizontal="general" vertical="bottom" wrapText="1"/>
    </x:xf>
    <x:xf numFmtId="164" fontId="19" fillId="29" borderId="0" xfId="0" applyNumberFormat="1" applyFont="1" applyFill="1" applyBorder="1" applyAlignment="1">
      <x:alignment horizontal="center" vertical="center" wrapText="1"/>
    </x:xf>
    <x:xf numFmtId="164" fontId="34" fillId="19" borderId="0" xfId="0" applyNumberFormat="1" applyFont="1" applyFill="1" applyBorder="1" applyAlignment="1">
      <x:alignment horizontal="general" vertical="top" wrapText="1"/>
    </x:xf>
    <x:xf numFmtId="164" fontId="74" fillId="19" borderId="0" xfId="0" applyNumberFormat="1" applyFont="1" applyFill="1" applyBorder="1" applyAlignment="1">
      <x:alignment horizontal="general" vertical="top" wrapText="1"/>
    </x:xf>
    <x:xf numFmtId="164" fontId="75" fillId="19" borderId="0" xfId="0" applyNumberFormat="1" applyFont="1" applyFill="1" applyBorder="1" applyAlignment="1">
      <x:alignment horizontal="general" vertical="top" wrapText="1"/>
    </x:xf>
    <x:xf numFmtId="164" fontId="54" fillId="19" borderId="0" xfId="0" applyNumberFormat="1" applyFont="1" applyFill="1" applyBorder="1" applyAlignment="1">
      <x:alignment horizontal="general" vertical="top" wrapText="1"/>
    </x:xf>
    <x:xf numFmtId="164" fontId="74" fillId="19" borderId="0" xfId="0" applyNumberFormat="1" applyFont="1" applyFill="1" applyBorder="1" applyAlignment="1">
      <x:alignment horizontal="center" vertical="top" wrapText="1"/>
    </x:xf>
    <x:xf numFmtId="164" fontId="34" fillId="110" borderId="0" xfId="0" applyNumberFormat="1" applyFont="1" applyFill="1" applyBorder="1" applyAlignment="1">
      <x:alignment horizontal="general" vertical="top" wrapText="1"/>
    </x:xf>
    <x:xf numFmtId="164" fontId="74" fillId="110" borderId="0" xfId="0" applyNumberFormat="1" applyFont="1" applyFill="1" applyBorder="1" applyAlignment="1">
      <x:alignment horizontal="general" vertical="top" wrapText="1"/>
    </x:xf>
    <x:xf numFmtId="164" fontId="74" fillId="110" borderId="0" xfId="0" applyNumberFormat="1" applyFont="1" applyFill="1" applyBorder="1" applyAlignment="1">
      <x:alignment horizontal="center" vertical="top" wrapText="1"/>
    </x:xf>
    <x:xf numFmtId="164" fontId="54" fillId="110" borderId="0" xfId="0" applyNumberFormat="1" applyFont="1" applyFill="1" applyBorder="1" applyAlignment="1">
      <x:alignment horizontal="general" vertical="top" wrapText="1"/>
    </x:xf>
    <x:xf numFmtId="164" fontId="76" fillId="110" borderId="0" xfId="0" applyNumberFormat="1" applyFont="1" applyFill="1" applyBorder="1" applyAlignment="1">
      <x:alignment horizontal="general" vertical="top" wrapText="1"/>
    </x:xf>
    <x:xf numFmtId="164" fontId="77" fillId="110" borderId="0" xfId="0" applyNumberFormat="1" applyFont="1" applyFill="1" applyBorder="1" applyAlignment="1">
      <x:alignment horizontal="general" vertical="top" wrapText="1"/>
    </x:xf>
    <x:xf numFmtId="164" fontId="78" fillId="110" borderId="0" xfId="0" applyNumberFormat="1" applyFont="1" applyFill="1" applyBorder="1" applyAlignment="1">
      <x:alignment horizontal="general" vertical="top" wrapText="1"/>
    </x:xf>
    <x:xf numFmtId="164" fontId="65" fillId="110" borderId="0" xfId="0" applyNumberFormat="1" applyFont="1" applyFill="1" applyBorder="1" applyAlignment="1">
      <x:alignment horizontal="general" vertical="top" wrapText="1"/>
    </x:xf>
    <x:xf numFmtId="164" fontId="75" fillId="110" borderId="0" xfId="0" applyNumberFormat="1" applyFont="1" applyFill="1" applyBorder="1" applyAlignment="1">
      <x:alignment horizontal="general" vertical="top" wrapText="1"/>
    </x:xf>
    <x:xf numFmtId="164" fontId="19" fillId="33" borderId="0" xfId="0" applyNumberFormat="1" applyFont="1" applyFill="1" applyBorder="1" applyAlignment="1">
      <x:alignment horizontal="center" vertical="top" wrapText="1"/>
    </x:xf>
    <x:xf numFmtId="164" fontId="72" fillId="8" borderId="0" xfId="0" applyNumberFormat="1" applyFont="1" applyFill="1" applyBorder="1" applyAlignment="1">
      <x:alignment horizontal="general" vertical="top" wrapText="1"/>
    </x:xf>
    <x:xf numFmtId="164" fontId="73" fillId="15" borderId="0" xfId="0" applyNumberFormat="1" applyFont="1" applyFill="1" applyBorder="1" applyAlignment="1">
      <x:alignment horizontal="general" vertical="top" wrapText="1"/>
    </x:xf>
    <x:xf numFmtId="164" fontId="19" fillId="29" borderId="0" xfId="0" applyNumberFormat="1" applyFont="1" applyFill="1" applyBorder="1" applyAlignment="1">
      <x:alignment horizontal="center" vertical="top" wrapText="1"/>
    </x:xf>
    <x:xf numFmtId="164" fontId="70" fillId="33" borderId="0" xfId="0" applyNumberFormat="1" applyFont="1" applyFill="1" applyBorder="1" applyAlignment="1">
      <x:alignment horizontal="center" vertical="top" wrapText="1"/>
    </x:xf>
    <x:xf numFmtId="164" fontId="65" fillId="19" borderId="0" xfId="0" applyNumberFormat="1" applyFont="1" applyFill="1" applyBorder="1" applyAlignment="1">
      <x:alignment horizontal="general" vertical="top" wrapText="1"/>
    </x:xf>
    <x:xf numFmtId="164" fontId="34" fillId="8" borderId="0" xfId="0" applyNumberFormat="1" applyFont="1" applyFill="1" applyBorder="1" applyAlignment="1">
      <x:alignment horizontal="general" vertical="bottom" wrapText="1"/>
    </x:xf>
    <x:xf numFmtId="164" fontId="19" fillId="25" borderId="0" xfId="0" applyNumberFormat="1" applyFont="1" applyFill="1" applyBorder="1" applyAlignment="1">
      <x:alignment horizontal="center" vertical="center" wrapText="1"/>
    </x:xf>
    <x:xf numFmtId="164" fontId="19" fillId="29" borderId="0" xfId="0" applyNumberFormat="1" applyFont="1" applyFill="1" applyBorder="1" applyAlignment="1">
      <x:alignment horizontal="center" vertical="bottom" wrapText="1"/>
    </x:xf>
    <x:xf numFmtId="164" fontId="19" fillId="65" borderId="0" xfId="0" applyNumberFormat="1" applyFont="1" applyFill="1" applyBorder="1" applyAlignment="1">
      <x:alignment horizontal="center" vertical="center" wrapText="1"/>
    </x:xf>
    <x:xf numFmtId="164" fontId="34" fillId="8" borderId="0" xfId="0" applyNumberFormat="1" applyFont="1" applyFill="1" applyBorder="1" applyAlignment="1">
      <x:alignment horizontal="general" vertical="top" wrapText="1"/>
    </x:xf>
    <x:xf numFmtId="164" fontId="78" fillId="8" borderId="0" xfId="0" applyNumberFormat="1" applyFont="1" applyFill="1" applyBorder="1" applyAlignment="1">
      <x:alignment horizontal="general" vertical="top" wrapText="1"/>
    </x:xf>
    <x:xf numFmtId="164" fontId="75" fillId="8" borderId="0" xfId="0" applyNumberFormat="1" applyFont="1" applyFill="1" applyBorder="1" applyAlignment="1">
      <x:alignment horizontal="general" vertical="top" wrapText="1"/>
    </x:xf>
    <x:xf numFmtId="164" fontId="54" fillId="8" borderId="0" xfId="0" applyNumberFormat="1" applyFont="1" applyFill="1" applyBorder="1" applyAlignment="1">
      <x:alignment horizontal="general" vertical="top" wrapText="1"/>
    </x:xf>
    <x:xf numFmtId="164" fontId="65" fillId="8" borderId="0" xfId="0" applyNumberFormat="1" applyFont="1" applyFill="1" applyBorder="1" applyAlignment="1">
      <x:alignment horizontal="general" vertical="top" wrapText="1"/>
    </x:xf>
    <x:xf numFmtId="164" fontId="19" fillId="25" borderId="0" xfId="0" applyNumberFormat="1" applyFont="1" applyFill="1" applyBorder="1" applyAlignment="1">
      <x:alignment horizontal="center" vertical="top" wrapText="1"/>
    </x:xf>
    <x:xf numFmtId="164" fontId="19" fillId="65" borderId="0" xfId="0" applyNumberFormat="1" applyFont="1" applyFill="1" applyBorder="1" applyAlignment="1">
      <x:alignment horizontal="center" vertical="top" wrapText="1"/>
    </x:xf>
    <x:xf numFmtId="164" fontId="34" fillId="22" borderId="0" xfId="0" applyNumberFormat="1" applyFont="1" applyFill="1" applyBorder="1" applyAlignment="1">
      <x:alignment horizontal="general" vertical="bottom" wrapText="1"/>
    </x:xf>
    <x:xf numFmtId="164" fontId="65" fillId="27" borderId="0" xfId="0" applyNumberFormat="1" applyFont="1" applyFill="1" applyBorder="1" applyAlignment="1">
      <x:alignment horizontal="general" vertical="bottom" wrapText="0"/>
    </x:xf>
    <x:xf numFmtId="164" fontId="19" fillId="26" borderId="0" xfId="0" applyNumberFormat="1" applyFont="1" applyFill="1" applyBorder="1" applyAlignment="1">
      <x:alignment horizontal="center" vertical="center" wrapText="1"/>
    </x:xf>
    <x:xf numFmtId="164" fontId="34" fillId="9" borderId="0" xfId="0" applyNumberFormat="1" applyFont="1" applyFill="1" applyBorder="1" applyAlignment="1">
      <x:alignment horizontal="general" vertical="top" wrapText="1"/>
    </x:xf>
    <x:xf numFmtId="164" fontId="78" fillId="9" borderId="0" xfId="0" applyNumberFormat="1" applyFont="1" applyFill="1" applyBorder="1" applyAlignment="1">
      <x:alignment horizontal="general" vertical="top" wrapText="1"/>
    </x:xf>
    <x:xf numFmtId="164" fontId="79" fillId="9" borderId="0" xfId="0" applyNumberFormat="1" applyFont="1" applyFill="1" applyBorder="1" applyAlignment="1">
      <x:alignment horizontal="general" vertical="top" wrapText="1"/>
    </x:xf>
    <x:xf numFmtId="164" fontId="75" fillId="9" borderId="0" xfId="0" applyNumberFormat="1" applyFont="1" applyFill="1" applyBorder="1" applyAlignment="1">
      <x:alignment horizontal="general" vertical="top" wrapText="1"/>
    </x:xf>
    <x:xf numFmtId="164" fontId="65" fillId="9" borderId="0" xfId="0" applyNumberFormat="1" applyFont="1" applyFill="1" applyBorder="1" applyAlignment="1">
      <x:alignment horizontal="general" vertical="top" wrapText="1"/>
    </x:xf>
    <x:xf numFmtId="164" fontId="54" fillId="9" borderId="0" xfId="0" applyNumberFormat="1" applyFont="1" applyFill="1" applyBorder="1" applyAlignment="1">
      <x:alignment horizontal="general" vertical="top" wrapText="1"/>
    </x:xf>
    <x:xf numFmtId="164" fontId="74" fillId="8" borderId="0" xfId="0" applyNumberFormat="1" applyFont="1" applyFill="1" applyBorder="1" applyAlignment="1">
      <x:alignment horizontal="center" vertical="top" wrapText="1"/>
    </x:xf>
    <x:xf numFmtId="164" fontId="65" fillId="27" borderId="0" xfId="0" applyNumberFormat="1" applyFont="1" applyFill="1" applyBorder="1" applyAlignment="1">
      <x:alignment horizontal="general" vertical="bottom" wrapText="1"/>
    </x:xf>
    <x:xf numFmtId="164" fontId="34" fillId="22" borderId="0" xfId="0" applyNumberFormat="1" applyFont="1" applyFill="1" applyBorder="1" applyAlignment="1">
      <x:alignment horizontal="general" vertical="top" wrapText="1"/>
    </x:xf>
    <x:xf numFmtId="164" fontId="65" fillId="27" borderId="0" xfId="0" applyNumberFormat="1" applyFont="1" applyFill="1" applyBorder="1" applyAlignment="1">
      <x:alignment horizontal="general" vertical="top" wrapText="1"/>
    </x:xf>
    <x:xf numFmtId="164" fontId="19" fillId="26" borderId="0" xfId="0" applyNumberFormat="1" applyFont="1" applyFill="1" applyBorder="1" applyAlignment="1">
      <x:alignment horizontal="center" vertical="top" wrapText="1"/>
    </x:xf>
    <x:xf numFmtId="164" fontId="72" fillId="8" borderId="0" xfId="0" applyNumberFormat="1" applyFont="1" applyFill="1" applyBorder="1" applyAlignment="1">
      <x:alignment horizontal="general" vertical="center" wrapText="1"/>
    </x:xf>
    <x:xf numFmtId="164" fontId="19" fillId="19" borderId="0" xfId="0" applyNumberFormat="1" applyFont="1" applyFill="1" applyBorder="1" applyAlignment="1">
      <x:alignment horizontal="center" vertical="top" wrapText="1"/>
    </x:xf>
    <x:xf numFmtId="164" fontId="74" fillId="8" borderId="0" xfId="0" applyNumberFormat="1" applyFont="1" applyFill="1" applyBorder="1" applyAlignment="1">
      <x:alignment horizontal="general" vertical="top" wrapText="1"/>
    </x:xf>
    <x:xf numFmtId="164" fontId="19" fillId="8" borderId="0" xfId="0" applyNumberFormat="1" applyFont="1" applyFill="1" applyBorder="1" applyAlignment="1">
      <x:alignment horizontal="general" vertical="top" wrapText="1"/>
    </x:xf>
    <x:xf numFmtId="164" fontId="79" fillId="8" borderId="0" xfId="0" applyNumberFormat="1" applyFont="1" applyFill="1" applyBorder="1" applyAlignment="1">
      <x:alignment horizontal="general" vertical="top" wrapText="1"/>
    </x:xf>
    <x:xf numFmtId="164" fontId="34" fillId="113" borderId="0" xfId="0" applyNumberFormat="1" applyFont="1" applyFill="1" applyBorder="1" applyAlignment="1">
      <x:alignment horizontal="general" vertical="top" wrapText="1"/>
    </x:xf>
    <x:xf numFmtId="164" fontId="74" fillId="113" borderId="0" xfId="0" applyNumberFormat="1" applyFont="1" applyFill="1" applyBorder="1" applyAlignment="1">
      <x:alignment horizontal="general" vertical="top" wrapText="1"/>
    </x:xf>
    <x:xf numFmtId="164" fontId="54" fillId="113" borderId="0" xfId="0" applyNumberFormat="1" applyFont="1" applyFill="1" applyBorder="1" applyAlignment="1">
      <x:alignment horizontal="general" vertical="top" wrapText="1"/>
    </x:xf>
    <x:xf numFmtId="164" fontId="19" fillId="113" borderId="0" xfId="0" applyNumberFormat="1" applyFont="1" applyFill="1" applyBorder="1" applyAlignment="1">
      <x:alignment horizontal="general" vertical="top" wrapText="1"/>
    </x:xf>
    <x:xf numFmtId="164" fontId="74" fillId="15" borderId="0" xfId="0" applyNumberFormat="1" applyFont="1" applyFill="1" applyBorder="1" applyAlignment="1">
      <x:alignment horizontal="general" vertical="top" wrapText="1"/>
    </x:xf>
    <x:xf numFmtId="164" fontId="54" fillId="15" borderId="0" xfId="0" applyNumberFormat="1" applyFont="1" applyFill="1" applyBorder="1" applyAlignment="1">
      <x:alignment horizontal="general" vertical="top" wrapText="1"/>
    </x:xf>
    <x:xf numFmtId="164" fontId="34" fillId="15" borderId="0" xfId="0" applyNumberFormat="1" applyFont="1" applyFill="1" applyBorder="1" applyAlignment="1">
      <x:alignment horizontal="general" vertical="top" wrapText="1"/>
    </x:xf>
    <x:xf numFmtId="164" fontId="19" fillId="15" borderId="0" xfId="0" applyNumberFormat="1" applyFont="1" applyFill="1" applyBorder="1" applyAlignment="1">
      <x:alignment horizontal="general" vertical="top" wrapText="1"/>
    </x:xf>
    <x:xf numFmtId="164" fontId="74" fillId="15" borderId="0" xfId="0" applyNumberFormat="1" applyFont="1" applyFill="1" applyBorder="1" applyAlignment="1">
      <x:alignment horizontal="center" vertical="top" wrapText="1"/>
    </x:xf>
    <x:xf numFmtId="164" fontId="19" fillId="15" borderId="0" xfId="0" applyNumberFormat="1" applyFont="1" applyFill="1" applyBorder="1" applyAlignment="1">
      <x:alignment horizontal="center" vertical="top" wrapText="1"/>
    </x:xf>
    <x:xf numFmtId="164" fontId="75" fillId="15" borderId="0" xfId="0" applyNumberFormat="1" applyFont="1" applyFill="1" applyBorder="1" applyAlignment="1">
      <x:alignment horizontal="general" vertical="top" wrapText="1"/>
    </x:xf>
    <x:xf numFmtId="164" fontId="54" fillId="15" borderId="0" xfId="0" applyNumberFormat="1" applyFont="1" applyFill="1" applyBorder="1" applyAlignment="1">
      <x:alignment horizontal="center" vertical="top" wrapText="1"/>
    </x:xf>
    <x:xf numFmtId="164" fontId="19" fillId="61" borderId="0" xfId="0" applyNumberFormat="1" applyFont="1" applyFill="1" applyBorder="1" applyAlignment="1">
      <x:alignment horizontal="center" vertical="bottom" wrapText="0"/>
    </x:xf>
    <x:xf numFmtId="164" fontId="34" fillId="62" borderId="0" xfId="0" applyNumberFormat="1" applyFont="1" applyFill="1" applyBorder="1" applyAlignment="1">
      <x:alignment horizontal="general" vertical="bottom" wrapText="1"/>
    </x:xf>
    <x:xf numFmtId="164" fontId="19" fillId="63" borderId="0" xfId="0" applyNumberFormat="1" applyFont="1" applyFill="1" applyBorder="1" applyAlignment="1">
      <x:alignment horizontal="center" vertical="bottom" wrapText="1"/>
    </x:xf>
    <x:xf numFmtId="164" fontId="75" fillId="113" borderId="0" xfId="0" applyNumberFormat="1" applyFont="1" applyFill="1" applyBorder="1" applyAlignment="1">
      <x:alignment horizontal="general" vertical="top" wrapText="1"/>
    </x:xf>
    <x:xf numFmtId="164" fontId="19" fillId="61" borderId="0" xfId="0" applyNumberFormat="1" applyFont="1" applyFill="1" applyBorder="1" applyAlignment="1">
      <x:alignment horizontal="center" vertical="bottom" wrapText="1"/>
    </x:xf>
    <x:xf numFmtId="164" fontId="19" fillId="61" borderId="0" xfId="0" applyNumberFormat="1" applyFont="1" applyFill="1" applyBorder="1" applyAlignment="1">
      <x:alignment horizontal="center" vertical="top" wrapText="1"/>
    </x:xf>
    <x:xf numFmtId="164" fontId="34" fillId="62" borderId="0" xfId="0" applyNumberFormat="1" applyFont="1" applyFill="1" applyBorder="1" applyAlignment="1">
      <x:alignment horizontal="general" vertical="top" wrapText="1"/>
    </x:xf>
    <x:xf numFmtId="164" fontId="19" fillId="63" borderId="0" xfId="0" applyNumberFormat="1" applyFont="1" applyFill="1" applyBorder="1" applyAlignment="1">
      <x:alignment horizontal="center" vertical="top" wrapText="1"/>
    </x:xf>
    <x:xf numFmtId="164" fontId="70" fillId="61" borderId="0" xfId="0" applyNumberFormat="1" applyFont="1" applyFill="1" applyBorder="1" applyAlignment="1">
      <x:alignment horizontal="center" vertical="top" wrapText="1"/>
    </x:xf>
    <x:xf numFmtId="164" fontId="19" fillId="33" borderId="0" xfId="0" applyNumberFormat="1" applyFont="1" applyFill="1" applyBorder="1" applyAlignment="1">
      <x:alignment horizontal="center" vertical="bottom" wrapText="0"/>
    </x:xf>
    <x:xf numFmtId="164" fontId="19" fillId="25" borderId="0" xfId="0" applyNumberFormat="1" applyFont="1" applyFill="1" applyBorder="1" applyAlignment="1">
      <x:alignment horizontal="center" vertical="bottom" wrapText="1"/>
    </x:xf>
    <x:xf numFmtId="164" fontId="19" fillId="19" borderId="0" xfId="0" applyNumberFormat="1" applyFont="1" applyFill="1" applyBorder="1" applyAlignment="1">
      <x:alignment horizontal="general" vertical="top" wrapText="1"/>
    </x:xf>
    <x:xf numFmtId="164" fontId="19" fillId="110" borderId="0" xfId="0" applyNumberFormat="1" applyFont="1" applyFill="1" applyBorder="1" applyAlignment="1">
      <x:alignment horizontal="general" vertical="top" wrapText="1"/>
    </x:xf>
    <x:xf numFmtId="164" fontId="19" fillId="33" borderId="0" xfId="0" applyNumberFormat="1" applyFont="1" applyFill="1" applyBorder="1" applyAlignment="1">
      <x:alignment horizontal="center" vertical="bottom" wrapText="1"/>
    </x:xf>
    <x:xf numFmtId="164" fontId="19" fillId="28" borderId="0" xfId="0" applyNumberFormat="1" applyFont="1" applyFill="1" applyBorder="1" applyAlignment="1">
      <x:alignment horizontal="center" vertical="bottom" wrapText="0"/>
    </x:xf>
    <x:xf numFmtId="164" fontId="19" fillId="28" borderId="0" xfId="0" applyNumberFormat="1" applyFont="1" applyFill="1" applyBorder="1" applyAlignment="1">
      <x:alignment horizontal="general" vertical="bottom" wrapText="0"/>
    </x:xf>
    <x:xf numFmtId="164" fontId="34" fillId="15" borderId="0" xfId="0" applyNumberFormat="1" applyFont="1" applyFill="1" applyBorder="1" applyAlignment="1">
      <x:alignment horizontal="general" vertical="bottom" wrapText="1"/>
    </x:xf>
    <x:xf numFmtId="164" fontId="34" fillId="6" borderId="0" xfId="0" applyNumberFormat="1" applyFont="1" applyFill="1" applyBorder="1" applyAlignment="1">
      <x:alignment horizontal="general" vertical="bottom" wrapText="0"/>
    </x:xf>
    <x:xf numFmtId="164" fontId="80" fillId="22" borderId="0" xfId="0" applyNumberFormat="1" applyFont="1" applyFill="1" applyBorder="1" applyAlignment="1">
      <x:alignment horizontal="general" vertical="bottom" wrapText="1"/>
    </x:xf>
    <x:xf numFmtId="164" fontId="34" fillId="15" borderId="0" xfId="0" applyNumberFormat="1" applyFont="1" applyFill="1" applyBorder="1" applyAlignment="1">
      <x:alignment horizontal="general" vertical="bottom" wrapText="0"/>
    </x:xf>
    <x:xf numFmtId="164" fontId="19" fillId="69" borderId="0" xfId="0" applyNumberFormat="1" applyFont="1" applyFill="1" applyBorder="1" applyAlignment="1">
      <x:alignment horizontal="center" vertical="bottom" wrapText="1"/>
    </x:xf>
    <x:xf numFmtId="164" fontId="34" fillId="27" borderId="0" xfId="0" applyNumberFormat="1" applyFont="1" applyFill="1" applyBorder="1" applyAlignment="1">
      <x:alignment horizontal="general" vertical="bottom" wrapText="0"/>
    </x:xf>
    <x:xf numFmtId="164" fontId="34" fillId="110" borderId="0" xfId="0" applyNumberFormat="1" applyFont="1" applyFill="1" applyBorder="1" applyAlignment="1">
      <x:alignment horizontal="general" vertical="bottom" wrapText="0"/>
    </x:xf>
    <x:xf numFmtId="164" fontId="34" fillId="9" borderId="0" xfId="0" applyNumberFormat="1" applyFont="1" applyFill="1" applyBorder="1" applyAlignment="1">
      <x:alignment horizontal="general" vertical="bottom" wrapText="0"/>
    </x:xf>
    <x:xf numFmtId="164" fontId="19" fillId="28" borderId="0" xfId="0" applyNumberFormat="1" applyFont="1" applyFill="1" applyBorder="1" applyAlignment="1">
      <x:alignment horizontal="center" vertical="bottom" wrapText="1"/>
    </x:xf>
    <x:xf numFmtId="164" fontId="19" fillId="28" borderId="0" xfId="0" applyNumberFormat="1" applyFont="1" applyFill="1" applyBorder="1" applyAlignment="1">
      <x:alignment horizontal="general" vertical="bottom" wrapText="1"/>
    </x:xf>
    <x:xf numFmtId="164" fontId="34" fillId="6" borderId="0" xfId="0" applyNumberFormat="1" applyFont="1" applyFill="1" applyBorder="1" applyAlignment="1">
      <x:alignment horizontal="general" vertical="bottom" wrapText="1"/>
    </x:xf>
    <x:xf numFmtId="164" fontId="34" fillId="110" borderId="0" xfId="0" applyNumberFormat="1" applyFont="1" applyFill="1" applyBorder="1" applyAlignment="1">
      <x:alignment horizontal="general" vertical="bottom" wrapText="1"/>
    </x:xf>
    <x:xf numFmtId="164" fontId="34" fillId="9" borderId="0" xfId="0" applyNumberFormat="1" applyFont="1" applyFill="1" applyBorder="1" applyAlignment="1">
      <x:alignment horizontal="general" vertical="bottom" wrapText="1"/>
    </x:xf>
    <x:xf numFmtId="164" fontId="34" fillId="6" borderId="0" xfId="0" applyNumberFormat="1" applyFont="1" applyFill="1" applyBorder="1" applyAlignment="1">
      <x:alignment horizontal="general" vertical="top" wrapText="1"/>
    </x:xf>
    <x:xf numFmtId="164" fontId="80" fillId="22" borderId="0" xfId="0" applyNumberFormat="1" applyFont="1" applyFill="1" applyBorder="1" applyAlignment="1">
      <x:alignment horizontal="general" vertical="top" wrapText="1"/>
    </x:xf>
    <x:xf numFmtId="164" fontId="19" fillId="69" borderId="0" xfId="0" applyNumberFormat="1" applyFont="1" applyFill="1" applyBorder="1" applyAlignment="1">
      <x:alignment horizontal="center" vertical="top" wrapText="1"/>
    </x:xf>
    <x:xf numFmtId="164" fontId="70" fillId="28" borderId="0" xfId="0" applyNumberFormat="1" applyFont="1" applyFill="1" applyBorder="1" applyAlignment="1">
      <x:alignment horizontal="center" vertical="top" wrapText="1"/>
    </x:xf>
    <x:xf numFmtId="164" fontId="19" fillId="103" borderId="0" xfId="0" applyNumberFormat="1" applyFont="1" applyFill="1" applyBorder="1" applyAlignment="1">
      <x:alignment horizontal="center" vertical="bottom" wrapText="0"/>
    </x:xf>
    <x:xf numFmtId="164" fontId="19" fillId="85" borderId="0" xfId="0" applyNumberFormat="1" applyFont="1" applyFill="1" applyBorder="1" applyAlignment="1">
      <x:alignment horizontal="center" vertical="bottom" wrapText="1"/>
    </x:xf>
    <x:xf numFmtId="164" fontId="19" fillId="103" borderId="0" xfId="0" applyNumberFormat="1" applyFont="1" applyFill="1" applyBorder="1" applyAlignment="1">
      <x:alignment horizontal="center" vertical="bottom" wrapText="1"/>
    </x:xf>
    <x:xf numFmtId="164" fontId="19" fillId="103" borderId="0" xfId="0" applyNumberFormat="1" applyFont="1" applyFill="1" applyBorder="1" applyAlignment="1">
      <x:alignment horizontal="center" vertical="top" wrapText="1"/>
    </x:xf>
    <x:xf numFmtId="164" fontId="19" fillId="85" borderId="0" xfId="0" applyNumberFormat="1" applyFont="1" applyFill="1" applyBorder="1" applyAlignment="1">
      <x:alignment horizontal="center" vertical="top" wrapText="1"/>
    </x:xf>
    <x:xf numFmtId="164" fontId="70" fillId="103" borderId="0" xfId="0" applyNumberFormat="1" applyFont="1" applyFill="1" applyBorder="1" applyAlignment="1">
      <x:alignment horizontal="center" vertical="top" wrapText="1"/>
    </x:xf>
    <x:xf numFmtId="201" fontId="0" fillId="0" borderId="0" xfId="0" applyNumberFormat="1" applyFont="1" applyFill="1" applyBorder="1" applyAlignment="1">
      <x:alignment horizontal="general" vertical="bottom" wrapText="0"/>
    </x:xf>
    <x:xf numFmtId="164" fontId="0" fillId="116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center" wrapText="0"/>
    </x:xf>
    <x:xf numFmtId="201" fontId="0" fillId="0" borderId="0" xfId="0" applyNumberFormat="1" applyFont="1" applyFill="1" applyBorder="1" applyAlignment="1">
      <x:alignment horizontal="general" vertical="center" wrapText="0"/>
    </x:xf>
    <x:xf numFmtId="164" fontId="0" fillId="116" borderId="0" xfId="0" applyNumberFormat="1" applyFont="1" applyFill="1" applyBorder="1" applyAlignment="1">
      <x:alignment horizontal="general" vertical="center" wrapText="0"/>
    </x:xf>
    <x:xf numFmtId="164" fontId="34" fillId="0" borderId="0" xfId="0" applyNumberFormat="1" applyFont="1" applyFill="1" applyBorder="1" applyAlignment="1">
      <x:alignment horizontal="general" vertical="center" wrapText="0"/>
    </x:xf>
    <x:xf numFmtId="201" fontId="34" fillId="0" borderId="0" xfId="0" applyNumberFormat="1" applyFont="1" applyFill="1" applyBorder="1" applyAlignment="1">
      <x:alignment horizontal="general" vertical="center" wrapText="0"/>
    </x:xf>
    <x:xf numFmtId="164" fontId="34" fillId="116" borderId="0" xfId="0" applyNumberFormat="1" applyFont="1" applyFill="1" applyBorder="1" applyAlignment="1">
      <x:alignment horizontal="general" vertical="center" wrapText="0"/>
    </x:xf>
    <x:xf numFmtId="164" fontId="81" fillId="0" borderId="0" xfId="0" applyNumberFormat="1" applyFont="1" applyFill="1" applyBorder="1" applyAlignment="1">
      <x:alignment horizontal="general" vertical="bottom" wrapText="0"/>
    </x:xf>
    <x:xf numFmtId="164" fontId="81" fillId="0" borderId="0" xfId="0" applyNumberFormat="1" applyFont="1" applyFill="1" applyBorder="1" applyAlignment="1">
      <x:alignment horizontal="general" vertical="bottom" wrapText="1"/>
    </x:xf>
    <x:xf numFmtId="201" fontId="34" fillId="0" borderId="0" xfId="0" applyNumberFormat="1" applyFont="1" applyFill="1" applyBorder="1" applyAlignment="1">
      <x:alignment horizontal="general" vertical="center" wrapText="1"/>
    </x:xf>
    <x:xf numFmtId="164" fontId="34" fillId="116" borderId="0" xfId="0" applyNumberFormat="1" applyFont="1" applyFill="1" applyBorder="1" applyAlignment="1">
      <x:alignment horizontal="general" vertical="center" wrapText="1"/>
    </x:xf>
    <x:xf numFmtId="164" fontId="34" fillId="117" borderId="0" xfId="0" applyNumberFormat="1" applyFont="1" applyFill="1" applyBorder="1" applyAlignment="1">
      <x:alignment horizontal="general" vertical="center" wrapText="1"/>
    </x:xf>
    <x:xf numFmtId="164" fontId="19" fillId="117" borderId="0" xfId="0" applyNumberFormat="1" applyFont="1" applyFill="1" applyBorder="1" applyAlignment="1">
      <x:alignment horizontal="general" vertical="center" wrapText="1"/>
    </x:xf>
    <x:xf numFmtId="203" fontId="9" fillId="2" borderId="1" xfId="0" applyNumberFormat="1" applyFont="1" applyFill="1" applyBorder="1" applyAlignment="1">
      <x:alignment horizontal="center" vertical="top" wrapText="1"/>
    </x:xf>
    <x:xf numFmtId="203" fontId="9" fillId="3" borderId="1" xfId="0" applyNumberFormat="1" applyFont="1" applyFill="1" applyBorder="1" applyAlignment="1">
      <x:alignment horizontal="center" vertical="top" wrapText="1"/>
    </x:xf>
    <x:xf numFmtId="203" fontId="9" fillId="4" borderId="1" xfId="0" applyNumberFormat="1" applyFont="1" applyFill="1" applyBorder="1" applyAlignment="1">
      <x:alignment horizontal="center" vertical="top" wrapText="1"/>
    </x:xf>
    <x:xf numFmtId="164" fontId="8" fillId="118" borderId="1" xfId="0" applyNumberFormat="1" applyFont="1" applyFill="1" applyBorder="1" applyAlignment="1">
      <x:alignment horizontal="general" vertical="top" wrapText="1"/>
    </x:xf>
    <x:xf numFmtId="164" fontId="82" fillId="118" borderId="1" xfId="0" applyNumberFormat="1" applyFont="1" applyFill="1" applyBorder="1" applyAlignment="1">
      <x:alignment horizontal="general" vertical="top" wrapText="1"/>
    </x:xf>
    <x:xf numFmtId="164" fontId="13" fillId="118" borderId="1" xfId="0" applyNumberFormat="1" applyFont="1" applyFill="1" applyBorder="1" applyAlignment="1">
      <x:alignment horizontal="general" vertical="top" wrapText="1"/>
    </x:xf>
    <x:xf numFmtId="164" fontId="55" fillId="118" borderId="1" xfId="0" applyNumberFormat="1" applyFont="1" applyFill="1" applyBorder="1" applyAlignment="1">
      <x:alignment horizontal="general" vertical="top" wrapText="1"/>
    </x:xf>
    <x:xf numFmtId="164" fontId="83" fillId="118" borderId="1" xfId="0" applyNumberFormat="1" applyFont="1" applyFill="1" applyBorder="1" applyAlignment="1">
      <x:alignment horizontal="general" vertical="top" wrapText="1"/>
    </x:xf>
    <x:xf numFmtId="164" fontId="57" fillId="118" borderId="1" xfId="0" applyNumberFormat="1" applyFont="1" applyFill="1" applyBorder="1" applyAlignment="1">
      <x:alignment horizontal="general" vertical="top" wrapText="1"/>
    </x:xf>
    <x:xf numFmtId="200" fontId="0" fillId="0" borderId="0" xfId="0" applyNumberFormat="1" applyFont="1" applyFill="1" applyBorder="1" applyAlignment="1">
      <x:alignment horizontal="general" vertical="bottom" wrapText="0"/>
    </x:xf>
    <x:xf numFmtId="201" fontId="0" fillId="116" borderId="0" xfId="0" applyNumberFormat="1" applyFont="1" applyFill="1" applyBorder="1" applyAlignment="1">
      <x:alignment horizontal="general" vertical="bottom" wrapText="0"/>
    </x:xf>
    <x:xf numFmtId="200" fontId="0" fillId="116" borderId="0" xfId="0" applyNumberFormat="1" applyFont="1" applyFill="1" applyBorder="1" applyAlignment="1">
      <x:alignment horizontal="general" vertical="bottom" wrapText="0"/>
    </x:xf>
    <x:xf numFmtId="201" fontId="34" fillId="116" borderId="0" xfId="0" applyNumberFormat="1" applyFont="1" applyFill="1" applyBorder="1" applyAlignment="1">
      <x:alignment horizontal="general" vertical="bottom" wrapText="0"/>
    </x:xf>
    <x:xf numFmtId="164" fontId="34" fillId="116" borderId="0" xfId="0" applyNumberFormat="1" applyFont="1" applyFill="1" applyBorder="1" applyAlignment="1">
      <x:alignment horizontal="general" vertical="bottom" wrapText="0"/>
    </x:xf>
    <x:xf numFmtId="200" fontId="34" fillId="116" borderId="0" xfId="0" applyNumberFormat="1" applyFont="1" applyFill="1" applyBorder="1" applyAlignment="1">
      <x:alignment horizontal="general" vertical="bottom" wrapText="0"/>
    </x:xf>
    <x:xf numFmtId="200" fontId="34" fillId="0" borderId="0" xfId="0" applyNumberFormat="1" applyFont="1" applyFill="1" applyBorder="1" applyAlignment="1">
      <x:alignment horizontal="general" vertical="bottom" wrapText="0"/>
    </x:xf>
    <x:xf numFmtId="201" fontId="34" fillId="116" borderId="0" xfId="0" applyNumberFormat="1" applyFont="1" applyFill="1" applyBorder="1" applyAlignment="1">
      <x:alignment horizontal="general" vertical="bottom" wrapText="1"/>
    </x:xf>
    <x:xf numFmtId="164" fontId="34" fillId="116" borderId="0" xfId="0" applyNumberFormat="1" applyFont="1" applyFill="1" applyBorder="1" applyAlignment="1">
      <x:alignment horizontal="general" vertical="bottom" wrapText="1"/>
    </x:xf>
    <x:xf numFmtId="200" fontId="34" fillId="116" borderId="0" xfId="0" applyNumberFormat="1" applyFont="1" applyFill="1" applyBorder="1" applyAlignment="1">
      <x:alignment horizontal="general" vertical="bottom" wrapText="1"/>
    </x:xf>
    <x:xf numFmtId="200" fontId="34" fillId="0" borderId="0" xfId="0" applyNumberFormat="1" applyFont="1" applyFill="1" applyBorder="1" applyAlignment="1">
      <x:alignment horizontal="general" vertical="bottom" wrapText="1"/>
    </x:xf>
    <x:xf numFmtId="203" fontId="19" fillId="14" borderId="0" xfId="0" applyNumberFormat="1" applyFont="1" applyFill="1" applyBorder="1" applyAlignment="1">
      <x:alignment horizontal="general" vertical="top" wrapText="1"/>
    </x:xf>
    <x:xf numFmtId="203" fontId="24" fillId="7" borderId="0" xfId="0" applyNumberFormat="1" applyFont="1" applyFill="1" applyBorder="1" applyAlignment="1">
      <x:alignment horizontal="general" vertical="top" wrapText="1"/>
    </x:xf>
    <x:xf numFmtId="203" fontId="24" fillId="16" borderId="0" xfId="0" applyNumberFormat="1" applyFont="1" applyFill="1" applyBorder="1" applyAlignment="1">
      <x:alignment horizontal="general" vertical="top" wrapText="1"/>
    </x:xf>
    <x:xf numFmtId="202" fontId="54" fillId="119" borderId="0" xfId="0" applyNumberFormat="1" applyFont="1" applyFill="1" applyBorder="1" applyAlignment="1">
      <x:alignment horizontal="right" vertical="top" wrapText="1"/>
    </x:xf>
    <x:xf numFmtId="200" fontId="54" fillId="119" borderId="0" xfId="0" applyNumberFormat="1" applyFont="1" applyFill="1" applyBorder="1" applyAlignment="1">
      <x:alignment horizontal="right" vertical="top" wrapText="1"/>
    </x:xf>
    <x:xf numFmtId="200" fontId="34" fillId="49" borderId="0" xfId="0" applyNumberFormat="1" applyFont="1" applyFill="1" applyBorder="1" applyAlignment="1">
      <x:alignment horizontal="general" vertical="top" wrapText="1"/>
    </x:xf>
    <x:xf numFmtId="200" fontId="34" fillId="0" borderId="0" xfId="0" applyNumberFormat="1" applyFont="1" applyFill="1" applyBorder="1" applyAlignment="1">
      <x:alignment horizontal="general" vertical="top" wrapText="1"/>
    </x:xf>
    <x:xf numFmtId="200" fontId="69" fillId="8" borderId="0" xfId="0" applyNumberFormat="1" applyFont="1" applyFill="1" applyBorder="1" applyAlignment="1">
      <x:alignment horizontal="general" vertical="top" wrapText="1"/>
    </x:xf>
    <x:xf numFmtId="200" fontId="24" fillId="0" borderId="0" xfId="0" applyNumberFormat="1" applyFont="1" applyFill="1" applyBorder="1" applyAlignment="1">
      <x:alignment horizontal="general" vertical="center" wrapText="1"/>
    </x:xf>
    <x:xf numFmtId="200" fontId="22" fillId="15" borderId="0" xfId="0" applyNumberFormat="1" applyFont="1" applyFill="1" applyBorder="1" applyAlignment="1">
      <x:alignment horizontal="general" vertical="center" wrapText="1"/>
    </x:xf>
    <x:xf numFmtId="164" fontId="19" fillId="117" borderId="0" xfId="0" applyNumberFormat="1" applyFont="1" applyFill="1" applyBorder="1" applyAlignment="1">
      <x:alignment horizontal="center" vertical="top" wrapText="1"/>
    </x:xf>
    <x:xf numFmtId="164" fontId="42" fillId="117" borderId="0" xfId="0" applyNumberFormat="1" applyFont="1" applyFill="1" applyBorder="1" applyAlignment="1">
      <x:alignment horizontal="center" vertical="center" wrapText="1"/>
    </x:xf>
    <x:xf numFmtId="164" fontId="19" fillId="117" borderId="0" xfId="0" applyNumberFormat="1" applyFont="1" applyFill="1" applyBorder="1" applyAlignment="1">
      <x:alignment horizontal="center" vertical="center" wrapText="1"/>
    </x:xf>
    <x:xf numFmtId="164" fontId="34" fillId="117" borderId="0" xfId="0" applyNumberFormat="1" applyFont="1" applyFill="1" applyBorder="1" applyAlignment="1">
      <x:alignment horizontal="general" vertical="top" wrapText="1"/>
    </x:xf>
    <x:xf numFmtId="164" fontId="19" fillId="117" borderId="0" xfId="0" applyNumberFormat="1" applyFont="1" applyFill="1" applyBorder="1" applyAlignment="1">
      <x:alignment horizontal="general" vertical="top" wrapText="1"/>
    </x:xf>
    <x:xf numFmtId="164" fontId="42" fillId="117" borderId="0" xfId="0" applyNumberFormat="1" applyFont="1" applyFill="1" applyBorder="1" applyAlignment="1">
      <x:alignment horizontal="center" vertical="bottom" wrapText="1"/>
    </x:xf>
    <x:xf numFmtId="164" fontId="0" fillId="117" borderId="0" xfId="0" applyNumberFormat="1" applyFont="1" applyFill="1" applyBorder="1" applyAlignment="1">
      <x:alignment horizontal="general" vertical="bottom" wrapText="0"/>
    </x:xf>
    <x:xf numFmtId="164" fontId="19" fillId="117" borderId="0" xfId="0" applyNumberFormat="1" applyFont="1" applyFill="1" applyBorder="1" applyAlignment="1">
      <x:alignment horizontal="center" vertical="bottom" wrapText="1"/>
    </x:xf>
    <x:xf numFmtId="164" fontId="19" fillId="117" borderId="0" xfId="0" applyNumberFormat="1" applyFont="1" applyFill="1" applyBorder="1" applyAlignment="1">
      <x:alignment horizontal="general" vertical="bottom" wrapText="0"/>
    </x:xf>
  </x:cellXfs>
  <x:cellStyles count="13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[0]" xfId="21"/>
    <x:cellStyle name="Currency" xfId="22"/>
    <x:cellStyle name="Currency [0]" xfId="23"/>
    <x:cellStyle name="Normal" xfId="24"/>
    <x:cellStyle name="Normal 1" xfId="25"/>
    <x:cellStyle name="Percent" xfId="26"/>
  </x:cellStyles>
  <x:dxfs count="25">
    <x:dxf>
      <x:fill>
        <x:patternFill>
          <x:bgColor rgb="FF243C53"/>
        </x:patternFill>
      </x:fill>
    </x:dxf>
    <x:dxf>
      <x:fill>
        <x:patternFill>
          <x:bgColor rgb="FFD0E0E3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0563C1"/>
        </x:patternFill>
      </x:fill>
    </x:dxf>
    <x:dxf>
      <x:font>
        <x:color rgb="FF000000"/>
      </x:font>
      <x:border>
        <x:left style="thin">
          <x:color theme="4" tint="0.4"/>
        </x:left>
        <x:right style="thin">
          <x:color theme="4" tint="0.4"/>
        </x:right>
        <x:top style="thin">
          <x:color theme="4" tint="0.4"/>
        </x:top>
        <x:bottom style="thin">
          <x:color theme="4" tint="0.4"/>
        </x:bottom>
        <x:diagonal/>
      </x:border>
    </x:dxf>
    <x:dxf>
      <x:fill>
        <x:patternFill>
          <x:bgColor theme="4" tint="0.8"/>
        </x:patternFill>
      </x:fill>
    </x:dxf>
    <x:dxf>
      <x:fill>
        <x:patternFill>
          <x:bgColor theme="4" tint="0.8"/>
        </x:patternFill>
      </x:fill>
    </x:dxf>
    <x:dxf>
      <x:font>
        <x:b/>
        <x:color rgb="FF000000"/>
      </x:font>
    </x:dxf>
    <x:dxf>
      <x:font>
        <x:b/>
        <x:color rgb="FF000000"/>
      </x:font>
    </x:dxf>
    <x:dxf>
      <x:font>
        <x:b/>
        <x:color rgb="FFFFFFFF"/>
      </x:font>
      <x:fill>
        <x:patternFill>
          <x:bgColor theme="4"/>
        </x:patternFill>
      </x:fill>
    </x:dxf>
    <x:dxf>
      <x:font>
        <x:b/>
        <x:color rgb="FF000000"/>
      </x:font>
      <x:border>
        <x:left/>
        <x:right/>
        <x:top style="double">
          <x:color theme="4"/>
        </x:top>
        <x:bottom/>
        <x:diagonal/>
      </x:border>
    </x:dxf>
    <x:dxf>
      <x:font>
        <x:b/>
        <x:color rgb="FF946321"/>
      </x:font>
      <x:fill>
        <x:patternFill patternType="solid">
          <x:bgColor rgb="FFFFF0CE"/>
        </x:patternFill>
      </x:fill>
    </x:dxf>
    <x:dxf>
      <x:font>
        <x:b/>
        <x:color rgb="FF2E6B50"/>
      </x:font>
      <x:fill>
        <x:patternFill patternType="solid">
          <x:bgColor rgb="FFE0EFDF"/>
        </x:patternFill>
      </x:fill>
    </x:dxf>
    <x:dxf>
      <x:font>
        <x:b/>
        <x:color rgb="FFA33A32"/>
      </x:font>
      <x:fill>
        <x:patternFill patternType="solid">
          <x:bgColor rgb="FFF5DDDC"/>
        </x:patternFill>
      </x:fill>
    </x:dxf>
    <x:dxf>
      <x:font>
        <x:b/>
        <x:color rgb="FF946321"/>
      </x:font>
      <x:fill>
        <x:patternFill patternType="solid">
          <x:bgColor rgb="FFFFF0CE"/>
        </x:patternFill>
      </x:fill>
    </x:dxf>
    <x:dxf>
      <x:font>
        <x:b/>
        <x:color rgb="FF2E6B50"/>
      </x:font>
      <x:fill>
        <x:patternFill patternType="solid">
          <x:bgColor rgb="FFE0EFDF"/>
        </x:patternFill>
      </x:fill>
    </x:dxf>
    <x:dxf>
      <x:font>
        <x:b/>
        <x:color rgb="FFA33A32"/>
      </x:font>
      <x:fill>
        <x:patternFill patternType="solid">
          <x:bgColor rgb="FFF5DDDC"/>
        </x:patternFill>
      </x:fill>
    </x:dxf>
    <x:dxf>
      <x:font>
        <x:color rgb="FF946321"/>
      </x:font>
      <x:fill>
        <x:patternFill patternType="solid">
          <x:bgColor rgb="FFFFF0CE"/>
        </x:patternFill>
      </x:fill>
    </x:dxf>
    <x:dxf>
      <x:font>
        <x:color rgb="FF946321"/>
      </x:font>
      <x:fill>
        <x:patternFill patternType="solid">
          <x:bgColor rgb="FFFFF0CE"/>
        </x:patternFill>
      </x:fill>
    </x:dxf>
    <x:dxf>
      <x:font>
        <x:color rgb="FF2E6B50"/>
      </x:font>
      <x:fill>
        <x:patternFill patternType="solid">
          <x:bgColor rgb="FFE0EFDF"/>
        </x:patternFill>
      </x:fill>
    </x:dxf>
    <x:dxf>
      <x:font>
        <x:color rgb="FF2E6B50"/>
      </x:font>
      <x:fill>
        <x:patternFill patternType="solid">
          <x:bgColor rgb="FFE0EFDF"/>
        </x:patternFill>
      </x:fill>
    </x:dxf>
    <x:dxf>
      <x:font>
        <x:color rgb="FFA33A32"/>
      </x:font>
      <x:fill>
        <x:patternFill patternType="solid">
          <x:bgColor rgb="FFF5DDDC"/>
        </x:patternFill>
      </x:fill>
    </x:dxf>
    <x:dxf>
      <x:font>
        <x:b/>
        <x:color rgb="FFA33A32"/>
      </x:font>
      <x:fill>
        <x:patternFill patternType="solid">
          <x:bgColor rgb="FFF5DDDC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4F6F8"/>
      <x:rgbColor rgb="FFFF00FF"/>
      <x:rgbColor rgb="FF00FFFF"/>
      <x:rgbColor rgb="FF800000"/>
      <x:rgbColor rgb="FF008000"/>
      <x:rgbColor rgb="FF000080"/>
      <x:rgbColor rgb="FF808000"/>
      <x:rgbColor rgb="FF800080"/>
      <x:rgbColor rgb="FF17689B"/>
      <x:rgbColor rgb="FFBBC2C9"/>
      <x:rgbColor rgb="FF4F81BD"/>
      <x:rgbColor rgb="FF9999FF"/>
      <x:rgbColor rgb="FF993366"/>
      <x:rgbColor rgb="FFFFF2CC"/>
      <x:rgbColor rgb="FFD9EAF7"/>
      <x:rgbColor rgb="FF660066"/>
      <x:rgbColor rgb="FFFF8080"/>
      <x:rgbColor rgb="FF0563C1"/>
      <x:rgbColor rgb="FFD0E0E3"/>
      <x:rgbColor rgb="FF000080"/>
      <x:rgbColor rgb="FFFF00FF"/>
      <x:rgbColor rgb="FFF4F7FA"/>
      <x:rgbColor rgb="FF00FFFF"/>
      <x:rgbColor rgb="FF800080"/>
      <x:rgbColor rgb="FF800000"/>
      <x:rgbColor rgb="FF156082"/>
      <x:rgbColor rgb="FF0000FF"/>
      <x:rgbColor rgb="FF00CCFF"/>
      <x:rgbColor rgb="FFE8EDF5"/>
      <x:rgbColor rgb="FFD9EAD3"/>
      <x:rgbColor rgb="FFFCE5CD"/>
      <x:rgbColor rgb="FFD9E2F3"/>
      <x:rgbColor rgb="FFE7E6E6"/>
      <x:rgbColor rgb="FFF3F3F3"/>
      <x:rgbColor rgb="FFEAD1DC"/>
      <x:rgbColor rgb="FF3366FF"/>
      <x:rgbColor rgb="FF46B1E1"/>
      <x:rgbColor rgb="FF99CC00"/>
      <x:rgbColor rgb="FFFFCC00"/>
      <x:rgbColor rgb="FFFF9900"/>
      <x:rgbColor rgb="FFFF6600"/>
      <x:rgbColor rgb="FF666666"/>
      <x:rgbColor rgb="FFA5A5A5"/>
      <x:rgbColor rgb="FF003366"/>
      <x:rgbColor rgb="FF4E836B"/>
      <x:rgbColor rgb="FF172B1B"/>
      <x:rgbColor rgb="FF202124"/>
      <x:rgbColor rgb="FF993300"/>
      <x:rgbColor rgb="FF993366"/>
      <x:rgbColor rgb="FF44546A"/>
      <x:rgbColor rgb="FF243C5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c83a4da4e4a73" /><Relationship Type="http://schemas.openxmlformats.org/officeDocument/2006/relationships/theme" Target="/xl/theme/theme1.xml" Id="Rfcc5803286de42c6" /><Relationship Type="http://schemas.openxmlformats.org/officeDocument/2006/relationships/sharedStrings" Target="/xl/sharedStrings.xml" Id="Re89063da7bfe4713" /><Relationship Type="http://schemas.openxmlformats.org/officeDocument/2006/relationships/worksheet" Target="/xl/worksheets/sheet1.xml" Id="R051b8972f11d4884" /><Relationship Type="http://schemas.openxmlformats.org/officeDocument/2006/relationships/worksheet" Target="/xl/worksheets/sheet2.xml" Id="R4b34374d76914502" /><Relationship Type="http://schemas.openxmlformats.org/officeDocument/2006/relationships/worksheet" Target="/xl/worksheets/sheet3.xml" Id="Rdfac0ec19c924ed4" /><Relationship Type="http://schemas.openxmlformats.org/officeDocument/2006/relationships/worksheet" Target="/xl/worksheets/sheet4.xml" Id="R08d9b6060ce346f0" /><Relationship Type="http://schemas.openxmlformats.org/officeDocument/2006/relationships/worksheet" Target="/xl/worksheets/sheet5.xml" Id="Re5153adb30674beb" /><Relationship Type="http://schemas.openxmlformats.org/officeDocument/2006/relationships/worksheet" Target="/xl/worksheets/sheet6.xml" Id="R9a5062e36dcd4851" /><Relationship Type="http://schemas.openxmlformats.org/officeDocument/2006/relationships/worksheet" Target="/xl/worksheets/sheet7.xml" Id="R5308ade84fa2481c" /><Relationship Type="http://schemas.openxmlformats.org/officeDocument/2006/relationships/worksheet" Target="/xl/worksheets/sheet8.xml" Id="Rc93676daacdd41a4" /><Relationship Type="http://schemas.openxmlformats.org/officeDocument/2006/relationships/worksheet" Target="/xl/worksheets/sheet9.xml" Id="Rb03651e58de54b57" /><Relationship Type="http://schemas.openxmlformats.org/officeDocument/2006/relationships/worksheet" Target="/xl/worksheets/sheet10.xml" Id="Rdf43db07be2e4e03" /><Relationship Type="http://schemas.openxmlformats.org/officeDocument/2006/relationships/worksheet" Target="/xl/worksheets/sheet11.xml" Id="R67d2060f69c540a2" /><Relationship Type="http://schemas.openxmlformats.org/officeDocument/2006/relationships/worksheet" Target="/xl/worksheets/sheet12.xml" Id="R453320266cb845a7" /><Relationship Type="http://schemas.openxmlformats.org/officeDocument/2006/relationships/worksheet" Target="/xl/worksheets/sheet13.xml" Id="R8cb36ca24df54c77" /><Relationship Type="http://schemas.openxmlformats.org/officeDocument/2006/relationships/worksheet" Target="/xl/worksheets/sheet14.xml" Id="R4a83f4df66ad4590" /><Relationship Type="http://schemas.openxmlformats.org/officeDocument/2006/relationships/worksheet" Target="/xl/worksheets/sheet15.xml" Id="Rcd3f495540364d06" /></Relationships>
</file>

<file path=xl/drawings/_rels/drawing1.xml.rels><?xml version='1.0' encoding='utf-8'?>
<ns0:Relationships xmlns:ns0="http://schemas.openxmlformats.org/package/2006/relationships"><ns0:Relationship Type="http://schemas.openxmlformats.org/officeDocument/2006/relationships/image" Target="/xl/media/image.jpg" Id="R11e4099b9d75402d" /><ns0:Relationship Type="http://schemas.openxmlformats.org/officeDocument/2006/relationships/image" Target="/xl/media/image2.jpg" Id="R6ea15e6bbe994865" /><ns0:Relationship Type="http://schemas.openxmlformats.org/officeDocument/2006/relationships/image" Target="/xl/media/image3.jpg" Id="R3003b5c0e7864b79" /><ns0:Relationship Type="http://schemas.openxmlformats.org/officeDocument/2006/relationships/image" Target="/xl/media/image4.jpg" Id="R647d22f6121d476e" /><ns0:Relationship Type="http://schemas.openxmlformats.org/officeDocument/2006/relationships/image" Target="/xl/media/image5.jpg" Id="Rbd4afedf467849ba" /><ns0:Relationship Type="http://schemas.openxmlformats.org/officeDocument/2006/relationships/image" Target="/xl/media/image6.jpg" Id="Ree8d24cec7f84eb3" /><ns0:Relationship Type="http://schemas.openxmlformats.org/officeDocument/2006/relationships/image" Target="/xl/media/image8.jpg" Id="R35a8691b1e0844aa" /><ns0:Relationship Type="http://schemas.openxmlformats.org/officeDocument/2006/relationships/image" Target="/xl/media/image9.jpg" Id="Ra129248510934c83" /><ns0:Relationship Type="http://schemas.openxmlformats.org/officeDocument/2006/relationships/image" Target="/xl/media/image10.jpg" Id="R27335d921d7b42be" /></ns0: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11.jpg" Id="Rf454c01a618c4e71" /><Relationship Type="http://schemas.openxmlformats.org/officeDocument/2006/relationships/image" Target="/xl/media/image12.jpg" Id="R80941276eb874e1c" /><Relationship Type="http://schemas.openxmlformats.org/officeDocument/2006/relationships/image" Target="/xl/media/image13.jpg" Id="R8baacf8a3e4b4795" /><Relationship Type="http://schemas.openxmlformats.org/officeDocument/2006/relationships/image" Target="/xl/media/image14.jpg" Id="R59d19063bcbe46d3" /><Relationship Type="http://schemas.openxmlformats.org/officeDocument/2006/relationships/image" Target="/xl/media/image15.jpg" Id="Rbe5aa80e1d144309" /><Relationship Type="http://schemas.openxmlformats.org/officeDocument/2006/relationships/image" Target="/xl/media/image16.jpg" Id="R7e407efc99044384" /><Relationship Type="http://schemas.openxmlformats.org/officeDocument/2006/relationships/image" Target="/xl/media/image17.jpg" Id="R4fdcf87326394a7b" /><Relationship Type="http://schemas.openxmlformats.org/officeDocument/2006/relationships/image" Target="/xl/media/image18.jpg" Id="R44c40da02c2b488c" /><Relationship Type="http://schemas.openxmlformats.org/officeDocument/2006/relationships/image" Target="/xl/media/image19.jpg" Id="R44323062f7fa4020" /><Relationship Type="http://schemas.openxmlformats.org/officeDocument/2006/relationships/image" Target="/xl/media/image20.jpg" Id="Red5973a8313c4e29" /><Relationship Type="http://schemas.openxmlformats.org/officeDocument/2006/relationships/image" Target="/xl/media/image21.jpg" Id="R597d600608e3432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22.jpg" Id="R86f7531563be4d49" /><Relationship Type="http://schemas.openxmlformats.org/officeDocument/2006/relationships/image" Target="/xl/media/image23.jpg" Id="R9e4388ddbdab4ba2" /><Relationship Type="http://schemas.openxmlformats.org/officeDocument/2006/relationships/image" Target="/xl/media/image24.jpg" Id="Ree894f7dbb714b95" /><Relationship Type="http://schemas.openxmlformats.org/officeDocument/2006/relationships/image" Target="/xl/media/image25.jpg" Id="R5dfd7084083e4624" /><Relationship Type="http://schemas.openxmlformats.org/officeDocument/2006/relationships/image" Target="/xl/media/image26.jpg" Id="Ra5e91b8d1c8d4005" /><Relationship Type="http://schemas.openxmlformats.org/officeDocument/2006/relationships/image" Target="/xl/media/image27.jpg" Id="R49cad7229dd240b1" /><Relationship Type="http://schemas.openxmlformats.org/officeDocument/2006/relationships/image" Target="/xl/media/image28.jpg" Id="R0f0d360bd08c4fca" /><Relationship Type="http://schemas.openxmlformats.org/officeDocument/2006/relationships/image" Target="/xl/media/image29.jpg" Id="Rb276f2fc5ced40e4" /><Relationship Type="http://schemas.openxmlformats.org/officeDocument/2006/relationships/image" Target="/xl/media/image30.jpg" Id="R2c0b101f52c14713" /><Relationship Type="http://schemas.openxmlformats.org/officeDocument/2006/relationships/image" Target="/xl/media/image31.jpg" Id="R66a43e6346bf49d0" /><Relationship Type="http://schemas.openxmlformats.org/officeDocument/2006/relationships/image" Target="/xl/media/image32.jpg" Id="R5ffdd0696e124e4b" /><Relationship Type="http://schemas.openxmlformats.org/officeDocument/2006/relationships/image" Target="/xl/media/image33.jpg" Id="R547d48d2a11d4ccb" /><Relationship Type="http://schemas.openxmlformats.org/officeDocument/2006/relationships/image" Target="/xl/media/image34.jpg" Id="R74fad98bec7d4b2a" /><Relationship Type="http://schemas.openxmlformats.org/officeDocument/2006/relationships/image" Target="/xl/media/image35.jpg" Id="Rd866ca7815004f76" /><Relationship Type="http://schemas.openxmlformats.org/officeDocument/2006/relationships/image" Target="/xl/media/image36.jpg" Id="R3fb32ef9d846466e" /><Relationship Type="http://schemas.openxmlformats.org/officeDocument/2006/relationships/image" Target="/xl/media/image37.jpg" Id="Rbe0322caae33453a" /><Relationship Type="http://schemas.openxmlformats.org/officeDocument/2006/relationships/image" Target="/xl/media/image38.jpg" Id="Ra3d3d8b0dda34c69" /><Relationship Type="http://schemas.openxmlformats.org/officeDocument/2006/relationships/image" Target="/xl/media/image39.jpg" Id="Rca2e2d84896c4a7d" /><Relationship Type="http://schemas.openxmlformats.org/officeDocument/2006/relationships/image" Target="/xl/media/image40.jpg" Id="R17fbc764633d4929" /><Relationship Type="http://schemas.openxmlformats.org/officeDocument/2006/relationships/image" Target="/xl/media/image41.jpg" Id="R9a54a47930f54730" /><Relationship Type="http://schemas.openxmlformats.org/officeDocument/2006/relationships/image" Target="/xl/media/image42.jpg" Id="Re5df3bb026c64cdd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3.jpg" Id="Rbcfea3ad7c2c44e7" /><Relationship Type="http://schemas.openxmlformats.org/officeDocument/2006/relationships/image" Target="/xl/media/image44.jpg" Id="R2c1059b3b7fa41e0" /><Relationship Type="http://schemas.openxmlformats.org/officeDocument/2006/relationships/image" Target="/xl/media/image45.jpg" Id="R9fca373fa85149f9" /><Relationship Type="http://schemas.openxmlformats.org/officeDocument/2006/relationships/image" Target="/xl/media/image46.jpg" Id="R212558c93e8a44e9" /><Relationship Type="http://schemas.openxmlformats.org/officeDocument/2006/relationships/image" Target="/xl/media/image47.jpg" Id="R4cd172817d4b4469" /><Relationship Type="http://schemas.openxmlformats.org/officeDocument/2006/relationships/image" Target="/xl/media/image48.jpg" Id="R4d113770d5924168" /><Relationship Type="http://schemas.openxmlformats.org/officeDocument/2006/relationships/image" Target="/xl/media/image49.jpg" Id="R146b5eb1e36947f4" /><Relationship Type="http://schemas.openxmlformats.org/officeDocument/2006/relationships/image" Target="/xl/media/image50.jpg" Id="Rea41f81a29864742" /><Relationship Type="http://schemas.openxmlformats.org/officeDocument/2006/relationships/image" Target="/xl/media/image51.jpg" Id="R9bf08356412c40be" /><Relationship Type="http://schemas.openxmlformats.org/officeDocument/2006/relationships/image" Target="/xl/media/image52.jpg" Id="R7e3fc68970fa46fc" /><Relationship Type="http://schemas.openxmlformats.org/officeDocument/2006/relationships/image" Target="/xl/media/image53.jpg" Id="R5b2a987bf1414820" /><Relationship Type="http://schemas.openxmlformats.org/officeDocument/2006/relationships/image" Target="/xl/media/image54.jpg" Id="Reb05c9ab050248c8" /><Relationship Type="http://schemas.openxmlformats.org/officeDocument/2006/relationships/image" Target="/xl/media/image55.jpg" Id="Re7f5223878314729" /><Relationship Type="http://schemas.openxmlformats.org/officeDocument/2006/relationships/image" Target="/xl/media/image56.jpg" Id="R2acbead09ad840ef" /><Relationship Type="http://schemas.openxmlformats.org/officeDocument/2006/relationships/image" Target="/xl/media/image57.jpg" Id="R1eb57941ad8b4fbb" /><Relationship Type="http://schemas.openxmlformats.org/officeDocument/2006/relationships/image" Target="/xl/media/image58.jpg" Id="R6d8c84db464a45fc" /><Relationship Type="http://schemas.openxmlformats.org/officeDocument/2006/relationships/image" Target="/xl/media/image59.jpg" Id="R36373b8172a94ba0" /><Relationship Type="http://schemas.openxmlformats.org/officeDocument/2006/relationships/image" Target="/xl/media/image60.jpg" Id="R607a70768b12437d" /><Relationship Type="http://schemas.openxmlformats.org/officeDocument/2006/relationships/image" Target="/xl/media/image61.jpg" Id="R640dd2c078fa4f09" /><Relationship Type="http://schemas.openxmlformats.org/officeDocument/2006/relationships/image" Target="/xl/media/image62.jpg" Id="R8611e892fc4946df" /><Relationship Type="http://schemas.openxmlformats.org/officeDocument/2006/relationships/image" Target="/xl/media/image63.jpg" Id="Ra997568452b24f9c" /><Relationship Type="http://schemas.openxmlformats.org/officeDocument/2006/relationships/image" Target="/xl/media/image64.jpg" Id="R62935b458e0b4582" /><Relationship Type="http://schemas.openxmlformats.org/officeDocument/2006/relationships/image" Target="/xl/media/image65.jpg" Id="R25463836b98c4a58" /><Relationship Type="http://schemas.openxmlformats.org/officeDocument/2006/relationships/image" Target="/xl/media/image66.jpg" Id="Rf06c9a891e814305" /><Relationship Type="http://schemas.openxmlformats.org/officeDocument/2006/relationships/image" Target="/xl/media/image67.jpg" Id="R86e6df5f407c4632" /><Relationship Type="http://schemas.openxmlformats.org/officeDocument/2006/relationships/image" Target="/xl/media/image68.jpg" Id="R298b313df69e4631" /><Relationship Type="http://schemas.openxmlformats.org/officeDocument/2006/relationships/image" Target="/xl/media/image69.jpg" Id="R7e26af06240a4e93" /><Relationship Type="http://schemas.openxmlformats.org/officeDocument/2006/relationships/image" Target="/xl/media/image70.jpg" Id="Redf50f0433b74d58" /><Relationship Type="http://schemas.openxmlformats.org/officeDocument/2006/relationships/image" Target="/xl/media/image71.jpg" Id="R5644d43410be4f84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72.jpg" Id="R8d95573fc4ef4ff9" /><Relationship Type="http://schemas.openxmlformats.org/officeDocument/2006/relationships/image" Target="/xl/media/image73.jpg" Id="R1549411537a2415b" /><Relationship Type="http://schemas.openxmlformats.org/officeDocument/2006/relationships/image" Target="/xl/media/image74.jpg" Id="R8c357ffb0ede4047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75.jpg" Id="Rf94c93122c834fce" /><Relationship Type="http://schemas.openxmlformats.org/officeDocument/2006/relationships/image" Target="/xl/media/image76.jpg" Id="Readfb1afb4084dad" /><Relationship Type="http://schemas.openxmlformats.org/officeDocument/2006/relationships/image" Target="/xl/media/image77.jpg" Id="R33a0bb07a9c448bf" /><Relationship Type="http://schemas.openxmlformats.org/officeDocument/2006/relationships/image" Target="/xl/media/image78.jpg" Id="R80f90b5585784530" /><Relationship Type="http://schemas.openxmlformats.org/officeDocument/2006/relationships/image" Target="/xl/media/image79.jpg" Id="R569a4ddff0bb4f99" /><Relationship Type="http://schemas.openxmlformats.org/officeDocument/2006/relationships/image" Target="/xl/media/image80.jpg" Id="Rddf59dc2cab74626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81.jpg" Id="Ra975b39a59354a2a" /><Relationship Type="http://schemas.openxmlformats.org/officeDocument/2006/relationships/image" Target="/xl/media/image82.jpg" Id="R176e6af67a974ac1" /><Relationship Type="http://schemas.openxmlformats.org/officeDocument/2006/relationships/image" Target="/xl/media/image83.jpg" Id="R73cf655d384040de" /><Relationship Type="http://schemas.openxmlformats.org/officeDocument/2006/relationships/image" Target="/xl/media/image84.jpg" Id="R0f7a5d40abdf4b2a" /><Relationship Type="http://schemas.openxmlformats.org/officeDocument/2006/relationships/image" Target="/xl/media/image85.jpg" Id="R07068df3c501431a" /><Relationship Type="http://schemas.openxmlformats.org/officeDocument/2006/relationships/image" Target="/xl/media/image86.jpg" Id="R85cfb17dcbed4699" /><Relationship Type="http://schemas.openxmlformats.org/officeDocument/2006/relationships/image" Target="/xl/media/image87.jpg" Id="Ra134cc8753a442ec" /><Relationship Type="http://schemas.openxmlformats.org/officeDocument/2006/relationships/image" Target="/xl/media/image88.jpg" Id="R4e16b604fa214160" /><Relationship Type="http://schemas.openxmlformats.org/officeDocument/2006/relationships/image" Target="/xl/media/image89.jpg" Id="R5c4f1da91b8f42cc" /><Relationship Type="http://schemas.openxmlformats.org/officeDocument/2006/relationships/image" Target="/xl/media/image90.jpg" Id="R4bf74ea8af894bdd" /><Relationship Type="http://schemas.openxmlformats.org/officeDocument/2006/relationships/image" Target="/xl/media/image91.jpg" Id="Rb951d4365e294fe3" /><Relationship Type="http://schemas.openxmlformats.org/officeDocument/2006/relationships/image" Target="/xl/media/image92.jpg" Id="Rf158259dcd0a4fd0" /><Relationship Type="http://schemas.openxmlformats.org/officeDocument/2006/relationships/image" Target="/xl/media/image93.jpg" Id="Rf0614ef2a0e7443b" /><Relationship Type="http://schemas.openxmlformats.org/officeDocument/2006/relationships/image" Target="/xl/media/image94.jpg" Id="R5a197e8602fe46d6" /><Relationship Type="http://schemas.openxmlformats.org/officeDocument/2006/relationships/image" Target="/xl/media/image95.jpg" Id="Rfdbf1bf5939648e7" /><Relationship Type="http://schemas.openxmlformats.org/officeDocument/2006/relationships/image" Target="/xl/media/image96.jpg" Id="R6ba16a6061354468" /><Relationship Type="http://schemas.openxmlformats.org/officeDocument/2006/relationships/image" Target="/xl/media/image97.jpg" Id="R9d5ed0781c9541c8" /><Relationship Type="http://schemas.openxmlformats.org/officeDocument/2006/relationships/image" Target="/xl/media/image98.jpg" Id="R43c84057c2804e72" /><Relationship Type="http://schemas.openxmlformats.org/officeDocument/2006/relationships/image" Target="/xl/media/image99.jpg" Id="R59ca59e1c9774d3e" /><Relationship Type="http://schemas.openxmlformats.org/officeDocument/2006/relationships/image" Target="/xl/media/image100.jpg" Id="R2a7f8f6744ad4d3f" /><Relationship Type="http://schemas.openxmlformats.org/officeDocument/2006/relationships/image" Target="/xl/media/image101.jpg" Id="Rd83e3833791146fd" /><Relationship Type="http://schemas.openxmlformats.org/officeDocument/2006/relationships/image" Target="/xl/media/image102.jpg" Id="Rb572450a02984968" /><Relationship Type="http://schemas.openxmlformats.org/officeDocument/2006/relationships/image" Target="/xl/media/image103.jpg" Id="Rbbca502fdd78451b" /><Relationship Type="http://schemas.openxmlformats.org/officeDocument/2006/relationships/image" Target="/xl/media/image104.jpg" Id="Rd3075a8bda40402d" /><Relationship Type="http://schemas.openxmlformats.org/officeDocument/2006/relationships/image" Target="/xl/media/image105.jpg" Id="Rbeb0f2ff7fd3427f" /><Relationship Type="http://schemas.openxmlformats.org/officeDocument/2006/relationships/image" Target="/xl/media/image106.jpg" Id="Rba39f0d4847e4df8" /><Relationship Type="http://schemas.openxmlformats.org/officeDocument/2006/relationships/image" Target="/xl/media/image107.jpg" Id="R05e902f3f44c4656" /><Relationship Type="http://schemas.openxmlformats.org/officeDocument/2006/relationships/image" Target="/xl/media/image108.jpg" Id="R4366028c2dbe482a" /><Relationship Type="http://schemas.openxmlformats.org/officeDocument/2006/relationships/image" Target="/xl/media/image109.jpg" Id="R06605d257ff84d67" /><Relationship Type="http://schemas.openxmlformats.org/officeDocument/2006/relationships/image" Target="/xl/media/image110.jpg" Id="R94ed44d49d8843b7" /><Relationship Type="http://schemas.openxmlformats.org/officeDocument/2006/relationships/image" Target="/xl/media/image111.jpg" Id="Rddf93981078c4522" /><Relationship Type="http://schemas.openxmlformats.org/officeDocument/2006/relationships/image" Target="/xl/media/image112.jpg" Id="Rffae911770974efa" /><Relationship Type="http://schemas.openxmlformats.org/officeDocument/2006/relationships/image" Target="/xl/media/image113.jpg" Id="R02a67eedfeb54e77" /><Relationship Type="http://schemas.openxmlformats.org/officeDocument/2006/relationships/image" Target="/xl/media/image114.jpg" Id="R2b10d80d18c14f4a" /><Relationship Type="http://schemas.openxmlformats.org/officeDocument/2006/relationships/image" Target="/xl/media/image115.jpg" Id="Rd5ad0e78773f4bf1" /><Relationship Type="http://schemas.openxmlformats.org/officeDocument/2006/relationships/image" Target="/xl/media/image116.jpg" Id="R4a8bc91e5aef4469" /><Relationship Type="http://schemas.openxmlformats.org/officeDocument/2006/relationships/image" Target="/xl/media/image117.jpg" Id="R1ace6f70382c42d6" /><Relationship Type="http://schemas.openxmlformats.org/officeDocument/2006/relationships/image" Target="/xl/media/image118.jpg" Id="R01785f9f50f74fdb" /><Relationship Type="http://schemas.openxmlformats.org/officeDocument/2006/relationships/image" Target="/xl/media/image119.jpg" Id="Re5b64dd189f34757" /><Relationship Type="http://schemas.openxmlformats.org/officeDocument/2006/relationships/image" Target="/xl/media/image120.jpg" Id="Radf22e9fc8e34220" /><Relationship Type="http://schemas.openxmlformats.org/officeDocument/2006/relationships/image" Target="/xl/media/image121.jpg" Id="Rda703e792750464b" /><Relationship Type="http://schemas.openxmlformats.org/officeDocument/2006/relationships/image" Target="/xl/media/image122.jpg" Id="R64a8fc68d41f4b54" /><Relationship Type="http://schemas.openxmlformats.org/officeDocument/2006/relationships/image" Target="/xl/media/image123.jpg" Id="R41a2aeaa9c044f46" /><Relationship Type="http://schemas.openxmlformats.org/officeDocument/2006/relationships/image" Target="/xl/media/image124.jpg" Id="Rc265043c9768429d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125.jpg" Id="R6e10e02031e940e7" /><Relationship Type="http://schemas.openxmlformats.org/officeDocument/2006/relationships/image" Target="/xl/media/image126.jpg" Id="R7edf121e167e4616" /><Relationship Type="http://schemas.openxmlformats.org/officeDocument/2006/relationships/image" Target="/xl/media/image127.jpg" Id="Rd7a43d212d27491b" /><Relationship Type="http://schemas.openxmlformats.org/officeDocument/2006/relationships/image" Target="/xl/media/image128.jpg" Id="R458c85f44b3e456d" /><Relationship Type="http://schemas.openxmlformats.org/officeDocument/2006/relationships/image" Target="/xl/media/image129.jpg" Id="R0ee20f0af466402b" /><Relationship Type="http://schemas.openxmlformats.org/officeDocument/2006/relationships/image" Target="/xl/media/image130.jpg" Id="Rd70036b4e98f414f" /><Relationship Type="http://schemas.openxmlformats.org/officeDocument/2006/relationships/image" Target="/xl/media/image131.jpg" Id="Ra92625ef949542c5" /><Relationship Type="http://schemas.openxmlformats.org/officeDocument/2006/relationships/image" Target="/xl/media/image132.jpg" Id="R56b12dd537134fb9" /><Relationship Type="http://schemas.openxmlformats.org/officeDocument/2006/relationships/image" Target="/xl/media/image133.jpg" Id="R37a6b4297a5145c6" /><Relationship Type="http://schemas.openxmlformats.org/officeDocument/2006/relationships/image" Target="/xl/media/image134.jpg" Id="Rf4d4778595914f02" /><Relationship Type="http://schemas.openxmlformats.org/officeDocument/2006/relationships/image" Target="/xl/media/image135.jpg" Id="R7272a20660054fa2" /><Relationship Type="http://schemas.openxmlformats.org/officeDocument/2006/relationships/image" Target="/xl/media/image136.jpg" Id="R536eb667f41a443e" /><Relationship Type="http://schemas.openxmlformats.org/officeDocument/2006/relationships/image" Target="/xl/media/image137.jpg" Id="R8b6c0043f426406c" /><Relationship Type="http://schemas.openxmlformats.org/officeDocument/2006/relationships/image" Target="/xl/media/image138.jpg" Id="R3fd09b90ce864eb7" /><Relationship Type="http://schemas.openxmlformats.org/officeDocument/2006/relationships/image" Target="/xl/media/image139.jpg" Id="Rb2f2cbedb7a645f9" /><Relationship Type="http://schemas.openxmlformats.org/officeDocument/2006/relationships/image" Target="/xl/media/image140.jpg" Id="R516ae7635b254c12" /><Relationship Type="http://schemas.openxmlformats.org/officeDocument/2006/relationships/image" Target="/xl/media/image141.jpg" Id="R4b14a09507db446b" /><Relationship Type="http://schemas.openxmlformats.org/officeDocument/2006/relationships/image" Target="/xl/media/image142.jpg" Id="R18016d04fd9f44e0" /><Relationship Type="http://schemas.openxmlformats.org/officeDocument/2006/relationships/image" Target="/xl/media/image143.jpg" Id="Ra7a11c5c4ddc48d0" /><Relationship Type="http://schemas.openxmlformats.org/officeDocument/2006/relationships/image" Target="/xl/media/image144.jpg" Id="Rd67b2055194346af" /><Relationship Type="http://schemas.openxmlformats.org/officeDocument/2006/relationships/image" Target="/xl/media/image145.jpg" Id="R04ff0edfcca14e98" /><Relationship Type="http://schemas.openxmlformats.org/officeDocument/2006/relationships/image" Target="/xl/media/image146.jpg" Id="R937dabc752554243" /><Relationship Type="http://schemas.openxmlformats.org/officeDocument/2006/relationships/image" Target="/xl/media/image147.jpg" Id="Rc144551aa7654e8d" /></Relationships>
</file>

<file path=xl/drawings/drawing1.xml><?xml version="1.0" encoding="utf-8"?>
<ns0:wsDr xmlns:ns0="http://schemas.openxmlformats.org/drawingml/2006/spreadsheetDrawing" xmlns:ns1="http://schemas.openxmlformats.org/drawingml/2006/main" xmlns:ns2="http://schemas.openxmlformats.org/officeDocument/2006/relationships">
  <ns0:oneCellAnchor>
    <ns0:from>
      <ns0:col>12</ns0:col>
      <ns0:colOff>76200</ns0:colOff>
      <ns0:row>4</ns0:row>
      <ns0:rowOff>76200</ns0:rowOff>
    </ns0:from>
    <ns0:ext cx="1247775" cy="1666875"/>
    <ns0:pic>
      <ns0:nvPicPr>
        <ns0:cNvPr id="1" name="2c9b8e1e-096e-437e-b2a5-f2adc3fc30eb"/>
        <ns0:cNvPicPr>
          <ns1:picLocks noChangeAspect="1"/>
        </ns0:cNvPicPr>
      </ns0:nvPicPr>
      <ns0:blipFill>
        <ns1:blip ns2:embed="R11e4099b9d75402d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12</ns0:col>
      <ns0:colOff>76200</ns0:colOff>
      <ns0:row>5</ns0:row>
      <ns0:rowOff>76200</ns0:rowOff>
    </ns0:from>
    <ns0:ext cx="2324100" cy="1304925"/>
    <ns0:pic>
      <ns0:nvPicPr>
        <ns0:cNvPr id="2" name="61a15a7d-0a9a-4033-8cde-08ffdfdac87f"/>
        <ns0:cNvPicPr>
          <ns1:picLocks noChangeAspect="1"/>
        </ns0:cNvPicPr>
      </ns0:nvPicPr>
      <ns0:blipFill>
        <ns1:blip ns2:embed="R6ea15e6bbe994865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12</ns0:col>
      <ns0:colOff>76200</ns0:colOff>
      <ns0:row>6</ns0:row>
      <ns0:rowOff>76200</ns0:rowOff>
    </ns0:from>
    <ns0:ext cx="2219325" cy="1666875"/>
    <ns0:pic>
      <ns0:nvPicPr>
        <ns0:cNvPr id="3" name="20db2328-831c-4caa-b2af-618db5a8b455"/>
        <ns0:cNvPicPr>
          <ns1:picLocks noChangeAspect="1"/>
        </ns0:cNvPicPr>
      </ns0:nvPicPr>
      <ns0:blipFill>
        <ns1:blip ns2:embed="R3003b5c0e7864b79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12</ns0:col>
      <ns0:colOff>76200</ns0:colOff>
      <ns0:row>7</ns0:row>
      <ns0:rowOff>76200</ns0:rowOff>
    </ns0:from>
    <ns0:ext cx="1247775" cy="1666875"/>
    <ns0:pic>
      <ns0:nvPicPr>
        <ns0:cNvPr id="4" name="ae6eefce-8ec9-4dee-9cda-4c6dc7b77815"/>
        <ns0:cNvPicPr>
          <ns1:picLocks noChangeAspect="1"/>
        </ns0:cNvPicPr>
      </ns0:nvPicPr>
      <ns0:blipFill>
        <ns1:blip ns2:embed="R647d22f6121d476e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12</ns0:col>
      <ns0:colOff>76200</ns0:colOff>
      <ns0:row>9</ns0:row>
      <ns0:rowOff>76200</ns0:rowOff>
    </ns0:from>
    <ns0:ext cx="2324100" cy="1552575"/>
    <ns0:pic>
      <ns0:nvPicPr>
        <ns0:cNvPr id="5" name="13ddb856-e6c2-47ca-bfa8-86209a514e69"/>
        <ns0:cNvPicPr>
          <ns1:picLocks noChangeAspect="1"/>
        </ns0:cNvPicPr>
      </ns0:nvPicPr>
      <ns0:blipFill>
        <ns1:blip ns2:embed="Rbd4afedf467849b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12</ns0:col>
      <ns0:colOff>76200</ns0:colOff>
      <ns0:row>10</ns0:row>
      <ns0:rowOff>76200</ns0:rowOff>
    </ns0:from>
    <ns0:ext cx="2324100" cy="1304925"/>
    <ns0:pic>
      <ns0:nvPicPr>
        <ns0:cNvPr id="6" name="8296e62e-e85a-423e-bcbe-ffc35ddf9f51"/>
        <ns0:cNvPicPr>
          <ns1:picLocks noChangeAspect="1"/>
        </ns0:cNvPicPr>
      </ns0:nvPicPr>
      <ns0:blipFill>
        <ns1:blip ns2:embed="Ree8d24cec7f84eb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12</ns0:col>
      <ns0:colOff>76200</ns0:colOff>
      <ns0:row>14</ns0:row>
      <ns0:rowOff>76200</ns0:rowOff>
    </ns0:from>
    <ns0:ext cx="2324100" cy="1552575"/>
    <ns0:pic>
      <ns0:nvPicPr>
        <ns0:cNvPr id="8" name="5c1e9c1d-c2d6-4bf5-9c6e-dc0450325b64"/>
        <ns0:cNvPicPr>
          <ns1:picLocks noChangeAspect="1"/>
        </ns0:cNvPicPr>
      </ns0:nvPicPr>
      <ns0:blipFill>
        <ns1:blip ns2:embed="R35a8691b1e0844aa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12</ns0:col>
      <ns0:colOff>76200</ns0:colOff>
      <ns0:row>16</ns0:row>
      <ns0:rowOff>76200</ns0:rowOff>
    </ns0:from>
    <ns0:ext cx="2324100" cy="1543050"/>
    <ns0:pic>
      <ns0:nvPicPr>
        <ns0:cNvPr id="9" name="56f329c2-d74b-4417-a60c-54b0d059a4fe"/>
        <ns0:cNvPicPr>
          <ns1:picLocks noChangeAspect="1"/>
        </ns0:cNvPicPr>
      </ns0:nvPicPr>
      <ns0:blipFill>
        <ns1:blip ns2:embed="Ra129248510934c83"/>
        <ns1:stretch>
          <ns1:fillRect/>
        </ns1:stretch>
      </ns0:blipFill>
      <ns0:spPr>
        <ns1:prstGeom prst="rect"/>
      </ns0:spPr>
    </ns0:pic>
    <ns0:clientData/>
  </ns0:oneCellAnchor>
  <ns0:oneCellAnchor>
    <ns0:from>
      <ns0:col>12</ns0:col>
      <ns0:colOff>76200</ns0:colOff>
      <ns0:row>18</ns0:row>
      <ns0:rowOff>76200</ns0:rowOff>
    </ns0:from>
    <ns0:ext cx="1666875" cy="1666875"/>
    <ns0:pic>
      <ns0:nvPicPr>
        <ns0:cNvPr id="10" name="7dc3e977-e0c5-4568-84b8-9627e93bca13"/>
        <ns0:cNvPicPr>
          <ns1:picLocks noChangeAspect="1"/>
        </ns0:cNvPicPr>
      </ns0:nvPicPr>
      <ns0:blipFill>
        <ns1:blip ns2:embed="R27335d921d7b42be"/>
        <ns1:stretch>
          <ns1:fillRect/>
        </ns1:stretch>
      </ns0:blipFill>
      <ns0:spPr>
        <ns1:prstGeom prst="rect"/>
      </ns0:spPr>
    </ns0:pic>
    <ns0:clientData/>
  </ns0:oneCellAnchor>
</ns0:wsDr>
</file>

<file path=xl/drawings/drawing2.xml><?xml version="1.0" encoding="utf-8"?>
<xdr:wsDr xmlns:xdr="http://schemas.openxmlformats.org/drawingml/2006/spreadsheetDrawing">
  <xdr:oneCellAnchor>
    <xdr:from>
      <xdr:col>12</xdr:col>
      <xdr:colOff>76200</xdr:colOff>
      <xdr:row>5</xdr:row>
      <xdr:rowOff>76200</xdr:rowOff>
    </xdr:from>
    <xdr:ext cx="1666875" cy="1666875"/>
    <xdr:pic>
      <xdr:nvPicPr>
        <xdr:cNvPr id="1" name="4b4ecf13-a538-40a0-b2fd-860e4fde5f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54c01a618c4e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76200</xdr:colOff>
      <xdr:row>6</xdr:row>
      <xdr:rowOff>76200</xdr:rowOff>
    </xdr:from>
    <xdr:ext cx="2324100" cy="1552575"/>
    <xdr:pic>
      <xdr:nvPicPr>
        <xdr:cNvPr id="2" name="01632e61-fc59-4e69-803a-0297df2600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941276eb874e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76200</xdr:colOff>
      <xdr:row>7</xdr:row>
      <xdr:rowOff>76200</xdr:rowOff>
    </xdr:from>
    <xdr:ext cx="2219325" cy="1666875"/>
    <xdr:pic>
      <xdr:nvPicPr>
        <xdr:cNvPr id="3" name="eac8b79b-0146-4f47-8d6e-aea14a72d1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aacf8a3e4b47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76200</xdr:colOff>
      <xdr:row>9</xdr:row>
      <xdr:rowOff>76200</xdr:rowOff>
    </xdr:from>
    <xdr:ext cx="2324100" cy="1552575"/>
    <xdr:pic>
      <xdr:nvPicPr>
        <xdr:cNvPr id="4" name="4f6f75b0-dc72-42f6-b1c1-d9b6beab7a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d19063bcbe46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76200</xdr:colOff>
      <xdr:row>13</xdr:row>
      <xdr:rowOff>76200</xdr:rowOff>
    </xdr:from>
    <xdr:ext cx="2219325" cy="1666875"/>
    <xdr:pic>
      <xdr:nvPicPr>
        <xdr:cNvPr id="5" name="94b09a9d-4f22-4698-b7f1-efce100762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5aa80e1d1443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76200</xdr:colOff>
      <xdr:row>14</xdr:row>
      <xdr:rowOff>76200</xdr:rowOff>
    </xdr:from>
    <xdr:ext cx="2219325" cy="1666875"/>
    <xdr:pic>
      <xdr:nvPicPr>
        <xdr:cNvPr id="6" name="32e563f8-9816-4ca1-8779-d1f54a4c76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407efc990443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76200</xdr:colOff>
      <xdr:row>19</xdr:row>
      <xdr:rowOff>76200</xdr:rowOff>
    </xdr:from>
    <xdr:ext cx="2219325" cy="1666875"/>
    <xdr:pic>
      <xdr:nvPicPr>
        <xdr:cNvPr id="7" name="78c830c1-2f7d-455c-ba65-d71bbccc8d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dcf87326394a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76200</xdr:colOff>
      <xdr:row>21</xdr:row>
      <xdr:rowOff>76200</xdr:rowOff>
    </xdr:from>
    <xdr:ext cx="2324100" cy="1543050"/>
    <xdr:pic>
      <xdr:nvPicPr>
        <xdr:cNvPr id="8" name="a51d2f0d-1716-4672-bf87-118ce438bf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c40da02c2b48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76200</xdr:colOff>
      <xdr:row>22</xdr:row>
      <xdr:rowOff>76200</xdr:rowOff>
    </xdr:from>
    <xdr:ext cx="1666875" cy="1666875"/>
    <xdr:pic>
      <xdr:nvPicPr>
        <xdr:cNvPr id="9" name="a3a94edc-dcbc-4b44-ba29-52daed7556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323062f7fa40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76200</xdr:colOff>
      <xdr:row>23</xdr:row>
      <xdr:rowOff>76200</xdr:rowOff>
    </xdr:from>
    <xdr:ext cx="2228850" cy="1666875"/>
    <xdr:pic>
      <xdr:nvPicPr>
        <xdr:cNvPr id="10" name="eb9f83d1-c21c-4d56-a265-2e72b02f11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5973a8313c4e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12</xdr:col>
      <xdr:colOff>76200</xdr:colOff>
      <xdr:row>24</xdr:row>
      <xdr:rowOff>76200</xdr:rowOff>
    </xdr:from>
    <xdr:ext cx="2219325" cy="1666875"/>
    <xdr:pic>
      <xdr:nvPicPr>
        <xdr:cNvPr id="11" name="6dcfaae2-d98c-4c44-a893-15b989d3c5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7d600608e3432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11</xdr:col>
      <xdr:colOff>76200</xdr:colOff>
      <xdr:row>4</xdr:row>
      <xdr:rowOff>76200</xdr:rowOff>
    </xdr:from>
    <xdr:ext cx="2324100" cy="1552575"/>
    <xdr:pic>
      <xdr:nvPicPr>
        <xdr:cNvPr id="1" name="970fc733-bc96-47d2-80db-d9d3cc46c7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f7531563be4d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5</xdr:row>
      <xdr:rowOff>76200</xdr:rowOff>
    </xdr:from>
    <xdr:ext cx="2324100" cy="1552575"/>
    <xdr:pic>
      <xdr:nvPicPr>
        <xdr:cNvPr id="2" name="be8d3546-c399-4fc1-aa6f-c1ce0752a6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4388ddbdab4b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6</xdr:row>
      <xdr:rowOff>76200</xdr:rowOff>
    </xdr:from>
    <xdr:ext cx="1247775" cy="1666875"/>
    <xdr:pic>
      <xdr:nvPicPr>
        <xdr:cNvPr id="3" name="b933850f-225a-4b69-a7b8-c91d93aa99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894f7dbb714b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8</xdr:row>
      <xdr:rowOff>76200</xdr:rowOff>
    </xdr:from>
    <xdr:ext cx="2324100" cy="1552575"/>
    <xdr:pic>
      <xdr:nvPicPr>
        <xdr:cNvPr id="4" name="b8677c3a-dbdb-4a97-8602-713e2ae423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fd7084083e46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9</xdr:row>
      <xdr:rowOff>76200</xdr:rowOff>
    </xdr:from>
    <xdr:ext cx="2324100" cy="1552575"/>
    <xdr:pic>
      <xdr:nvPicPr>
        <xdr:cNvPr id="5" name="62ef57ba-1a22-4aa5-bd68-291324f4f5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e91b8d1c8d40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10</xdr:row>
      <xdr:rowOff>76200</xdr:rowOff>
    </xdr:from>
    <xdr:ext cx="2219325" cy="1666875"/>
    <xdr:pic>
      <xdr:nvPicPr>
        <xdr:cNvPr id="6" name="cb36d0cf-d8eb-462e-911f-e56410604d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cad7229dd240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11</xdr:row>
      <xdr:rowOff>76200</xdr:rowOff>
    </xdr:from>
    <xdr:ext cx="2085975" cy="1666875"/>
    <xdr:pic>
      <xdr:nvPicPr>
        <xdr:cNvPr id="7" name="841626e3-4061-489b-b25e-6de13ddc21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0d360bd08c4f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13</xdr:row>
      <xdr:rowOff>76200</xdr:rowOff>
    </xdr:from>
    <xdr:ext cx="2324100" cy="1304925"/>
    <xdr:pic>
      <xdr:nvPicPr>
        <xdr:cNvPr id="8" name="c39244f0-31a9-41e6-8278-dcec531f209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76f2fc5ced40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14</xdr:row>
      <xdr:rowOff>76200</xdr:rowOff>
    </xdr:from>
    <xdr:ext cx="2181225" cy="1666875"/>
    <xdr:pic>
      <xdr:nvPicPr>
        <xdr:cNvPr id="9" name="41e96779-56e9-4a6c-8119-d05ff1a3da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0b101f52c147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16</xdr:row>
      <xdr:rowOff>76200</xdr:rowOff>
    </xdr:from>
    <xdr:ext cx="2324100" cy="1400175"/>
    <xdr:pic>
      <xdr:nvPicPr>
        <xdr:cNvPr id="10" name="0065f05e-6fb5-40d0-99a5-b7255274e99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a43e6346bf49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17</xdr:row>
      <xdr:rowOff>76200</xdr:rowOff>
    </xdr:from>
    <xdr:ext cx="2324100" cy="1457325"/>
    <xdr:pic>
      <xdr:nvPicPr>
        <xdr:cNvPr id="11" name="dc7cfb79-af7c-462d-98c0-d3fd594391b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fdd0696e124e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18</xdr:row>
      <xdr:rowOff>76200</xdr:rowOff>
    </xdr:from>
    <xdr:ext cx="2324100" cy="1552575"/>
    <xdr:pic>
      <xdr:nvPicPr>
        <xdr:cNvPr id="12" name="d43e0ef0-93ea-44f0-bd37-d3e4e655c2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7d48d2a11d4c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19</xdr:row>
      <xdr:rowOff>76200</xdr:rowOff>
    </xdr:from>
    <xdr:ext cx="2324100" cy="1590675"/>
    <xdr:pic>
      <xdr:nvPicPr>
        <xdr:cNvPr id="13" name="55eb5a11-205c-4e16-b3d4-43f5454a18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fad98bec7d4b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20</xdr:row>
      <xdr:rowOff>76200</xdr:rowOff>
    </xdr:from>
    <xdr:ext cx="2324100" cy="1295400"/>
    <xdr:pic>
      <xdr:nvPicPr>
        <xdr:cNvPr id="14" name="6bf8a7b8-ac14-41a8-bbe3-b4c7506359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66ca7815004f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21</xdr:row>
      <xdr:rowOff>76200</xdr:rowOff>
    </xdr:from>
    <xdr:ext cx="2324100" cy="1552575"/>
    <xdr:pic>
      <xdr:nvPicPr>
        <xdr:cNvPr id="15" name="254ba6c3-4bd4-4a84-b9a8-d4ba01ad19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b32ef9d84646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22</xdr:row>
      <xdr:rowOff>76200</xdr:rowOff>
    </xdr:from>
    <xdr:ext cx="2324100" cy="1552575"/>
    <xdr:pic>
      <xdr:nvPicPr>
        <xdr:cNvPr id="16" name="227e0e43-7f10-4f38-b53c-89a72c36b26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0322caae3345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23</xdr:row>
      <xdr:rowOff>76200</xdr:rowOff>
    </xdr:from>
    <xdr:ext cx="2324100" cy="1295400"/>
    <xdr:pic>
      <xdr:nvPicPr>
        <xdr:cNvPr id="17" name="99fad661-fa0d-4fe1-95c7-c75bd21c1f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d3d8b0dda34c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26</xdr:row>
      <xdr:rowOff>76200</xdr:rowOff>
    </xdr:from>
    <xdr:ext cx="1666875" cy="1666875"/>
    <xdr:pic>
      <xdr:nvPicPr>
        <xdr:cNvPr id="18" name="6aa93439-7f50-4b63-a225-313f59d3c9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2e2d84896c4a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29</xdr:row>
      <xdr:rowOff>76200</xdr:rowOff>
    </xdr:from>
    <xdr:ext cx="2324100" cy="1552575"/>
    <xdr:pic>
      <xdr:nvPicPr>
        <xdr:cNvPr id="19" name="d5ee7566-91e8-473a-8b9c-58641c819f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fbc764633d49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30</xdr:row>
      <xdr:rowOff>76200</xdr:rowOff>
    </xdr:from>
    <xdr:ext cx="1666875" cy="1666875"/>
    <xdr:pic>
      <xdr:nvPicPr>
        <xdr:cNvPr id="20" name="934a7cff-1d0a-4be4-8fff-8d40ab34981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54a47930f547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31</xdr:row>
      <xdr:rowOff>76200</xdr:rowOff>
    </xdr:from>
    <xdr:ext cx="1666875" cy="1666875"/>
    <xdr:pic>
      <xdr:nvPicPr>
        <xdr:cNvPr id="21" name="abb6f108-d166-4df0-ae67-22fba4dafa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df3bb026c64c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11</xdr:col>
      <xdr:colOff>76200</xdr:colOff>
      <xdr:row>4</xdr:row>
      <xdr:rowOff>76200</xdr:rowOff>
    </xdr:from>
    <xdr:ext cx="2324100" cy="1590675"/>
    <xdr:pic>
      <xdr:nvPicPr>
        <xdr:cNvPr id="1" name="b639e4bf-f70e-4f0a-a8f5-6084513938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fea3ad7c2c44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12</xdr:row>
      <xdr:rowOff>76200</xdr:rowOff>
    </xdr:from>
    <xdr:ext cx="1114425" cy="1666875"/>
    <xdr:pic>
      <xdr:nvPicPr>
        <xdr:cNvPr id="2" name="39c3cf9b-5a1f-404d-bd84-bf98ba61a8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1059b3b7fa41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13</xdr:row>
      <xdr:rowOff>76200</xdr:rowOff>
    </xdr:from>
    <xdr:ext cx="1333500" cy="1666875"/>
    <xdr:pic>
      <xdr:nvPicPr>
        <xdr:cNvPr id="3" name="eb53969a-97bb-4e47-b61e-dd9bde7c34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ca373fa85149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14</xdr:row>
      <xdr:rowOff>76200</xdr:rowOff>
    </xdr:from>
    <xdr:ext cx="1038225" cy="1666875"/>
    <xdr:pic>
      <xdr:nvPicPr>
        <xdr:cNvPr id="4" name="512a6cb1-e83a-4ae3-8174-ef11dee276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2558c93e8a44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15</xdr:row>
      <xdr:rowOff>76200</xdr:rowOff>
    </xdr:from>
    <xdr:ext cx="2219325" cy="1666875"/>
    <xdr:pic>
      <xdr:nvPicPr>
        <xdr:cNvPr id="5" name="6e41f0fa-121e-4232-97bd-c2880a10a62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d172817d4b44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16</xdr:row>
      <xdr:rowOff>76200</xdr:rowOff>
    </xdr:from>
    <xdr:ext cx="2324100" cy="1552575"/>
    <xdr:pic>
      <xdr:nvPicPr>
        <xdr:cNvPr id="6" name="cf0653b0-4776-4443-a704-eed0799ea0b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113770d59241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21</xdr:row>
      <xdr:rowOff>76200</xdr:rowOff>
    </xdr:from>
    <xdr:ext cx="2324100" cy="1552575"/>
    <xdr:pic>
      <xdr:nvPicPr>
        <xdr:cNvPr id="7" name="3cb41436-f3d6-422c-aea3-9b91ebe307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6b5eb1e36947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22</xdr:row>
      <xdr:rowOff>76200</xdr:rowOff>
    </xdr:from>
    <xdr:ext cx="2324100" cy="1304925"/>
    <xdr:pic>
      <xdr:nvPicPr>
        <xdr:cNvPr id="8" name="3459197b-800b-4809-884d-780ecc052ce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41f81a298647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23</xdr:row>
      <xdr:rowOff>76200</xdr:rowOff>
    </xdr:from>
    <xdr:ext cx="1114425" cy="1666875"/>
    <xdr:pic>
      <xdr:nvPicPr>
        <xdr:cNvPr id="9" name="51b53fcd-4cbf-4b65-9b5a-1b6442a06e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f08356412c40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24</xdr:row>
      <xdr:rowOff>76200</xdr:rowOff>
    </xdr:from>
    <xdr:ext cx="2324100" cy="1552575"/>
    <xdr:pic>
      <xdr:nvPicPr>
        <xdr:cNvPr id="10" name="b637dd46-1ba0-4553-8669-929b207607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3fc68970fa46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25</xdr:row>
      <xdr:rowOff>76200</xdr:rowOff>
    </xdr:from>
    <xdr:ext cx="2324100" cy="1552575"/>
    <xdr:pic>
      <xdr:nvPicPr>
        <xdr:cNvPr id="11" name="50c80786-f8ce-4013-81ce-dc4acc91a0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2a987bf14148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26</xdr:row>
      <xdr:rowOff>76200</xdr:rowOff>
    </xdr:from>
    <xdr:ext cx="2324100" cy="1552575"/>
    <xdr:pic>
      <xdr:nvPicPr>
        <xdr:cNvPr id="12" name="0e369d73-07b3-4596-b277-4cdd035999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05c9ab050248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27</xdr:row>
      <xdr:rowOff>76200</xdr:rowOff>
    </xdr:from>
    <xdr:ext cx="2324100" cy="1428750"/>
    <xdr:pic>
      <xdr:nvPicPr>
        <xdr:cNvPr id="13" name="35b24789-9dcf-4296-a893-6ac66c6824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f52238783147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28</xdr:row>
      <xdr:rowOff>76200</xdr:rowOff>
    </xdr:from>
    <xdr:ext cx="2324100" cy="1304925"/>
    <xdr:pic>
      <xdr:nvPicPr>
        <xdr:cNvPr id="14" name="6186b758-eb31-49ee-93de-e1ba27c27ec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cbead09ad840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30</xdr:row>
      <xdr:rowOff>76200</xdr:rowOff>
    </xdr:from>
    <xdr:ext cx="1114425" cy="1666875"/>
    <xdr:pic>
      <xdr:nvPicPr>
        <xdr:cNvPr id="15" name="e42508ef-6c04-45db-af19-060749d57c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b57941ad8b4f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31</xdr:row>
      <xdr:rowOff>76200</xdr:rowOff>
    </xdr:from>
    <xdr:ext cx="2238375" cy="1666875"/>
    <xdr:pic>
      <xdr:nvPicPr>
        <xdr:cNvPr id="16" name="05c7be6e-fe2c-45a0-b5b7-0fd0b383bc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8c84db464a45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33</xdr:row>
      <xdr:rowOff>76200</xdr:rowOff>
    </xdr:from>
    <xdr:ext cx="1247775" cy="1666875"/>
    <xdr:pic>
      <xdr:nvPicPr>
        <xdr:cNvPr id="17" name="285781a3-5b4f-4f45-a13e-b4f44f420e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373b8172a94b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34</xdr:row>
      <xdr:rowOff>76200</xdr:rowOff>
    </xdr:from>
    <xdr:ext cx="2219325" cy="1666875"/>
    <xdr:pic>
      <xdr:nvPicPr>
        <xdr:cNvPr id="18" name="708301fe-45e5-4df0-b0f5-9f415d5a18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7a70768b1243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35</xdr:row>
      <xdr:rowOff>76200</xdr:rowOff>
    </xdr:from>
    <xdr:ext cx="1666875" cy="1666875"/>
    <xdr:pic>
      <xdr:nvPicPr>
        <xdr:cNvPr id="19" name="be5a2cc5-4ca6-478f-81de-2265d692d0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0dd2c078fa4f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38</xdr:row>
      <xdr:rowOff>76200</xdr:rowOff>
    </xdr:from>
    <xdr:ext cx="2324100" cy="1304925"/>
    <xdr:pic>
      <xdr:nvPicPr>
        <xdr:cNvPr id="20" name="9812f34b-52ed-405b-8c6a-3f18a1152c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11e892fc4946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39</xdr:row>
      <xdr:rowOff>76200</xdr:rowOff>
    </xdr:from>
    <xdr:ext cx="2324100" cy="1304925"/>
    <xdr:pic>
      <xdr:nvPicPr>
        <xdr:cNvPr id="21" name="8ab77995-44b3-498b-a084-fd3f4c8288b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97568452b24f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41</xdr:row>
      <xdr:rowOff>76200</xdr:rowOff>
    </xdr:from>
    <xdr:ext cx="1724025" cy="1666875"/>
    <xdr:pic>
      <xdr:nvPicPr>
        <xdr:cNvPr id="22" name="5a83fdcb-ef26-4646-b461-d15b872f9c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935b458e0b45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42</xdr:row>
      <xdr:rowOff>76200</xdr:rowOff>
    </xdr:from>
    <xdr:ext cx="2219325" cy="1666875"/>
    <xdr:pic>
      <xdr:nvPicPr>
        <xdr:cNvPr id="23" name="98faeb07-6a5a-4028-be7f-38c817af80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463836b98c4a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43</xdr:row>
      <xdr:rowOff>76200</xdr:rowOff>
    </xdr:from>
    <xdr:ext cx="2324100" cy="1552575"/>
    <xdr:pic>
      <xdr:nvPicPr>
        <xdr:cNvPr id="24" name="b1136e38-9dcf-4815-8ced-d0192f119f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6c9a891e8143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44</xdr:row>
      <xdr:rowOff>76200</xdr:rowOff>
    </xdr:from>
    <xdr:ext cx="2324100" cy="1304925"/>
    <xdr:pic>
      <xdr:nvPicPr>
        <xdr:cNvPr id="25" name="b6972275-7031-478e-9703-a4e3130171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e6df5f407c46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45</xdr:row>
      <xdr:rowOff>76200</xdr:rowOff>
    </xdr:from>
    <xdr:ext cx="2324100" cy="1552575"/>
    <xdr:pic>
      <xdr:nvPicPr>
        <xdr:cNvPr id="26" name="5c06da85-e967-4afe-bda9-2c0c41fc0d7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8b313df69e463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46</xdr:row>
      <xdr:rowOff>76200</xdr:rowOff>
    </xdr:from>
    <xdr:ext cx="2219325" cy="1666875"/>
    <xdr:pic>
      <xdr:nvPicPr>
        <xdr:cNvPr id="27" name="52dfa7dd-287e-49b2-a186-0790f686b7a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26af06240a4e9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47</xdr:row>
      <xdr:rowOff>76200</xdr:rowOff>
    </xdr:from>
    <xdr:ext cx="1247775" cy="1666875"/>
    <xdr:pic>
      <xdr:nvPicPr>
        <xdr:cNvPr id="28" name="5130e80f-085e-4163-b2c4-9313e286abe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f50f0433b74d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48</xdr:row>
      <xdr:rowOff>76200</xdr:rowOff>
    </xdr:from>
    <xdr:ext cx="2219325" cy="1666875"/>
    <xdr:pic>
      <xdr:nvPicPr>
        <xdr:cNvPr id="29" name="ba70200e-1612-4989-b8c8-a60bd02f52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44d43410be4f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11</xdr:col>
      <xdr:colOff>76200</xdr:colOff>
      <xdr:row>4</xdr:row>
      <xdr:rowOff>76200</xdr:rowOff>
    </xdr:from>
    <xdr:ext cx="1247775" cy="1666875"/>
    <xdr:pic>
      <xdr:nvPicPr>
        <xdr:cNvPr id="1" name="d35db81e-fb77-4ad4-ba48-5cd481390a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95573fc4ef4f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5</xdr:row>
      <xdr:rowOff>76200</xdr:rowOff>
    </xdr:from>
    <xdr:ext cx="1247775" cy="1666875"/>
    <xdr:pic>
      <xdr:nvPicPr>
        <xdr:cNvPr id="2" name="bb833d1e-6dec-4d41-b1f5-e383e46875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49411537a2415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8</xdr:row>
      <xdr:rowOff>76200</xdr:rowOff>
    </xdr:from>
    <xdr:ext cx="1190625" cy="1666875"/>
    <xdr:pic>
      <xdr:nvPicPr>
        <xdr:cNvPr id="3" name="abeabc97-fe01-41e4-b0e4-78e4446fb5e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357ffb0ede40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76200</xdr:colOff>
      <xdr:row>4</xdr:row>
      <xdr:rowOff>76200</xdr:rowOff>
    </xdr:from>
    <xdr:ext cx="2324100" cy="1524000"/>
    <xdr:pic>
      <xdr:nvPicPr>
        <xdr:cNvPr id="1" name="24d0f828-5c6d-45b7-a536-c87993e9707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4c93122c834f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5</xdr:row>
      <xdr:rowOff>76200</xdr:rowOff>
    </xdr:from>
    <xdr:ext cx="2219325" cy="1666875"/>
    <xdr:pic>
      <xdr:nvPicPr>
        <xdr:cNvPr id="2" name="34bb4f90-15d4-491b-9644-19906c832a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dfb1afb4084d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6</xdr:row>
      <xdr:rowOff>76200</xdr:rowOff>
    </xdr:from>
    <xdr:ext cx="1247775" cy="1666875"/>
    <xdr:pic>
      <xdr:nvPicPr>
        <xdr:cNvPr id="3" name="61cd151a-2cea-45f4-913a-34cbc4203b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a0bb07a9c448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7</xdr:row>
      <xdr:rowOff>76200</xdr:rowOff>
    </xdr:from>
    <xdr:ext cx="1666875" cy="1666875"/>
    <xdr:pic>
      <xdr:nvPicPr>
        <xdr:cNvPr id="4" name="cfb86502-642c-408c-bbbc-a273083db1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f90b55857845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9</xdr:row>
      <xdr:rowOff>76200</xdr:rowOff>
    </xdr:from>
    <xdr:ext cx="2219325" cy="1666875"/>
    <xdr:pic>
      <xdr:nvPicPr>
        <xdr:cNvPr id="5" name="cc6e5121-88ff-48bd-9946-bc711f9f42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9a4ddff0bb4f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76200</xdr:colOff>
      <xdr:row>10</xdr:row>
      <xdr:rowOff>76200</xdr:rowOff>
    </xdr:from>
    <xdr:ext cx="1104900" cy="1666875"/>
    <xdr:pic>
      <xdr:nvPicPr>
        <xdr:cNvPr id="6" name="ab07a301-c310-4918-b47b-13ecb509b8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f59dc2cab746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7.xml><?xml version="1.0" encoding="utf-8"?>
<xdr:wsDr xmlns:xdr="http://schemas.openxmlformats.org/drawingml/2006/spreadsheetDrawing">
  <xdr:oneCellAnchor>
    <xdr:from>
      <xdr:col>10</xdr:col>
      <xdr:colOff>76200</xdr:colOff>
      <xdr:row>4</xdr:row>
      <xdr:rowOff>76200</xdr:rowOff>
    </xdr:from>
    <xdr:ext cx="2133600" cy="1666875"/>
    <xdr:pic>
      <xdr:nvPicPr>
        <xdr:cNvPr id="1" name="3c44fa78-67d8-4675-807c-d39751e936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75b39a59354a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5</xdr:row>
      <xdr:rowOff>76200</xdr:rowOff>
    </xdr:from>
    <xdr:ext cx="2324100" cy="1552575"/>
    <xdr:pic>
      <xdr:nvPicPr>
        <xdr:cNvPr id="2" name="0c70e4ce-eb44-437a-89e3-6213608a9a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6e6af67a974a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6</xdr:row>
      <xdr:rowOff>76200</xdr:rowOff>
    </xdr:from>
    <xdr:ext cx="2324100" cy="1533525"/>
    <xdr:pic>
      <xdr:nvPicPr>
        <xdr:cNvPr id="3" name="179e375a-981e-4802-b41b-bae4d9f7a2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cf655d384040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8</xdr:row>
      <xdr:rowOff>76200</xdr:rowOff>
    </xdr:from>
    <xdr:ext cx="2324100" cy="1552575"/>
    <xdr:pic>
      <xdr:nvPicPr>
        <xdr:cNvPr id="4" name="e5639fe6-ee76-4287-bc4e-60cdbb5376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7a5d40abdf4b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10</xdr:row>
      <xdr:rowOff>76200</xdr:rowOff>
    </xdr:from>
    <xdr:ext cx="2324100" cy="1552575"/>
    <xdr:pic>
      <xdr:nvPicPr>
        <xdr:cNvPr id="5" name="62aa88c9-b4e8-4a6e-a59e-199c604263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068df3c50143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12</xdr:row>
      <xdr:rowOff>76200</xdr:rowOff>
    </xdr:from>
    <xdr:ext cx="1666875" cy="1666875"/>
    <xdr:pic>
      <xdr:nvPicPr>
        <xdr:cNvPr id="6" name="8933f20d-29b7-4bff-8ebd-8a6a66adf8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cfb17dcbed46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13</xdr:row>
      <xdr:rowOff>76200</xdr:rowOff>
    </xdr:from>
    <xdr:ext cx="2295525" cy="1666875"/>
    <xdr:pic>
      <xdr:nvPicPr>
        <xdr:cNvPr id="7" name="35953f7b-3b7c-4cc9-b6d8-6d07277b26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34cc8753a442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14</xdr:row>
      <xdr:rowOff>76200</xdr:rowOff>
    </xdr:from>
    <xdr:ext cx="1304925" cy="1666875"/>
    <xdr:pic>
      <xdr:nvPicPr>
        <xdr:cNvPr id="8" name="af03f1a7-d2fb-4722-9337-215c01c8ed9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16b604fa2141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15</xdr:row>
      <xdr:rowOff>76200</xdr:rowOff>
    </xdr:from>
    <xdr:ext cx="2324100" cy="1371600"/>
    <xdr:pic>
      <xdr:nvPicPr>
        <xdr:cNvPr id="9" name="ba866621-5ae7-42b3-b644-b1bf0ae982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4f1da91b8f42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17</xdr:row>
      <xdr:rowOff>76200</xdr:rowOff>
    </xdr:from>
    <xdr:ext cx="1666875" cy="1666875"/>
    <xdr:pic>
      <xdr:nvPicPr>
        <xdr:cNvPr id="10" name="b6291f69-3855-442e-ac6d-3fa59111cd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f74ea8af894b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18</xdr:row>
      <xdr:rowOff>76200</xdr:rowOff>
    </xdr:from>
    <xdr:ext cx="1438275" cy="1666875"/>
    <xdr:pic>
      <xdr:nvPicPr>
        <xdr:cNvPr id="11" name="e6d8edb4-9cf5-4326-9719-275389deba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51d4365e294f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19</xdr:row>
      <xdr:rowOff>76200</xdr:rowOff>
    </xdr:from>
    <xdr:ext cx="1666875" cy="1666875"/>
    <xdr:pic>
      <xdr:nvPicPr>
        <xdr:cNvPr id="12" name="3c4c2491-ad63-4446-9014-0b6995d202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58259dcd0a4f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20</xdr:row>
      <xdr:rowOff>76200</xdr:rowOff>
    </xdr:from>
    <xdr:ext cx="1247775" cy="1666875"/>
    <xdr:pic>
      <xdr:nvPicPr>
        <xdr:cNvPr id="13" name="31da7773-cb8d-4cf2-b3c1-ec4a90d427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614ef2a0e7443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21</xdr:row>
      <xdr:rowOff>76200</xdr:rowOff>
    </xdr:from>
    <xdr:ext cx="1666875" cy="1666875"/>
    <xdr:pic>
      <xdr:nvPicPr>
        <xdr:cNvPr id="14" name="ced2b01a-0649-4042-8f60-d3d2b02b74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197e8602fe46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22</xdr:row>
      <xdr:rowOff>76200</xdr:rowOff>
    </xdr:from>
    <xdr:ext cx="2324100" cy="1552575"/>
    <xdr:pic>
      <xdr:nvPicPr>
        <xdr:cNvPr id="15" name="4124fea4-c313-43c1-9dff-681a6dee13d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bf1bf5939648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23</xdr:row>
      <xdr:rowOff>76200</xdr:rowOff>
    </xdr:from>
    <xdr:ext cx="2085975" cy="1666875"/>
    <xdr:pic>
      <xdr:nvPicPr>
        <xdr:cNvPr id="16" name="6783648d-fc72-4358-9555-7f4df41775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a16a60613544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24</xdr:row>
      <xdr:rowOff>76200</xdr:rowOff>
    </xdr:from>
    <xdr:ext cx="1666875" cy="1666875"/>
    <xdr:pic>
      <xdr:nvPicPr>
        <xdr:cNvPr id="17" name="de321b66-3be1-4020-9491-15392ea13c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5ed0781c9541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25</xdr:row>
      <xdr:rowOff>76200</xdr:rowOff>
    </xdr:from>
    <xdr:ext cx="1114425" cy="1666875"/>
    <xdr:pic>
      <xdr:nvPicPr>
        <xdr:cNvPr id="18" name="5c021497-268e-4611-8407-ce90e84dc7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c84057c2804e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26</xdr:row>
      <xdr:rowOff>76200</xdr:rowOff>
    </xdr:from>
    <xdr:ext cx="2324100" cy="1219200"/>
    <xdr:pic>
      <xdr:nvPicPr>
        <xdr:cNvPr id="19" name="995bf6ef-5c28-4c10-9aa7-12af0a3560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ca59e1c9774d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27</xdr:row>
      <xdr:rowOff>76200</xdr:rowOff>
    </xdr:from>
    <xdr:ext cx="2324100" cy="1533525"/>
    <xdr:pic>
      <xdr:nvPicPr>
        <xdr:cNvPr id="20" name="962ee87b-fd67-4b90-9d70-b1ff79944c7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7f8f6744ad4d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28</xdr:row>
      <xdr:rowOff>76200</xdr:rowOff>
    </xdr:from>
    <xdr:ext cx="2085975" cy="1666875"/>
    <xdr:pic>
      <xdr:nvPicPr>
        <xdr:cNvPr id="21" name="8647ed49-404b-40f1-8904-1ffa9ab395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3e3833791146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29</xdr:row>
      <xdr:rowOff>76200</xdr:rowOff>
    </xdr:from>
    <xdr:ext cx="1485900" cy="1666875"/>
    <xdr:pic>
      <xdr:nvPicPr>
        <xdr:cNvPr id="22" name="d95b414f-7ab2-4366-a2c0-979552baa6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72450a029849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30</xdr:row>
      <xdr:rowOff>76200</xdr:rowOff>
    </xdr:from>
    <xdr:ext cx="2324100" cy="1533525"/>
    <xdr:pic>
      <xdr:nvPicPr>
        <xdr:cNvPr id="23" name="31ad67c1-1014-472f-8063-4824a9bda0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ca502fdd7845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31</xdr:row>
      <xdr:rowOff>76200</xdr:rowOff>
    </xdr:from>
    <xdr:ext cx="1666875" cy="1666875"/>
    <xdr:pic>
      <xdr:nvPicPr>
        <xdr:cNvPr id="24" name="215589dd-93cc-4090-86a5-17ffc38dcb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075a8bda4040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32</xdr:row>
      <xdr:rowOff>76200</xdr:rowOff>
    </xdr:from>
    <xdr:ext cx="2324100" cy="1543050"/>
    <xdr:pic>
      <xdr:nvPicPr>
        <xdr:cNvPr id="25" name="b5ccdb59-7dd2-4008-b816-d23eecb38c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b0f2ff7fd342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33</xdr:row>
      <xdr:rowOff>76200</xdr:rowOff>
    </xdr:from>
    <xdr:ext cx="2324100" cy="1304925"/>
    <xdr:pic>
      <xdr:nvPicPr>
        <xdr:cNvPr id="26" name="10baf296-d260-4e7d-8b74-5778235c41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39f0d4847e4d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34</xdr:row>
      <xdr:rowOff>76200</xdr:rowOff>
    </xdr:from>
    <xdr:ext cx="2324100" cy="1552575"/>
    <xdr:pic>
      <xdr:nvPicPr>
        <xdr:cNvPr id="27" name="30b33dcb-06af-48d3-a2dd-61153e5d5b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e902f3f44c46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36</xdr:row>
      <xdr:rowOff>76200</xdr:rowOff>
    </xdr:from>
    <xdr:ext cx="2219325" cy="1666875"/>
    <xdr:pic>
      <xdr:nvPicPr>
        <xdr:cNvPr id="28" name="75d35684-c5c4-4224-bc84-40992a6a2da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66028c2dbe48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37</xdr:row>
      <xdr:rowOff>76200</xdr:rowOff>
    </xdr:from>
    <xdr:ext cx="2324100" cy="1543050"/>
    <xdr:pic>
      <xdr:nvPicPr>
        <xdr:cNvPr id="29" name="0ab66542-6ce4-4f55-b230-d6b6ea456a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605d257ff84d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38</xdr:row>
      <xdr:rowOff>76200</xdr:rowOff>
    </xdr:from>
    <xdr:ext cx="2190750" cy="1666875"/>
    <xdr:pic>
      <xdr:nvPicPr>
        <xdr:cNvPr id="30" name="3c6f7f38-96fb-46b3-bbcd-f0c932299a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ed44d49d8843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39</xdr:row>
      <xdr:rowOff>76200</xdr:rowOff>
    </xdr:from>
    <xdr:ext cx="2324100" cy="1524000"/>
    <xdr:pic>
      <xdr:nvPicPr>
        <xdr:cNvPr id="31" name="55bf25f9-f519-42a0-8bc1-292a99a414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f93981078c45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40</xdr:row>
      <xdr:rowOff>76200</xdr:rowOff>
    </xdr:from>
    <xdr:ext cx="2324100" cy="1552575"/>
    <xdr:pic>
      <xdr:nvPicPr>
        <xdr:cNvPr id="32" name="2b086e13-0c85-4ea3-8466-9f494cab9f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ae911770974e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41</xdr:row>
      <xdr:rowOff>76200</xdr:rowOff>
    </xdr:from>
    <xdr:ext cx="2324100" cy="1552575"/>
    <xdr:pic>
      <xdr:nvPicPr>
        <xdr:cNvPr id="33" name="8d6aef17-daa5-4677-a2a8-55c109e85b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a67eedfeb54e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42</xdr:row>
      <xdr:rowOff>76200</xdr:rowOff>
    </xdr:from>
    <xdr:ext cx="1247775" cy="1666875"/>
    <xdr:pic>
      <xdr:nvPicPr>
        <xdr:cNvPr id="34" name="5246c966-177a-4870-8a22-faab690071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10d80d18c14f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43</xdr:row>
      <xdr:rowOff>76200</xdr:rowOff>
    </xdr:from>
    <xdr:ext cx="2324100" cy="1552575"/>
    <xdr:pic>
      <xdr:nvPicPr>
        <xdr:cNvPr id="35" name="626a99f2-edb9-4c01-9df6-758d1f7f3d5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ad0e78773f4b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44</xdr:row>
      <xdr:rowOff>76200</xdr:rowOff>
    </xdr:from>
    <xdr:ext cx="2219325" cy="1666875"/>
    <xdr:pic>
      <xdr:nvPicPr>
        <xdr:cNvPr id="36" name="6f3c2b3a-9b3a-4ab6-bf20-425f144b76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8bc91e5aef44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45</xdr:row>
      <xdr:rowOff>76200</xdr:rowOff>
    </xdr:from>
    <xdr:ext cx="2324100" cy="1533525"/>
    <xdr:pic>
      <xdr:nvPicPr>
        <xdr:cNvPr id="37" name="18786482-1060-4a01-87ff-2f9c722efaa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ce6f70382c42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46</xdr:row>
      <xdr:rowOff>76200</xdr:rowOff>
    </xdr:from>
    <xdr:ext cx="2219325" cy="1666875"/>
    <xdr:pic>
      <xdr:nvPicPr>
        <xdr:cNvPr id="38" name="520b56e8-1f8e-4189-9f91-4a534bad09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85f9f50f74f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47</xdr:row>
      <xdr:rowOff>76200</xdr:rowOff>
    </xdr:from>
    <xdr:ext cx="2219325" cy="1666875"/>
    <xdr:pic>
      <xdr:nvPicPr>
        <xdr:cNvPr id="39" name="a728c8b0-fb32-4870-bf61-2c155852f4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b64dd189f347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48</xdr:row>
      <xdr:rowOff>76200</xdr:rowOff>
    </xdr:from>
    <xdr:ext cx="2305050" cy="1666875"/>
    <xdr:pic>
      <xdr:nvPicPr>
        <xdr:cNvPr id="40" name="2020d346-ed38-46bc-aabf-f90b5144e0b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f22e9fc8e342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49</xdr:row>
      <xdr:rowOff>76200</xdr:rowOff>
    </xdr:from>
    <xdr:ext cx="2324100" cy="1552575"/>
    <xdr:pic>
      <xdr:nvPicPr>
        <xdr:cNvPr id="41" name="489a360d-30e2-4b08-a7a6-f8f3dfaf85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703e792750464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50</xdr:row>
      <xdr:rowOff>76200</xdr:rowOff>
    </xdr:from>
    <xdr:ext cx="2219325" cy="1666875"/>
    <xdr:pic>
      <xdr:nvPicPr>
        <xdr:cNvPr id="42" name="9be5c244-e4bb-4985-a67b-85907dfefe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a8fc68d41f4b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51</xdr:row>
      <xdr:rowOff>76200</xdr:rowOff>
    </xdr:from>
    <xdr:ext cx="1666875" cy="1666875"/>
    <xdr:pic>
      <xdr:nvPicPr>
        <xdr:cNvPr id="43" name="e1e23e1b-35b3-465a-be0a-23d4c54e0d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a2aeaa9c044f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52</xdr:row>
      <xdr:rowOff>76200</xdr:rowOff>
    </xdr:from>
    <xdr:ext cx="1114425" cy="1666875"/>
    <xdr:pic>
      <xdr:nvPicPr>
        <xdr:cNvPr id="44" name="b38a63b3-bf12-4b57-9439-6c73383b0f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65043c9768429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8.xml><?xml version="1.0" encoding="utf-8"?>
<xdr:wsDr xmlns:xdr="http://schemas.openxmlformats.org/drawingml/2006/spreadsheetDrawing">
  <xdr:oneCellAnchor>
    <xdr:from>
      <xdr:col>10</xdr:col>
      <xdr:colOff>76200</xdr:colOff>
      <xdr:row>4</xdr:row>
      <xdr:rowOff>76200</xdr:rowOff>
    </xdr:from>
    <xdr:ext cx="1666875" cy="1666875"/>
    <xdr:pic>
      <xdr:nvPicPr>
        <xdr:cNvPr id="1" name="abe84b37-5f15-43bd-a0f2-0e97ccf273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10e02031e940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5</xdr:row>
      <xdr:rowOff>76200</xdr:rowOff>
    </xdr:from>
    <xdr:ext cx="2324100" cy="1552575"/>
    <xdr:pic>
      <xdr:nvPicPr>
        <xdr:cNvPr id="2" name="3c77a615-f2ab-4f21-beb6-9622c0b929a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df121e167e46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6</xdr:row>
      <xdr:rowOff>76200</xdr:rowOff>
    </xdr:from>
    <xdr:ext cx="1666875" cy="1666875"/>
    <xdr:pic>
      <xdr:nvPicPr>
        <xdr:cNvPr id="3" name="ff86003d-f288-49be-bd16-43184cdfebc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a43d212d2749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7</xdr:row>
      <xdr:rowOff>76200</xdr:rowOff>
    </xdr:from>
    <xdr:ext cx="1666875" cy="1666875"/>
    <xdr:pic>
      <xdr:nvPicPr>
        <xdr:cNvPr id="4" name="6e88aaaa-5f46-46d2-bd6e-8e52ac4c32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8c85f44b3e45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8</xdr:row>
      <xdr:rowOff>76200</xdr:rowOff>
    </xdr:from>
    <xdr:ext cx="2219325" cy="1666875"/>
    <xdr:pic>
      <xdr:nvPicPr>
        <xdr:cNvPr id="5" name="b188f26f-e1b2-4945-baa9-f2fcfe97b2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e20f0af46640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9</xdr:row>
      <xdr:rowOff>76200</xdr:rowOff>
    </xdr:from>
    <xdr:ext cx="2324100" cy="1419225"/>
    <xdr:pic>
      <xdr:nvPicPr>
        <xdr:cNvPr id="6" name="c49a3286-b1d1-4c9f-80b9-26ae9d9173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0036b4e98f41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10</xdr:row>
      <xdr:rowOff>76200</xdr:rowOff>
    </xdr:from>
    <xdr:ext cx="1924050" cy="1666875"/>
    <xdr:pic>
      <xdr:nvPicPr>
        <xdr:cNvPr id="7" name="2ecb3ea7-c284-4ce0-a3ab-245766e2e5f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2625ef949542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11</xdr:row>
      <xdr:rowOff>76200</xdr:rowOff>
    </xdr:from>
    <xdr:ext cx="2219325" cy="1666875"/>
    <xdr:pic>
      <xdr:nvPicPr>
        <xdr:cNvPr id="8" name="7043889a-51a3-4e48-8ac3-23e6ee7a40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b12dd537134f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12</xdr:row>
      <xdr:rowOff>76200</xdr:rowOff>
    </xdr:from>
    <xdr:ext cx="2276475" cy="1666875"/>
    <xdr:pic>
      <xdr:nvPicPr>
        <xdr:cNvPr id="9" name="c754e71f-1473-4dfc-98f8-6b2df6e259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a6b4297a5145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13</xdr:row>
      <xdr:rowOff>76200</xdr:rowOff>
    </xdr:from>
    <xdr:ext cx="2219325" cy="1666875"/>
    <xdr:pic>
      <xdr:nvPicPr>
        <xdr:cNvPr id="10" name="f9f91d89-b566-466d-911f-edcb3315a92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4778595914f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15</xdr:row>
      <xdr:rowOff>76200</xdr:rowOff>
    </xdr:from>
    <xdr:ext cx="2324100" cy="1552575"/>
    <xdr:pic>
      <xdr:nvPicPr>
        <xdr:cNvPr id="11" name="a467d378-a681-4605-b4dc-61c995573d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72a20660054f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16</xdr:row>
      <xdr:rowOff>76200</xdr:rowOff>
    </xdr:from>
    <xdr:ext cx="2324100" cy="1295400"/>
    <xdr:pic>
      <xdr:nvPicPr>
        <xdr:cNvPr id="12" name="f7baa3f9-318f-42e6-89c0-23f94024b4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6eb667f41a44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19</xdr:row>
      <xdr:rowOff>76200</xdr:rowOff>
    </xdr:from>
    <xdr:ext cx="2324100" cy="1304925"/>
    <xdr:pic>
      <xdr:nvPicPr>
        <xdr:cNvPr id="13" name="44a9c0e0-9016-4bed-8f3a-efaad29f9e4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6c0043f426406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20</xdr:row>
      <xdr:rowOff>76200</xdr:rowOff>
    </xdr:from>
    <xdr:ext cx="2324100" cy="1600200"/>
    <xdr:pic>
      <xdr:nvPicPr>
        <xdr:cNvPr id="14" name="5c1558f3-724c-4132-8281-6af55ed1f5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d09b90ce864e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21</xdr:row>
      <xdr:rowOff>76200</xdr:rowOff>
    </xdr:from>
    <xdr:ext cx="1666875" cy="1666875"/>
    <xdr:pic>
      <xdr:nvPicPr>
        <xdr:cNvPr id="15" name="58e42ab7-99a3-4cf8-8d19-8df07ba453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f2cbedb7a645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22</xdr:row>
      <xdr:rowOff>76200</xdr:rowOff>
    </xdr:from>
    <xdr:ext cx="1666875" cy="1666875"/>
    <xdr:pic>
      <xdr:nvPicPr>
        <xdr:cNvPr id="16" name="8e91a449-5c7e-4b45-bea3-d7996c5c3a2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6ae7635b254c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23</xdr:row>
      <xdr:rowOff>76200</xdr:rowOff>
    </xdr:from>
    <xdr:ext cx="1666875" cy="1666875"/>
    <xdr:pic>
      <xdr:nvPicPr>
        <xdr:cNvPr id="17" name="8b6e5567-c03c-45fd-ac2b-ccb63f2e99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14a09507db44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24</xdr:row>
      <xdr:rowOff>76200</xdr:rowOff>
    </xdr:from>
    <xdr:ext cx="1323975" cy="1666875"/>
    <xdr:pic>
      <xdr:nvPicPr>
        <xdr:cNvPr id="18" name="306daa7d-73a9-47bf-b5e0-3aaa1bdd36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016d04fd9f44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27</xdr:row>
      <xdr:rowOff>76200</xdr:rowOff>
    </xdr:from>
    <xdr:ext cx="2219325" cy="1666875"/>
    <xdr:pic>
      <xdr:nvPicPr>
        <xdr:cNvPr id="19" name="0c817401-0043-48db-82fa-206fadea195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a11c5c4ddc48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31</xdr:row>
      <xdr:rowOff>76200</xdr:rowOff>
    </xdr:from>
    <xdr:ext cx="2276475" cy="1666875"/>
    <xdr:pic>
      <xdr:nvPicPr>
        <xdr:cNvPr id="20" name="8f046692-943d-4bd2-a3ce-66e916fd436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7b2055194346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35</xdr:row>
      <xdr:rowOff>76200</xdr:rowOff>
    </xdr:from>
    <xdr:ext cx="1666875" cy="1666875"/>
    <xdr:pic>
      <xdr:nvPicPr>
        <xdr:cNvPr id="21" name="26ad0661-6ef1-4384-993f-0984c81a8b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ff0edfcca14e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36</xdr:row>
      <xdr:rowOff>76200</xdr:rowOff>
    </xdr:from>
    <xdr:ext cx="2219325" cy="1666875"/>
    <xdr:pic>
      <xdr:nvPicPr>
        <xdr:cNvPr id="22" name="fedbe896-37c2-4069-89aa-695b0ffaca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7dabc7525542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76200</xdr:colOff>
      <xdr:row>37</xdr:row>
      <xdr:rowOff>76200</xdr:rowOff>
    </xdr:from>
    <xdr:ext cx="2219325" cy="1666875"/>
    <xdr:pic>
      <xdr:nvPicPr>
        <xdr:cNvPr id="23" name="0f4c816d-37ea-4bb1-9f1f-953fefce62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44551aa7654e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6" name="WalkBackups" displayName="WalkBackups" ref="A4:J20" headerRowCount="1" totalsRowCount="0" totalsRowShown="0">
  <x:tableColumns count="10">
    <x:tableColumn id="1" name="城市"/>
    <x:tableColumn id="2" name="區域／路線"/>
    <x:tableColumn id="3" name="適合什麼時候"/>
    <x:tableColumn id="4" name="建議時間"/>
    <x:tableColumn id="5" name="具體怎樣走"/>
    <x:tableColumn id="6" name="會看到什麼"/>
    <x:tableColumn id="7" name="附近咖啡／茶"/>
    <x:tableColumn id="8" name="壞天氣替代"/>
    <x:tableColumn id="9" name="提醒"/>
    <x:tableColumn id="10" name="地圖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rsawRestaurants" displayName="WarsawRestaurants" ref="A4:S20" headerRowCount="1" totalsRowCount="0" totalsRowShown="0">
  <x:tableColumns count="19">
    <x:tableColumn id="1" name="類型"/>
    <x:tableColumn id="2" name="區域"/>
    <x:tableColumn id="3" name="店名"/>
    <x:tableColumn id="4" name="參考評分"/>
    <x:tableColumn id="5" name="主行程標記"/>
    <x:tableColumn id="6" name="❗️"/>
    <x:tableColumn id="7" name="推薦原因"/>
    <x:tableColumn id="8" name="兩人點餐策略"/>
    <x:tableColumn id="9" name="對應當地特色菜（只列名稱）"/>
    <x:tableColumn id="10" name="兩人預算"/>
    <x:tableColumn id="11" name="常規營業"/>
    <x:tableColumn id="12" name="節日／休息提醒"/>
    <x:tableColumn id="13" name="店舖照片／地圖"/>
    <x:tableColumn id="14" name="資料來源"/>
    <x:tableColumn id="15" name="本行程推薦度"/>
    <x:tableColumn id="16" name="2026 審核"/>
    <x:tableColumn id="17" name="處理"/>
    <x:tableColumn id="18" name="營業／訂位狀態"/>
    <x:tableColumn id="19" name="地圖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stanbulRestaurants" displayName="IstanbulRestaurants" ref="A4:S28" headerRowCount="1" totalsRowCount="0" totalsRowShown="0">
  <x:tableColumns count="19">
    <x:tableColumn id="1" name="類型"/>
    <x:tableColumn id="2" name="區域"/>
    <x:tableColumn id="3" name="店名"/>
    <x:tableColumn id="4" name="參考評分"/>
    <x:tableColumn id="5" name="主行程標記"/>
    <x:tableColumn id="6" name="❗️"/>
    <x:tableColumn id="7" name="推薦原因"/>
    <x:tableColumn id="8" name="兩人點餐策略"/>
    <x:tableColumn id="9" name="對應當地特色菜（只列名稱）"/>
    <x:tableColumn id="10" name="兩人預算"/>
    <x:tableColumn id="11" name="常規營業"/>
    <x:tableColumn id="12" name="節日／休息提醒"/>
    <x:tableColumn id="13" name="店舖照片／地圖"/>
    <x:tableColumn id="14" name="資料來源"/>
    <x:tableColumn id="15" name="本行程推薦度"/>
    <x:tableColumn id="16" name="2026 審核"/>
    <x:tableColumn id="17" name="處理"/>
    <x:tableColumn id="18" name="營業／訂位狀態"/>
    <x:tableColumn id="19" name="地圖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7" name="WarsawSights" displayName="WarsawSights" ref="A4:Y32" headerRowCount="1" totalsRowCount="0" totalsRowShown="0">
  <x:tableColumns count="25">
    <x:tableColumn id="1" name="景點"/>
    <x:tableColumn id="2" name="區域"/>
    <x:tableColumn id="3" name="類型"/>
    <x:tableColumn id="4" name="建議停留"/>
    <x:tableColumn id="5" name="為什麼去"/>
    <x:tableColumn id="6" name="必看／細節"/>
    <x:tableColumn id="7" name="怎樣逛比較好"/>
    <x:tableColumn id="8" name="2026 一般／節日開放"/>
    <x:tableColumn id="9" name="門票／預約"/>
    <x:tableColumn id="10" name="❗️"/>
    <x:tableColumn id="11" name="行程日期"/>
    <x:tableColumn id="12" name="實景照片／例子"/>
    <x:tableColumn id="13" name="Google Maps 實拍"/>
    <x:tableColumn id="14" name="來源"/>
    <x:tableColumn id="15" name="本行程推薦度"/>
    <x:tableColumn id="16" name="我的安排建議"/>
    <x:tableColumn id="17" name="內嵌照片來源／授權"/>
    <x:tableColumn id="18" name="交通／最近站"/>
    <x:tableColumn id="19" name="最佳拍照／時段"/>
    <x:tableColumn id="20" name="如果時間不足怎樣取捨"/>
    <x:tableColumn id="21" name="旅遊書完整介紹"/>
    <x:tableColumn id="22" name="歷史／文化背景"/>
    <x:tableColumn id="23" name="現場看甚麼＋怎樣逛"/>
    <x:tableColumn id="24" name="附近路線／交通"/>
    <x:tableColumn id="25" name="冬季實戰／拍照／取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8" name="IstanbulSights" displayName="IstanbulSights" ref="A4:Y49" headerRowCount="1" totalsRowCount="0" totalsRowShown="0">
  <x:tableColumns count="25">
    <x:tableColumn id="1" name="景點"/>
    <x:tableColumn id="2" name="區域"/>
    <x:tableColumn id="3" name="類型"/>
    <x:tableColumn id="4" name="建議停留"/>
    <x:tableColumn id="5" name="為什麼去"/>
    <x:tableColumn id="6" name="必看／細節"/>
    <x:tableColumn id="7" name="怎樣逛比較好"/>
    <x:tableColumn id="8" name="2026 一般／節日開放"/>
    <x:tableColumn id="9" name="門票／預約"/>
    <x:tableColumn id="10" name="❗️"/>
    <x:tableColumn id="11" name="行程日期"/>
    <x:tableColumn id="12" name="實景照片／例子"/>
    <x:tableColumn id="13" name="Google Maps 實拍"/>
    <x:tableColumn id="14" name="來源"/>
    <x:tableColumn id="15" name="本行程推薦度"/>
    <x:tableColumn id="16" name="我的安排建議"/>
    <x:tableColumn id="17" name="內嵌照片來源／授權"/>
    <x:tableColumn id="18" name="交通／最近站"/>
    <x:tableColumn id="19" name="最佳拍照／時段"/>
    <x:tableColumn id="20" name="如果時間不足怎樣取捨"/>
    <x:tableColumn id="21" name="旅遊書完整介紹"/>
    <x:tableColumn id="22" name="歷史／文化背景"/>
    <x:tableColumn id="23" name="現場看甚麼＋怎樣逛"/>
    <x:tableColumn id="24" name="附近路線／交通"/>
    <x:tableColumn id="25" name="冬季實戰／拍照／取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9" name="WarsawIndex" displayName="WarsawIndex" ref="A4:G49" headerRowCount="1" totalsRowCount="0" totalsRowShown="0">
  <x:tableColumns count="7">
    <x:tableColumn id="1" name="類別"/>
    <x:tableColumn id="2" name="名稱"/>
    <x:tableColumn id="3" name="推薦度／狀態"/>
    <x:tableColumn id="4" name="日期／行程"/>
    <x:tableColumn id="5" name="一句理由"/>
    <x:tableColumn id="6" name="詳情頁"/>
    <x:tableColumn id="7" name="備註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4" name="WarsawCafes" displayName="WarsawCafes" ref="A4:R9" headerRowCount="1" totalsRowCount="0" totalsRowShown="0">
  <x:tableColumns count="18">
    <x:tableColumn id="1" name="類型"/>
    <x:tableColumn id="2" name="區域"/>
    <x:tableColumn id="3" name="店名"/>
    <x:tableColumn id="4" name="參考評分"/>
    <x:tableColumn id="5" name="主行程標記"/>
    <x:tableColumn id="6" name="❗️"/>
    <x:tableColumn id="7" name="必喝"/>
    <x:tableColumn id="8" name="為什麼值得"/>
    <x:tableColumn id="9" name="兩人怎樣喝"/>
    <x:tableColumn id="10" name="常規營業／休息"/>
    <x:tableColumn id="11" name="節日提醒"/>
    <x:tableColumn id="12" name="店舖照片／地圖"/>
    <x:tableColumn id="13" name="飲品照片"/>
    <x:tableColumn id="14" name="資料來源"/>
    <x:tableColumn id="15" name="推薦度"/>
    <x:tableColumn id="16" name="取捨建議"/>
    <x:tableColumn id="17" name="營業／訂位狀態"/>
    <x:tableColumn id="18" name="地圖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5" name="IstanbulCafes" displayName="IstanbulCafes" ref="A4:R11" headerRowCount="1" totalsRowCount="0" totalsRowShown="0">
  <x:tableColumns count="18">
    <x:tableColumn id="1" name="類型"/>
    <x:tableColumn id="2" name="區域"/>
    <x:tableColumn id="3" name="店名"/>
    <x:tableColumn id="4" name="參考評分"/>
    <x:tableColumn id="5" name="主行程標記"/>
    <x:tableColumn id="6" name="❗️"/>
    <x:tableColumn id="7" name="必喝"/>
    <x:tableColumn id="8" name="為什麼值得"/>
    <x:tableColumn id="9" name="兩人怎樣喝"/>
    <x:tableColumn id="10" name="常規營業／休息"/>
    <x:tableColumn id="11" name="節日提醒"/>
    <x:tableColumn id="12" name="店舖照片／地圖"/>
    <x:tableColumn id="13" name="飲品照片"/>
    <x:tableColumn id="14" name="資料來源"/>
    <x:tableColumn id="15" name="推薦度"/>
    <x:tableColumn id="16" name="取捨建議"/>
    <x:tableColumn id="17" name="營業／訂位狀態"/>
    <x:tableColumn id="18" name="地圖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IstanbulIndex" displayName="IstanbulIndex" ref="A4:G41" headerRowCount="1" totalsRowCount="0" totalsRowShown="0">
  <x:tableColumns count="7">
    <x:tableColumn id="1" name="類別"/>
    <x:tableColumn id="2" name="名稱"/>
    <x:tableColumn id="3" name="推薦度／狀態"/>
    <x:tableColumn id="4" name="日期／行程"/>
    <x:tableColumn id="5" name="一句理由"/>
    <x:tableColumn id="6" name="詳情頁"/>
    <x:tableColumn id="7" name="備註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1" name="WarsawDishes" displayName="WarsawDishes" ref="A4:Q53" headerRowCount="1" totalsRowCount="0" totalsRowShown="0">
  <x:tableColumns count="17">
    <x:tableColumn id="1" name="類別"/>
    <x:tableColumn id="2" name="波蘭文"/>
    <x:tableColumn id="3" name="English"/>
    <x:tableColumn id="4" name="中文／是什麼"/>
    <x:tableColumn id="5" name="味道／口感"/>
    <x:tableColumn id="6" name="推薦程度"/>
    <x:tableColumn id="7" name="本次狀態"/>
    <x:tableColumn id="8" name="安排日期"/>
    <x:tableColumn id="9" name="去哪裡吃／怎樣補"/>
    <x:tableColumn id="10" name="避免重複的點法"/>
    <x:tableColumn id="11" name="照片連結"/>
    <x:tableColumn id="12" name="主要來源"/>
    <x:tableColumn id="13" name="是否華沙特色"/>
    <x:tableColumn id="14" name="備註"/>
    <x:tableColumn id="15" name="安排狀態說明"/>
    <x:tableColumn id="16" name="優先度"/>
    <x:tableColumn id="17" name="實際品嚐狀態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2" name="IstanbulDishes" displayName="IstanbulDishes" ref="A4:Q38" headerRowCount="1" totalsRowCount="0" totalsRowShown="0">
  <x:tableColumns count="17">
    <x:tableColumn id="1" name="類別"/>
    <x:tableColumn id="2" name="土耳其文"/>
    <x:tableColumn id="3" name="English"/>
    <x:tableColumn id="4" name="中文／是什麼"/>
    <x:tableColumn id="5" name="味道／口感"/>
    <x:tableColumn id="6" name="推薦程度"/>
    <x:tableColumn id="7" name="本次狀態"/>
    <x:tableColumn id="8" name="安排日期"/>
    <x:tableColumn id="9" name="去哪裡吃／怎樣補"/>
    <x:tableColumn id="10" name="避免重複的點法"/>
    <x:tableColumn id="11" name="照片連結"/>
    <x:tableColumn id="12" name="店家／來源"/>
    <x:tableColumn id="13" name="是否伊斯坦堡代表"/>
    <x:tableColumn id="14" name="備註"/>
    <x:tableColumn id="15" name="對應餐廳頁"/>
    <x:tableColumn id="16" name="優先度"/>
    <x:tableColumn id="17" name="實際品嚐狀態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" name="BookingTasks" displayName="BookingTasks" ref="A4:M38" headerRowCount="1" totalsRowCount="0" totalsRowShown="0">
  <x:tableColumns count="13">
    <x:tableColumn id="1" name="項目 ID"/>
    <x:tableColumn id="2" name="日期（當地）"/>
    <x:tableColumn id="3" name="類別"/>
    <x:tableColumn id="4" name="店家／項目"/>
    <x:tableColumn id="5" name="目標時段"/>
    <x:tableColumn id="6" name="主選狀態"/>
    <x:tableColumn id="7" name="下一步"/>
    <x:tableColumn id="8" name="備選／替代"/>
    <x:tableColumn id="9" name="備選狀態"/>
    <x:tableColumn id="10" name="建議核對日"/>
    <x:tableColumn id="11" name="確認紀錄／訂位編號"/>
    <x:tableColumn id="12" name="來源／詳情"/>
    <x:tableColumn id="13" name="說明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ExpenseEntries" displayName="ExpenseEntries" ref="A4:M204" headerRowCount="1" totalsRowCount="0" totalsRowShown="0">
  <x:tableColumns count="13">
    <x:tableColumn id="1" name="日期（當地）"/>
    <x:tableColumn id="2" name="城市"/>
    <x:tableColumn id="3" name="類別"/>
    <x:tableColumn id="4" name="項目／店家"/>
    <x:tableColumn id="5" name="付款人"/>
    <x:tableColumn id="6" name="歸屬"/>
    <x:tableColumn id="7" name="幣別"/>
    <x:tableColumn id="8" name="原幣實付"/>
    <x:tableColumn id="9" name="HKD／原幣"/>
    <x:tableColumn id="10" name="實支 HKD"/>
    <x:tableColumn id="11" name="A 應負擔 HKD"/>
    <x:tableColumn id="12" name="B 應負擔 HKD"/>
    <x:tableColumn id="13" name="紀錄／匯率依據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2fb78a103ed47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45c21e9585dc4e49" /><Relationship Type="http://schemas.openxmlformats.org/officeDocument/2006/relationships/table" Target="/xl/tables/table2.xml" Id="R93a4b412ea9a40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5566d94ee6c3485a" /><Relationship Type="http://schemas.openxmlformats.org/officeDocument/2006/relationships/table" Target="/xl/tables/table3.xml" Id="R2f88e2c077cb4c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84e999f8292045b6" /><Relationship Type="http://schemas.openxmlformats.org/officeDocument/2006/relationships/table" Target="/xl/tables/table4.xml" Id="R679c67f25cd541e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aaf775ac14b746d9" /><Relationship Type="http://schemas.openxmlformats.org/officeDocument/2006/relationships/table" Target="/xl/tables/table5.xml" Id="R0ae6737080764b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7ae4bad343347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5.xml" Id="R9910d524a4d840de" /><Relationship Type="http://schemas.openxmlformats.org/officeDocument/2006/relationships/table" Target="/xl/tables/table7.xml" Id="R1aa710e435db4cc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6.xml" Id="R833cfa060ab44115" /><Relationship Type="http://schemas.openxmlformats.org/officeDocument/2006/relationships/table" Target="/xl/tables/table8.xml" Id="R3cf7ac4dccea4b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550251da4dc48b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7.xml" Id="R3df15693cd1f4de3" /><Relationship Type="http://schemas.openxmlformats.org/officeDocument/2006/relationships/table" Target="/xl/tables/table10.xml" Id="R92f2f7239614453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8.xml" Id="R8e19e1bccdbf4a00" /><Relationship Type="http://schemas.openxmlformats.org/officeDocument/2006/relationships/table" Target="/xl/tables/table11.xml" Id="R9e51524a61334bc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213ab66382e1401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616d888316764b88" /></Relationships>
</file>

<file path=xl/worksheets/sheet1.xml><?xml version="1.0" encoding="utf-8"?>
<worksheet xmlns="http://schemas.openxmlformats.org/spreadsheetml/2006/main">
  <sheetViews>
    <sheetView showGridLines="0" workbookViewId="0">
      <pane xSplit="1" ySplit="4" topLeftCell="B5" activePane="bottomRight" state="frozen"/>
    </sheetView>
  </sheetViews>
  <sheetFormatPr defaultColWidth="8.6796875" defaultRowHeight="15"/>
  <cols>
    <col min="1" max="1" width="20" hidden="0" customWidth="1"/>
    <col min="2" max="12" width="33" hidden="0" customWidth="1"/>
    <col min="2" max="2" width="36" hidden="0" customWidth="1"/>
    <col min="3" max="3" width="36" hidden="0" customWidth="1"/>
    <col min="4" max="4" width="36" hidden="0" customWidth="1"/>
    <col min="5" max="5" width="36" hidden="0" customWidth="1"/>
    <col min="6" max="6" width="36" hidden="0" customWidth="1"/>
    <col min="7" max="7" width="36" hidden="0" customWidth="1"/>
    <col min="8" max="8" width="36" hidden="0" customWidth="1"/>
    <col min="9" max="9" width="36" hidden="0" customWidth="1"/>
    <col min="10" max="10" width="36" hidden="0" customWidth="1"/>
    <col min="11" max="11" width="36" hidden="0" customWidth="1"/>
    <col min="12" max="12" width="36" hidden="0" customWidth="1"/>
  </cols>
  <sheetData>
    <row r="1" ht="32" hidden="0" customHeight="1">
      <c r="A1" s="1086" t="str">
        <v>華沙・伊斯坦堡｜2026 聖誕行程｜小眾景點・訂位待辦・實際照片版</v>
      </c>
      <c r="B1" s="1073"/>
      <c r="C1" s="1073"/>
      <c r="D1" s="1073"/>
      <c r="E1" s="1073"/>
      <c r="F1" s="1073"/>
      <c r="G1" s="1073"/>
      <c r="H1" s="1073"/>
      <c r="I1" s="1073"/>
      <c r="J1" s="1073"/>
      <c r="K1" s="1073"/>
      <c r="L1" s="1073"/>
    </row>
    <row r="2" ht="34" hidden="0" customHeight="1">
      <c r="A2" s="1074" t="s">
        <v>0</v>
      </c>
      <c r="B2" s="1075" t="s">
        <v>1</v>
      </c>
      <c r="C2" s="1076" t="s">
        <v>2</v>
      </c>
      <c r="D2" s="1076" t="s">
        <v>2</v>
      </c>
      <c r="E2" s="1076" t="s">
        <v>2</v>
      </c>
      <c r="F2" s="1076" t="s">
        <v>2</v>
      </c>
      <c r="G2" s="1075" t="s">
        <v>3</v>
      </c>
      <c r="H2" s="1077" t="s">
        <v>4</v>
      </c>
      <c r="I2" s="1077" t="s">
        <v>4</v>
      </c>
      <c r="J2" s="1077" t="s">
        <v>4</v>
      </c>
      <c r="K2" s="1075" t="s">
        <v>5</v>
      </c>
      <c r="L2" s="1075" t="s">
        <v>6</v>
      </c>
    </row>
    <row r="3" ht="34" hidden="0" customHeight="1">
      <c r="A3" s="1074" t="s">
        <v>7</v>
      </c>
      <c r="B3" s="1237" t="n">
        <v>46378</v>
      </c>
      <c r="C3" s="1238" t="n">
        <v>46379</v>
      </c>
      <c r="D3" s="1238" t="n">
        <v>46380</v>
      </c>
      <c r="E3" s="1238" t="n">
        <v>46381</v>
      </c>
      <c r="F3" s="1238" t="n">
        <v>46382</v>
      </c>
      <c r="G3" s="1237" t="n">
        <v>46383</v>
      </c>
      <c r="H3" s="1239" t="n">
        <v>46384</v>
      </c>
      <c r="I3" s="1239" t="n">
        <v>46385</v>
      </c>
      <c r="J3" s="1239" t="n">
        <v>46386</v>
      </c>
      <c r="K3" s="1237" t="n">
        <v>46387</v>
      </c>
      <c r="L3" s="1237" t="n">
        <v>46388</v>
      </c>
    </row>
    <row r="4" ht="34" hidden="0" customHeight="1">
      <c r="A4" s="1074" t="str">
        <v>當日主題／格內時間為準</v>
      </c>
      <c r="B4" s="1075" t="s">
        <v>8</v>
      </c>
      <c r="C4" s="1076" t="str">
        <v>猶太歷史・奶吧・老華沙晚餐</v>
      </c>
      <c r="D4" s="1076" t="str">
        <v>老城深度走讀・平安夜在地餐</v>
      </c>
      <c r="E4" s="1076" t="str">
        <v>皇家公園・市中心街區・聖誕慢遊</v>
      </c>
      <c r="F4" s="1076" t="str">
        <v>皇家城堡・現代藝術・正式波蘭晚餐</v>
      </c>
      <c r="G4" s="1075" t="str">
        <v>華沙早餐・轉場・Karaköy 在地晚餐</v>
      </c>
      <c r="H4" s="1077" t="str">
        <v>科學史・Vefa・Fener 多宗教街區</v>
      </c>
      <c r="I4" s="1077" t="str">
        <v>Yıldız・Beşiktaş・波蘭文學・Galata</v>
      </c>
      <c r="J4" s="1077" t="str">
        <v>乳品早餐・Kuzguncuk・Kadıköy・Moda</v>
      </c>
      <c r="K4" s="1075" t="s">
        <v>9</v>
      </c>
      <c r="L4" s="1075" t="s">
        <v>10</v>
      </c>
    </row>
    <row r="5" ht="95" hidden="0" customHeight="1">
      <c r="A5" s="1074" t="s">
        <v>11</v>
      </c>
      <c r="B5" s="1074"/>
      <c r="C5" s="984" t="s">
        <v>12</v>
      </c>
      <c r="D5" s="1074"/>
      <c r="E5" s="1074"/>
      <c r="F5" s="1074"/>
      <c r="G5" s="1074"/>
      <c r="H5" s="1074" t="str">
        <v>06:30–07:15
10 Karaköy → Kumkapı
Boris 早餐前交通；依路況選車／公共交通</v>
      </c>
      <c r="I5" s="1074" t="str">
        <v>07:45–08:25
10 Karaköy → İstiklal 指定早餐分店
沿用 HASAN FEHMİ 原指定店，分店先核對</v>
      </c>
      <c r="J5" s="1074" t="str">
        <v>06:00–06:40
10 Karaköy → Kumkapı
早餐前交通；早開門須確認</v>
      </c>
      <c r="K5" s="1074"/>
      <c r="L5" s="1074"/>
    </row>
    <row r="6" ht="95" hidden="0" customHeight="1">
      <c r="A6" s="1074" t="s">
        <v>13</v>
      </c>
      <c r="B6" s="1074"/>
      <c r="C6" s="984" t="str">
        <v>07:45–08:30
WAW → PURO 寄存行李</v>
      </c>
      <c r="D6" s="1241" t="str">
        <f>HYPERLINK("#'華沙茶咖啡'!C5","08:00–09:00｜早餐
Coffee Karma
主點：咖啡＋烘焙／三文治
"&amp;'訂位與待辦'!F8)</f>
        <v>08:00–09:00｜早餐
Coffee Karma
主點：咖啡＋烘焙／三文治
營業待確認</v>
      </c>
      <c r="E6" s="1241" t="str">
        <f>HYPERLINK("#'華沙茶咖啡'!C6","08:00–09:00｜早餐
Ministerstwo Kawy
主點：咖啡＋少量早餐烘焙
"&amp;'訂位與待辦'!F11)</f>
        <v>08:00–09:00｜早餐
Ministerstwo Kawy
主點：咖啡＋少量早餐烘焙
營業待確認</v>
      </c>
      <c r="F6" s="1241" t="str">
        <f>HYPERLINK("#'華沙茶咖啡'!C7","09:00–09:45｜老城早餐候選
Shabby Chic Coffee &amp; Wine Bar（待定）
咖啡＋輕早餐；節日供應待確認
"&amp;'訂位與待辦'!F14)</f>
        <v>09:00–09:45｜老城早餐候選
Shabby Chic Coffee &amp; Wine Bar（待定）
咖啡＋輕早餐；節日供應待確認
營業待確認</v>
      </c>
      <c r="G6" s="1241" t="str">
        <f>HYPERLINK("#'華沙當地特色菜'!B41","09:00–09:30｜早餐
Lukullus Chmielna
主點：Pączek＋Sernik 各一件共享
"&amp;'訂位與待辦'!F17)</f>
        <v>09:00–09:30｜早餐
Lukullus Chmielna
主點：Pączek＋Sernik 各一件共享
營業待確認</v>
      </c>
      <c r="H6" s="1244" t="str">
        <f>HYPERLINK("#'伊斯坦堡餐廳'!C20","07:15–08:10｜早餐
Boris'in Yeri (Boris's Place)
蜂蜜凝脂＋一款蛋共享；早開門待確認
"&amp;'訂位與待辦'!F19)</f>
        <v>07:15–08:10｜早餐
Boris'in Yeri (Boris's Place)
蜂蜜凝脂＋一款蛋共享；早開門待確認
營業待確認</v>
      </c>
      <c r="I6" s="1241" t="str">
        <f>HYPERLINK("#'伊斯坦堡餐廳'!C19","08:30–09:15｜早餐
HASAN FEHMİ ÖZSÜT 1915
蜂蜜凝脂＋蛋類共享
"&amp;'訂位與待辦'!F22)</f>
        <v>08:30–09:15｜早餐
HASAN FEHMİ ÖZSÜT 1915
蜂蜜凝脂＋蛋類共享
營業待確認</v>
      </c>
      <c r="J6" s="1244" t="str">
        <f>HYPERLINK("#'伊斯坦堡餐廳'!C20","06:45–07:50｜早餐
Boris'in Yeri (Boris's Place)
主點：Bal kaymak（蜂蜜凝脂）＋一款蛋共享
"&amp;'訂位與待辦'!F25)</f>
        <v>06:45–07:50｜早餐
Boris'in Yeri (Boris's Place)
主點：Bal kaymak（蜂蜜凝脂）＋一款蛋共享
營業待確認</v>
      </c>
      <c r="K6" s="438" t="str">
        <v>07:45–08:30
整理行李／前往 İstiklal 早餐
核對指定分店</v>
      </c>
      <c r="L6" s="1074"/>
    </row>
    <row r="7" ht="95" hidden="0" customHeight="1">
      <c r="A7" s="1074" t="s">
        <v>14</v>
      </c>
      <c r="B7" s="1074"/>
      <c r="C7" s="1241" t="str">
        <f>HYPERLINK("#'華沙餐廳'!C5","08:30–09:30｜早餐
Bar Mleczny Bambino
主點：Naleśniki z serem（甜乳酪薄餅）；兩人分食
"&amp;'訂位與待辦'!F5)</f>
        <v>08:30–09:30｜早餐
Bar Mleczny Bambino
主點：Naleśniki z serem（甜乳酪薄餅）；兩人分食
營業待確認</v>
      </c>
      <c r="D7" s="442" t="str">
        <v>09:15–10:00
Castle Square＋Sigismund Column（外觀）</v>
      </c>
      <c r="E7" s="1074"/>
      <c r="F7" s="442" t="str">
        <v>09:45–10:20
Piwna → 老城短走 → 皇家城堡廣場
步行約 5–10 分鐘，餘下時間留給拍照</v>
      </c>
      <c r="G7" s="985" t="str">
        <v>09:45–10:35
PURO → WAW</v>
      </c>
      <c r="H7" s="442" t="str">
        <v>08:10–09:00
Kumkapı → Gülhane 科學史博物館
交通及入館緩衝；09:00 參觀</v>
      </c>
      <c r="I7" s="917" t="str">
        <v>09:15–10:00
早餐 → Yıldız Palace
車程與上坡緩衝</v>
      </c>
      <c r="J7" s="917" t="str">
        <v>07:50–08:55
Kumkapı → Üsküdar → Kuzguncuk
Marmaray＋短車程；含候車</v>
      </c>
      <c r="K7" s="1244" t="str">
        <f>HYPERLINK("#'伊斯坦堡餐廳'!C19","08:30–09:10｜早餐
HASAN FEHMİ ÖZSÜT 1915
主點：Bal kaymak 少量＋風乾牛肉蛋共享
"&amp;'訂位與待辦'!F28)</f>
        <v>08:30–09:10｜早餐
HASAN FEHMİ ÖZSÜT 1915
主點：Bal kaymak 少量＋風乾牛肉蛋共享
營業待確認</v>
      </c>
      <c r="L7" s="985" t="str">
        <v>返港時間待補
不再用推算時間當確定到達</v>
      </c>
    </row>
    <row r="8" ht="95" hidden="0" customHeight="1">
      <c r="A8" s="1074" t="s">
        <v>15</v>
      </c>
      <c r="B8" s="1074"/>
      <c r="C8" s="442" t="str">
        <v>09:30–10:20
前往 POLIN＋Ghetto Heroes Monument</v>
      </c>
      <c r="D8" s="442" t="str">
        <v>10:00–11:15
Old Town Market Square → Kanonia → Gnojna Góra</v>
      </c>
      <c r="E8" s="442" t="str">
        <v>09:00–09:45｜前往 Łazienki
由市中心前往 Chopin Monument／皇家公園；預留冬季交通緩衝。</v>
      </c>
      <c r="F8" s="442" t="str">
        <v>10:20–10:30
入場／排隊緩衝</v>
      </c>
      <c r="G8" s="438" t="str">
        <v>10:35–12:00
辦登機・安檢</v>
      </c>
      <c r="H8" s="442" t="str">
        <v>09:00–10:15｜小眾博物館
İslam Bilim ve Teknoloji Tarihi Müzesi・Gülhane
585 件科學儀器模型／天文、航海、醫學、數學；每日 09:00–18:00。</v>
      </c>
      <c r="I8" s="442" t="str">
        <v>10:00–11:00
Yıldız Palace；冬季開放與門票待核</v>
      </c>
      <c r="J8" s="720" t="str">
        <v>09:00–10:00
Kuzguncuk 木屋街區
İcadiye／Bostan</v>
      </c>
      <c r="K8" s="985" t="str">
        <v>09:10–09:35｜回 10 Karaköy・取行李／退房
用 Tünel／短車程回酒店；不要在早餐店久坐。</v>
      </c>
      <c r="L8" s="985"/>
    </row>
    <row r="9" ht="95" hidden="0" customHeight="1">
      <c r="A9" s="1074" t="s">
        <v>16</v>
      </c>
      <c r="B9" s="1074"/>
      <c r="C9" s="442" t="str">
        <v>10:30–13:00
POLIN Museum
核心展＋彩繪木會堂重建
詳細：見「華沙景點指南」</v>
      </c>
      <c r="D9" s="442" t="str">
        <v>11:15–11:45
Barbican → New Town／Freta</v>
      </c>
      <c r="E9" s="442" t="str">
        <v>10:00–11:15
Łazienki Park：Chopin Monument＋冬日林蔭</v>
      </c>
      <c r="F9" s="442" t="str">
        <v>10:30–12:30
Royal Castle
皇家公寓／Canaletto
先核對 12/26 票券</v>
      </c>
      <c r="G9" s="438" t="str">
        <v>12:50–17:35
LO135 華沙 → 伊斯坦堡</v>
      </c>
      <c r="H9" s="442" t="str">
        <v>10:15–10:50
Gülhane → Şehzade／Vefa
T1＋步行／短車程</v>
      </c>
      <c r="I9" s="442" t="str">
        <v>11:00–11:40
Yıldız Palace 續／花園；依體力縮短</v>
      </c>
      <c r="J9" s="719" t="str">
        <v>10:00–10:30
多宗教街區＋海峽
宗教場所預設外觀</v>
      </c>
      <c r="K9" s="438" t="str">
        <v>09:35–10:45｜10 Karaköy → IST
預留市區交通緩衝；以實際路況為準。</v>
      </c>
      <c r="L9" s="985"/>
    </row>
    <row r="10" ht="95" hidden="0" customHeight="1">
      <c r="A10" s="1074" t="s">
        <v>17</v>
      </c>
      <c r="B10" s="1074"/>
      <c r="C10" s="442"/>
      <c r="D10" s="442"/>
      <c r="E10" s="442" t="str">
        <v>11:15–12:45
Łazienki：湖岸＋Palace on the Isle 外觀
詳細：見「華沙景點指南」</v>
      </c>
      <c r="F10" s="442" t="str">
        <v>12:30–12:50｜可選
Mariensztat 順路短走
雨雪／超時直接去午餐</v>
      </c>
      <c r="G10" s="438"/>
      <c r="H10" s="442" t="str">
        <v>10:50–11:40
Şehzade＋Kalenderhane
一座深入、一座外觀；避開禮拜</v>
      </c>
      <c r="I10" s="720" t="str">
        <v>11:40–12:25
Yıldız／Beşiktaş → Karaköy 午餐
預留交通，不在 Beşiktaş 另排餐廳</v>
      </c>
      <c r="J10" s="720" t="str">
        <v>10:30–11:10｜可選
Fethi Paşa Korusu
雨／風大就取消</v>
      </c>
      <c r="K10" s="438" t="str">
        <v>10:45–11:35｜辦登機・行李・安檢／退稅（如適用）</v>
      </c>
      <c r="L10" s="1074"/>
    </row>
    <row r="11" ht="95" hidden="0" customHeight="1">
      <c r="A11" s="1074" t="s">
        <v>18</v>
      </c>
      <c r="B11" s="1074"/>
      <c r="C11" s="442"/>
      <c r="D11" s="1241" t="str">
        <f>HYPERLINK("#'華沙餐廳'!C8","11:45–12:55｜午餐
Podwale 25 Kompania Piwna
主點：Zimne nóżki（豬腳凍）＋Pierogi 分食
"&amp;'訂位與待辦'!F9)</f>
        <v>11:45–12:55｜午餐
Podwale 25 Kompania Piwna
主點：Zimne nóżki（豬腳凍）＋Pierogi 分食
營業待確認</v>
      </c>
      <c r="E11" s="443" t="str">
        <v>12:45–13:15
湖邊 → Belvedere 午餐
步行至 New Orangery，入口由 Parkowa；午市待確認</v>
      </c>
      <c r="F11" s="500" t="str">
        <v>12:50–13:20
前往 Nowy Świat 午餐</v>
      </c>
      <c r="G11" s="987" t="str"/>
      <c r="H11" s="720" t="str">
        <v>11:40–12:30
Vefa → Valens Aqueduct
街區短走＋前往午餐</v>
      </c>
      <c r="I11" s="1241" t="str">
        <f>HYPERLINK("#'伊斯坦堡餐廳'!C17","12:30–13:15｜午餐
MAFish Wrap
Karaköy 烤魚捲
"&amp;'訂位與待辦'!F23)</f>
        <v>12:30–13:15｜午餐
MAFish Wrap
Karaköy 烤魚捲
營業待確認</v>
      </c>
      <c r="J11" s="500" t="str">
        <v>11:10–12:10
Kuzguncuk／Üsküdar → Kadıköy
含交通與候船緩衝</v>
      </c>
      <c r="K11" s="438" t="str">
        <v>11:35–12:20｜候機／午餐暫不另排
指定三家均在市區，不能當作 IST 機場餐廳
若需外帶，前一天先確認指定店供應；不延誤赴機場</v>
      </c>
      <c r="L11" s="1074"/>
    </row>
    <row r="12" ht="95" hidden="0" customHeight="1">
      <c r="A12" s="1074" t="s">
        <v>19</v>
      </c>
      <c r="B12" s="1074"/>
      <c r="C12" s="1241" t="str">
        <f>HYPERLINK("#'華沙餐廳'!C6","13:10–14:00｜午餐
Gdański Bar Mleczny
主點：Gołąbki（肉飯包心菜卷）＋當日湯
"&amp;'訂位與待辦'!F6)</f>
        <v>13:10–14:00｜午餐
Gdański Bar Mleczny
主點：Gołąbki（肉飯包心菜卷）＋當日湯
營業待確認</v>
      </c>
      <c r="D12" s="720" t="str">
        <v>13:00–14:30
Royal Route 深度走
Krakowskie Przedmieście → Nowy Świat</v>
      </c>
      <c r="E12" s="1241" t="str">
        <f>HYPERLINK("#'華沙餐廳'!C13","13:15–14:30｜午餐候選
Restauracja Belvedere（待定）
公園溫室裡吃季節波蘭料理；聖誕午市待確認
"&amp;'訂位與待辦'!F12)</f>
        <v>13:15–14:30｜午餐候選
Restauracja Belvedere（待定）
公園溫室裡吃季節波蘭料理；聖誕午市待確認
營業待確認</v>
      </c>
      <c r="F12" s="1241" t="str">
        <f>HYPERLINK("#'華沙餐廳'!C14","13:20–14:20｜午餐
Restauracja Kameralna
主點：Schabowy（炸豬排）＋Bigos／Mizeria 二選一
"&amp;'訂位與待辦'!F15)</f>
        <v>13:20–14:20｜午餐
Restauracja Kameralna
主點：Schabowy（炸豬排）＋Bigos／Mizeria 二選一
營業待確認</v>
      </c>
      <c r="G12" s="987"/>
      <c r="H12" s="1244" t="str">
        <f>HYPERLINK("#'伊斯坦堡餐廳'!C29","12:40–13:30｜午餐
Dürümcü Mustafa（待定）
Fatih Vezirhan Cd. No:53 暫定店；肉捲各一款
"&amp;'訂位與待辦'!F20)</f>
        <v>12:40–13:30｜午餐
Dürümcü Mustafa（待定）
Fatih Vezirhan Cd. No:53 暫定店；肉捲各一款
營業待確認</v>
      </c>
      <c r="I12" s="442" t="str">
        <v>13:15–13:45
Karaköy → Adam Mickiewicz Museum
交通＋上坡步行</v>
      </c>
      <c r="J12" s="1241" t="str">
        <v>12:10–13:00
Kadıköy 市場後街短走
午餐回 Karaköy 吃指定魚捲，亞洲岸不另排餐廳</v>
      </c>
      <c r="K12" s="987" t="str">
        <v>12:20–13:20｜登機口／貴賓室・候機
最遲按航空公司登機時間前到 Gate。</v>
      </c>
      <c r="L12" s="1074"/>
    </row>
    <row r="13" ht="95" hidden="0" customHeight="1">
      <c r="A13" s="1074" t="s">
        <v>20</v>
      </c>
      <c r="B13" s="1074"/>
      <c r="C13" s="720" t="str">
        <v>14:10–15:00｜可選
Muranów 記憶短走
疲倦就直接回酒店</v>
      </c>
      <c r="D13" s="720" t="str"/>
      <c r="E13" s="721" t="str">
        <v>14:30–15:30
Mokotowska → Plac Zbawiciela 街區</v>
      </c>
      <c r="F13" s="720" t="str">
        <v>14:20–14:50
午餐 → MSN
以市中心新館為準</v>
      </c>
      <c r="G13" s="987"/>
      <c r="H13" s="917" t="str">
        <v>13:30–14:00｜Fatih → Fener
巴士／的士；保留 30 分鐘緩衝。</v>
      </c>
      <c r="I13" s="442" t="str">
        <v>13:45–14:45
Adam Mickiewicz Museum
冬季開放待核；不開改咖啡</v>
      </c>
      <c r="J13" s="720" t="str">
        <v>13:00–14:00
Kadıköy → Karaköy 渡輪
包含候船；停航改陸路，午餐隨抵達時間延後</v>
      </c>
      <c r="K13" s="987" t="str">
        <v>13:55｜EY542　IST → AUH
以電子機票最終時間為準。</v>
      </c>
      <c r="L13" s="1074"/>
    </row>
    <row r="14" ht="95" hidden="0" customHeight="1">
      <c r="A14" s="1074" t="s">
        <v>21</v>
      </c>
      <c r="B14" s="1074"/>
      <c r="C14" s="984" t="str">
        <v>15:00–16:45
PURO 入住・休息</v>
      </c>
      <c r="D14" s="442" t="str">
        <v>14:30–15:15
Saxon Garden＋Tomb of Unknown Soldier</v>
      </c>
      <c r="E14" s="720" t="str">
        <v>15:30–16:30
Plac Zbawiciela → Plac Konstytucji 城市散步</v>
      </c>
      <c r="F14" s="442" t="str">
        <v>14:50–16:20
Museum of Modern Art
Marszałkowska 103</v>
      </c>
      <c r="G14" s="987"/>
      <c r="H14" s="442" t="str">
        <v>14:00–14:50｜Bulgarian St. Stephen Church＋Patriarchate 周邊
金角灣鐵教堂＋希臘正教歷史，不以彩色屋打卡為主。</v>
      </c>
      <c r="I14" s="500" t="str">
        <v>14:45–15:15
前往 Şişhane／Galata
至少留 30 分鐘交通</v>
      </c>
      <c r="J14" s="720" t="str">
        <f>HYPERLINK("#'伊斯坦堡餐廳'!C17","14:00–14:45｜較晚午餐
MAFish Wrap
回歐洲岸吃烤魚捲；按渡輪抵達微調
"&amp;'訂位與待辦'!F26)</f>
        <v>14:00–14:45｜較晚午餐
MAFish Wrap
回歐洲岸吃烤魚捲；按渡輪抵達微調
營業待確認</v>
      </c>
      <c r="K14" s="987"/>
      <c r="L14" s="1074"/>
    </row>
    <row r="15" ht="95" hidden="0" customHeight="1">
      <c r="A15" s="1074" t="s">
        <v>22</v>
      </c>
      <c r="B15" s="985" t="s">
        <v>23</v>
      </c>
      <c r="C15" s="720" t="str">
        <v>16:45–17:15
酒店休息／晚餐前準備</v>
      </c>
      <c r="D15" s="442" t="str">
        <v>15:15–17:10
回酒店短休／換衣；16:15–17:00 可選皇家大道燈飾
依體力縮短，17:10 離開前往晚餐</v>
      </c>
      <c r="E15" s="1059" t="str">
        <v>16:30–17:15｜可選
咖啡暖身／酒店休息
只去已確認開門的店</v>
      </c>
      <c r="F15" s="500" t="str"/>
      <c r="G15" s="987"/>
      <c r="H15" s="1071" t="str">
        <v>14:50–15:50｜Fener 上坡小眾路線
Church of St. Mary of the Mongols 周邊 → 老希臘學校外觀 → 陡坡住宅巷。</v>
      </c>
      <c r="I15" s="442" t="str">
        <v>15:15–16:00｜備選
Galata Mevlevi Lodge（開放待確認）
不開則咖啡暖身／側巷散步</v>
      </c>
      <c r="J15" s="500" t="str">
        <v>14:45–16:00
回酒店／Karaköy 短走
Moda 本日取消，保留渡輪與午餐時間</v>
      </c>
      <c r="K15" s="987"/>
      <c r="L15" s="1074"/>
    </row>
    <row r="16" ht="95" hidden="0" customHeight="1">
      <c r="A16" s="1074" t="s">
        <v>24</v>
      </c>
      <c r="B16" s="438" t="s">
        <v>25</v>
      </c>
      <c r="C16" s="918" t="str">
        <v>17:15–18:00
前往 Stary Dom
交通及冬季緩衝</v>
      </c>
      <c r="D16" s="1241" t="str">
        <v>17:10–17:45
前往 NUTA（待定）・Plac Trzech Krzyży 10/14
預留冬天交通及準時入席時間</v>
      </c>
      <c r="E16" s="399" t="str">
        <v>17:15–17:45
前往 Floor No.2（待定）（Warsaw Presidential Hotel）
Aleje Jerozolimskie 65/79；預留入席時間</v>
      </c>
      <c r="F16" s="720" t="str">
        <v>16:20–17:45
MSN → 酒店短休或市中心散步 → U Wieniawy
晚餐留在市中心；依訂位時間準時抵達</v>
      </c>
      <c r="G16" s="985" t="s">
        <v>26</v>
      </c>
      <c r="H16" s="720" t="str">
        <v>15:50–16:50｜可選
Fener → Balat → Golden Horn
上坡／天雨可縮短</v>
      </c>
      <c r="I16" s="720" t="str">
        <v>16:00–17:00
Arap Mosque＋Perşembe Pazarı
依體力短走，17:00 出發去晚餐</v>
      </c>
      <c r="J16" s="918" t="str">
        <v>16:00–17:15｜回酒店短休・整理購物／行李</v>
      </c>
      <c r="K16" s="987"/>
      <c r="L16" s="1074"/>
    </row>
    <row r="17" ht="95" hidden="0" customHeight="1">
      <c r="A17" s="1074" t="s">
        <v>27</v>
      </c>
      <c r="B17" s="438"/>
      <c r="C17" s="1241" t="str">
        <f>HYPERLINK("#'華沙餐廳'!C7","18:00–19:30｜晚餐
Stary Dom
主點：Żurek（酸黑麥湯）＋烤鴨共享
"&amp;'訂位與待辦'!F7)</f>
        <v>18:00–19:30｜晚餐
Stary Dom
主點：Żurek（酸黑麥湯）＋烤鴨共享
待訂位</v>
      </c>
      <c r="D17" s="438" t="str">
        <f>HYPERLINK("#'華沙餐廳'!C9","18:00–21:00｜平安夜晚餐候選
NUTA（待定）
兩人品嚐套餐；節日營業／菜單待確認
"&amp;'訂位與待辦'!F10)</f>
        <v>18:00–21:00｜平安夜晚餐候選
NUTA（待定）
兩人品嚐套餐；節日營業／菜單待確認
營業待確認</v>
      </c>
      <c r="E17" s="1241" t="str">
        <f>HYPERLINK("#'華沙餐廳'!C12","18:00–20:00｜聖誕晚餐候選
Floor No.2（待定）
2026 聖誕 buffet 已公布；18:00 入席待確認
"&amp;'訂位與待辦'!F13)</f>
        <v>18:00–20:00｜聖誕晚餐候選
Floor No.2（待定）
2026 聖誕 buffet 已公布；18:00 入席待確認
活動已公布・未訂位</v>
      </c>
      <c r="F17" s="1241" t="str">
        <f>HYPERLINK("#'華沙餐廳'!C17","18:00–19:30｜晚餐候選
Restauracja U Wieniawy
華沙式牛肚湯＋一款主菜；12/26 營業待確認
"&amp;'訂位與待辦'!F16)</f>
        <v>18:00–19:30｜晚餐候選
Restauracja U Wieniawy
華沙式牛肚湯＋一款主菜；12/26 營業待確認
營業待確認</v>
      </c>
      <c r="G17" s="985" t="str"/>
      <c r="H17" s="401" t="str">
        <v>16:50–18:00
Fener／Balat → Karaköy；可先回酒店短休
晚餐前保留體力</v>
      </c>
      <c r="I17" s="911" t="str">
        <v>17:00–17:40
Galata／Karaköy → Fatih Vezirhan 街
前往 Raif Usta，晚餐不拖到關門才到</v>
      </c>
      <c r="J17" s="1072" t="str">
        <v>17:00–17:40
Karaköy → Fatih Vezirhan 街
預留交通，17:45 前到晚餐</v>
      </c>
      <c r="K17" s="987"/>
      <c r="L17" s="1074"/>
    </row>
    <row r="18" ht="95" hidden="0" customHeight="1">
      <c r="A18" s="1074" t="s">
        <v>28</v>
      </c>
      <c r="B18" s="987" t="s">
        <v>29</v>
      </c>
      <c r="C18" s="984" t="str">
        <v>19:30–20:15
回 PURO・休息</v>
      </c>
      <c r="D18" s="443"/>
      <c r="E18" s="443"/>
      <c r="F18" s="720" t="str">
        <v>19:30–20:00
市中心短走或直接回 PURO</v>
      </c>
      <c r="G18" s="985"/>
      <c r="H18" s="1241" t="str">
        <f>HYPERLINK("#'伊斯坦堡餐廳'!C17","18:15–19:15｜晚餐
MAFish Wrap
烤魚捲；營業與實際分店待核
"&amp;'訂位與待辦'!F21)</f>
        <v>18:15–19:15｜晚餐
MAFish Wrap
烤魚捲；營業與實際分店待核
營業待確認</v>
      </c>
      <c r="I18" s="1241" t="str">
        <f>HYPERLINK("#'伊斯坦堡餐廳'!C18","17:45–18:30｜晚餐
Dürümcü Raif Usta
肉捲各一款；約 19:30 關門資料須再核
"&amp;'訂位與待辦'!F24)</f>
        <v>17:45–18:30｜晚餐
Dürümcü Raif Usta
肉捲各一款；約 19:30 關門資料須再核
營業待確認</v>
      </c>
      <c r="J18" s="1241" t="str">
        <f>HYPERLINK("#'伊斯坦堡餐廳'!C29","17:45–18:45｜晚餐
Dürümcü Mustafa（待定）
同一暫定 Vezirhan 分店；核對最後點餐
"&amp;'訂位與待辦'!F27)</f>
        <v>17:45–18:45｜晚餐
Dürümcü Mustafa（待定）
同一暫定 Vezirhan 分店；核對最後點餐
營業待確認</v>
      </c>
      <c r="K18" s="987" t="s">
        <v>30</v>
      </c>
      <c r="L18" s="1074"/>
    </row>
    <row r="19" ht="95" hidden="0" customHeight="1">
      <c r="A19" s="1074" t="s">
        <v>31</v>
      </c>
      <c r="B19" s="987"/>
      <c r="C19" s="1074" t="str"/>
      <c r="D19" s="442" t="str">
        <v>21:00–21:30
回 PURO 休息；晚餐後不再安排長段夜拍</v>
      </c>
      <c r="E19" s="442" t="str">
        <v>20:00–20:45｜可選
市中心短走或直接回 PURO
Old Town 夜景另日已安排，今晚不勉強折返</v>
      </c>
      <c r="F19" s="1074" t="str">
        <v>20:00–20:30
回 PURO・收拾行李</v>
      </c>
      <c r="G19" s="985"/>
      <c r="H19" s="720" t="str">
        <v>19:15–20:30｜可選
Karaköy／Galata 河岸短走；體力夠才上坡</v>
      </c>
      <c r="I19" s="1081" t="str">
        <v>18:30–20:00｜可選
Fatih → Beyoğlu／Pera 側巷散步
想休息便直接回酒店</v>
      </c>
      <c r="J19" s="720" t="str">
        <v>18:45–20:15
Fatih → Karaköy；可選河岸短走
最後一晚優先整理行李</v>
      </c>
      <c r="K19" s="987"/>
      <c r="L19" s="1074"/>
    </row>
    <row r="20" ht="95" hidden="0" customHeight="1">
      <c r="A20" s="1074" t="s">
        <v>32</v>
      </c>
      <c r="B20" s="987"/>
      <c r="C20" s="1074"/>
      <c r="D20" s="1074"/>
      <c r="E20" s="1074"/>
      <c r="F20" s="1074"/>
      <c r="G20" s="1244" t="str">
        <f>HYPERLINK("#'伊斯坦堡餐廳'!C17","21:10–22:00｜抵埗晚餐
MAFish Wrap
主點：Balık／Uskumru dürüm 二選一
"&amp;'訂位與待辦'!F18)</f>
        <v>21:10–22:00｜抵埗晚餐
MAFish Wrap
主點：Balık／Uskumru dürüm 二選一
營業待確認</v>
      </c>
      <c r="H20" s="917" t="str">
        <v>20:45–21:15｜回 10 Karaköy・休息</v>
      </c>
      <c r="I20" s="911" t="str">
        <v>20:45–21:30｜Tünel／Galata → Karaköy 慢慢回酒店</v>
      </c>
      <c r="J20" s="986" t="str">
        <v>20:15–21:00｜回酒店・整理行李</v>
      </c>
      <c r="K20" s="987"/>
      <c r="L20" s="1074"/>
    </row>
    <row r="21" ht="34" hidden="0" customHeight="1">
      <c r="A21" s="1074" t="s">
        <v>33</v>
      </c>
      <c r="B21" s="987"/>
      <c r="C21" s="1074"/>
      <c r="D21" s="1074"/>
      <c r="E21" s="1074"/>
      <c r="F21" s="1074"/>
      <c r="G21" s="1074"/>
      <c r="H21" s="1074"/>
      <c r="I21" s="1074"/>
      <c r="J21" s="1074"/>
      <c r="K21" s="987"/>
      <c r="L21" s="1074"/>
    </row>
    <row r="22" ht="76" hidden="0" customHeight="1">
      <c r="A22" s="1073" t="s">
        <v>34</v>
      </c>
      <c r="B22" s="1073" t="s">
        <v>35</v>
      </c>
      <c r="C22" s="1073" t="s">
        <v>36</v>
      </c>
      <c r="D22" s="1073"/>
      <c r="E22" s="1073"/>
      <c r="F22" s="1073"/>
      <c r="G22" s="1073"/>
      <c r="H22" s="1073"/>
      <c r="I22" s="1073"/>
      <c r="J22" s="1073"/>
      <c r="K22" s="1073" t="s">
        <v>37</v>
      </c>
      <c r="L22" s="1073" t="str">
        <v>AUH–HKG 航班／日期／到達時間待補
以完整電子機票為準</v>
      </c>
    </row>
    <row r="23" ht="76" hidden="0" customHeight="1">
      <c r="A23" s="1073"/>
      <c r="B23" s="1073"/>
      <c r="C23" s="1073"/>
      <c r="D23" s="1073"/>
      <c r="E23" s="1073"/>
      <c r="F23" s="1073"/>
      <c r="G23" s="1073"/>
      <c r="H23" s="1073"/>
      <c r="I23" s="1073"/>
      <c r="J23" s="1073"/>
      <c r="K23" s="1073"/>
      <c r="L23" s="1073"/>
    </row>
    <row r="24" ht="76" hidden="0" customHeight="1">
      <c r="A24" s="1082" t="s">
        <v>38</v>
      </c>
      <c r="B24" s="1073" t="s">
        <v>39</v>
      </c>
      <c r="C24" s="1073" t="s">
        <v>40</v>
      </c>
      <c r="D24" s="1073" t="s">
        <v>40</v>
      </c>
      <c r="E24" s="1073" t="s">
        <v>40</v>
      </c>
      <c r="F24" s="1073" t="s">
        <v>40</v>
      </c>
      <c r="G24" s="1073" t="s">
        <v>41</v>
      </c>
      <c r="H24" s="1073" t="s">
        <v>41</v>
      </c>
      <c r="I24" s="1073" t="s">
        <v>41</v>
      </c>
      <c r="J24" s="1073" t="s">
        <v>41</v>
      </c>
      <c r="K24" s="1073" t="s">
        <v>39</v>
      </c>
      <c r="L24" s="1073" t="s">
        <v>6</v>
      </c>
    </row>
    <row r="25" ht="76" hidden="0" customHeight="1">
      <c r="A25" s="1082" t="s">
        <v>42</v>
      </c>
      <c r="B25" s="1073" t="s">
        <v>43</v>
      </c>
      <c r="C25" s="1073" t="s">
        <v>44</v>
      </c>
      <c r="D25" s="1073" t="s">
        <v>45</v>
      </c>
      <c r="E25" s="1073" t="s">
        <v>46</v>
      </c>
      <c r="F25" s="1073" t="s">
        <v>47</v>
      </c>
      <c r="G25" s="1073" t="s">
        <v>48</v>
      </c>
      <c r="H25" s="1073" t="s">
        <v>49</v>
      </c>
      <c r="I25" s="1073" t="s">
        <v>50</v>
      </c>
      <c r="J25" s="1073" t="s">
        <v>51</v>
      </c>
      <c r="K25" s="1073" t="s">
        <v>52</v>
      </c>
      <c r="L25" s="1073" t="str">
        <v>返港航班與到達時間待補</v>
      </c>
    </row>
    <row r="26" ht="76" hidden="0" customHeight="1">
      <c r="A26" s="1082" t="s">
        <v>53</v>
      </c>
      <c r="B26" s="1073" t="s">
        <v>54</v>
      </c>
      <c r="C26" s="1073" t="s">
        <v>55</v>
      </c>
      <c r="D26" s="1073" t="s">
        <v>55</v>
      </c>
      <c r="E26" s="1073" t="s">
        <v>55</v>
      </c>
      <c r="F26" s="1073" t="s">
        <v>55</v>
      </c>
      <c r="G26" s="1073" t="s">
        <v>56</v>
      </c>
      <c r="H26" s="1073" t="s">
        <v>57</v>
      </c>
      <c r="I26" s="1073" t="s">
        <v>57</v>
      </c>
      <c r="J26" s="1073" t="s">
        <v>57</v>
      </c>
      <c r="K26" s="1073" t="s">
        <v>58</v>
      </c>
      <c r="L26" s="1073" t="s">
        <v>59</v>
      </c>
    </row>
    <row r="27" ht="76" hidden="0" customHeight="1">
      <c r="A27" s="1082" t="s">
        <v>60</v>
      </c>
      <c r="B27" s="1073" t="str">
        <v>香港時間；航班權益按出票內容</v>
      </c>
      <c r="C27" s="1073" t="str">
        <v>POLIN 優先；晚餐 Stary Dom 待訂位。落機日館外散步按體力刪減。</v>
      </c>
      <c r="D27" s="1073" t="str">
        <v>NUTA（待定） 改為 18:00 入席、預留 3 小時；12/24 是否供餐與節日價格待確認。燈飾移到晚餐前，可依體力取消。</v>
      </c>
      <c r="E27" s="1073" t="str">
        <v>12/25 早餐與 Belvedere 午市待確認；Floor No.2（待定） 官網已有 2026 聖誕供餐公告，18:00 入席與訂位仍待確認。</v>
      </c>
      <c r="F27" s="1073" t="str">
        <v>早餐換到老城；城堡票券待核，MSN 原週六時段另核。U Wieniawy 改排今晚，12/26 同屬假日，必須確認供餐。</v>
      </c>
      <c r="G27" s="1073" t="str">
        <v>早餐外食後去 WAW；Karaköy 晚餐需看航班實際落地。</v>
      </c>
      <c r="H27" s="1073" t="str">
        <v>早餐 Boris；午餐 Mustafa（Vezirhan 分店暫定）；晚餐 MAFish。科學史博物館／宗教場所冬季開放待核，避開禮拜。</v>
      </c>
      <c r="I27" s="1073" t="str">
        <v>早餐 HASAN FEHMİ；午餐 MAFish；17:45 晚餐 Raif Usta。Yıldız 入館延後 10:00，Mevlevi 仍只作備選。</v>
      </c>
      <c r="J27" s="1073" t="str">
        <v>早餐 Boris；亞洲岸市場後提早渡輪回 Karaköy，14:00 午餐 MAFish；17:45 Mustafa 晚餐。Moda 取消，風雨交通須緩衝。</v>
      </c>
      <c r="K27" s="1073" t="str">
        <v>13:55 EY542 以電子機票核對；目標 10:45 到 IST。完整回港航段仍待補。</v>
      </c>
      <c r="L27" s="1073" t="s">
        <v>61</v>
      </c>
    </row>
    <row r="28" ht="76" hidden="0" customHeight="1">
      <c r="A28" s="1082" t="s">
        <v>62</v>
      </c>
      <c r="B28" s="1083" t="n">
        <f aca="0">'兩人旅費'!G10</f>
        <v>465</v>
      </c>
      <c r="C28" s="1083" t="n">
        <f aca="0">'兩人旅費'!G11</f>
        <v>3422.75</v>
      </c>
      <c r="D28" s="1083" t="n">
        <f aca="0">'兩人旅費'!G12</f>
        <v>5181.7</v>
      </c>
      <c r="E28" s="1083" t="n">
        <f aca="0">'兩人旅費'!G13</f>
        <v>4779.7</v>
      </c>
      <c r="F28" s="1083" t="n">
        <f aca="0">'兩人旅費'!G14</f>
        <v>3698.25</v>
      </c>
      <c r="G28" s="1083" t="n">
        <f aca="0">'兩人旅費'!G15</f>
        <v>3567</v>
      </c>
      <c r="H28" s="1083" t="n">
        <f aca="0">'兩人旅費'!G16</f>
        <v>4257</v>
      </c>
      <c r="I28" s="1083" t="n">
        <f aca="0">'兩人旅費'!G17</f>
        <v>4037</v>
      </c>
      <c r="J28" s="1083" t="n">
        <f aca="0">'兩人旅費'!G18</f>
        <v>3097</v>
      </c>
      <c r="K28" s="1083" t="n">
        <f aca="0">'兩人旅費'!G19</f>
        <v>1350</v>
      </c>
      <c r="L28" s="1083" t="n">
        <f aca="0">'兩人旅費'!G20</f>
        <v>325</v>
      </c>
    </row>
    <row r="29" ht="76" hidden="0" customHeight="1">
      <c r="A29" s="1082" t="s">
        <v>63</v>
      </c>
      <c r="B29" s="1083" t="n">
        <f aca="0">B28/2</f>
        <v>232.5</v>
      </c>
      <c r="C29" s="1083" t="n">
        <f aca="0">C28/2</f>
        <v>1711.375</v>
      </c>
      <c r="D29" s="1083" t="n">
        <f aca="0">D28/2</f>
        <v>2590.85</v>
      </c>
      <c r="E29" s="1083" t="n">
        <f aca="0">E28/2</f>
        <v>2389.85</v>
      </c>
      <c r="F29" s="1083" t="n">
        <f aca="0">F28/2</f>
        <v>1849.125</v>
      </c>
      <c r="G29" s="1083" t="n">
        <f aca="0">G28/2</f>
        <v>1783.5</v>
      </c>
      <c r="H29" s="1083" t="n">
        <f aca="0">H28/2</f>
        <v>2128.5</v>
      </c>
      <c r="I29" s="1083" t="n">
        <f aca="0">I28/2</f>
        <v>2018.5</v>
      </c>
      <c r="J29" s="1083" t="n">
        <f aca="0">J28/2</f>
        <v>1548.5</v>
      </c>
      <c r="K29" s="1083" t="n">
        <f aca="0">K28/2</f>
        <v>675</v>
      </c>
      <c r="L29" s="1083" t="n">
        <f aca="0">L28/2</f>
        <v>162.5</v>
      </c>
    </row>
    <row r="30" ht="76" hidden="0" customHeight="1">
      <c r="A30" s="1082" t="s">
        <v>64</v>
      </c>
      <c r="B30" s="1073" t="s">
        <v>54</v>
      </c>
      <c r="C30" s="1073" t="str">
        <v>POLIN 外觀＋Ghetto Heroes Monument</v>
      </c>
      <c r="D30" s="1073" t="str">
        <v>Kanonia／Barbican／Royal Route 燈飾</v>
      </c>
      <c r="E30" s="1073" t="str">
        <v>Łazienki 湖岸＋Mokotowska 街景</v>
      </c>
      <c r="F30" s="1073" t="str">
        <v>Royal Castle 室內＋MSN 建築</v>
      </c>
      <c r="G30" s="1073" t="str">
        <v>Lukullus／機場轉場；Karaköy 夜街</v>
      </c>
      <c r="H30" s="1073" t="str">
        <v>科學史館／Valens Aqueduct／鐵教堂／Fener 街巷</v>
      </c>
      <c r="I30" s="1073" t="str">
        <v>Yıldız 宮苑／Arap Mosque／Galata 工匠街</v>
      </c>
      <c r="J30" s="1073" t="str">
        <v>Kuzguncuk 木屋／Moda 海邊／公共渡輪</v>
      </c>
      <c r="K30" s="1073" t="s">
        <v>54</v>
      </c>
      <c r="L30" s="1073" t="s">
        <v>54</v>
      </c>
    </row>
    <row r="31" ht="76" hidden="0" customHeight="1">
      <c r="A31" s="1082" t="s">
        <v>65</v>
      </c>
      <c r="B31" s="1073" t="s">
        <v>66</v>
      </c>
      <c r="C31" s="1073" t="str">
        <v>疲倦：POLIN 後直接回酒店；晚餐保留。</v>
      </c>
      <c r="D31" s="1073" t="str">
        <v>雨雪：老城路線縮短，保留已確認開門的咖啡／晚餐；不要臨時塞關門博物館。</v>
      </c>
      <c r="E31" s="1073" t="str">
        <v>大雪：Łazienki 縮短，改市中心咖啡＋室內可開店家；晚餐先電話確認。</v>
      </c>
      <c r="F31" s="1073" t="str">
        <v>Royal Castle＋MSN 都是主要室內備案；兩者之間減少步行。</v>
      </c>
      <c r="G31" s="1073" t="s">
        <v>66</v>
      </c>
      <c r="H31" s="1073" t="str">
        <v>雨／疲倦：保留科學史馆與已確認午晚餐；Fener 上坡路線縮短，不回填已去過的大景點。</v>
      </c>
      <c r="I31" s="1073" t="str">
        <v>雨／疲倦：保留 Yıldız、Mickiewicz（開放待核）；Mevlevi 未確認則咖啡暖身。Arap／側巷可省略。</v>
      </c>
      <c r="J31" s="1073" t="str">
        <v>雨／強風：取消 Fethi Paşa、縮短 Moda；Kadıköy 市場＋室內咖啡，渡輪停航改陸路回酒店。</v>
      </c>
      <c r="K31" s="1073" t="s">
        <v>66</v>
      </c>
      <c r="L31" s="1073" t="s">
        <v>66</v>
      </c>
    </row>
    <row r="32" ht="34" hidden="0" customHeight="1">
      <c r="A32" s="1073"/>
      <c r="B32" s="1073"/>
      <c r="C32" s="1073"/>
      <c r="D32" s="1073"/>
      <c r="E32" s="1073"/>
      <c r="F32" s="1073"/>
      <c r="G32" s="1073"/>
      <c r="H32" s="1073"/>
      <c r="I32" s="1073"/>
      <c r="J32" s="1073"/>
      <c r="K32" s="1073"/>
      <c r="L32" s="1073"/>
    </row>
    <row r="33" ht="33" hidden="0" customHeight="1">
      <c r="A33" s="1084" t="str">
        <v>更新：2026-09-30｜新版行程已同步；原有詳細介紹保留在各詳情頁。</v>
      </c>
      <c r="B33" s="1084"/>
      <c r="C33" s="1084"/>
      <c r="D33" s="1084"/>
      <c r="E33" s="1084"/>
      <c r="F33" s="1084"/>
      <c r="G33" s="1084"/>
      <c r="H33" s="1084"/>
      <c r="I33" s="1084"/>
      <c r="J33" s="1084"/>
      <c r="K33" s="1084"/>
      <c r="L33" s="1084"/>
    </row>
    <row r="34" ht="33" hidden="0" customHeight="1">
      <c r="A34" s="1073" t="str">
        <v>左欄為原時間索引，實際出發／停留時間以格內標示為準；可選項不必全部完成。</v>
      </c>
      <c r="B34" s="1073"/>
      <c r="C34" s="1073"/>
      <c r="D34" s="1073"/>
      <c r="E34" s="1073"/>
      <c r="F34" s="1073"/>
      <c r="G34" s="1073"/>
      <c r="H34" s="1073"/>
      <c r="I34" s="1073"/>
      <c r="J34" s="1073"/>
      <c r="K34" s="1073"/>
      <c r="L34" s="1073"/>
    </row>
    <row r="35" ht="33" hidden="0" customHeight="1">
      <c r="A35" s="1073" t="str">
        <v>每日格只留時間、地點、核心點法及待辦狀態。點格內店名可跳詳情；完整菜色、照片及來源在詳情頁。</v>
      </c>
      <c r="B35" s="1073"/>
      <c r="C35" s="1073"/>
      <c r="D35" s="1073"/>
      <c r="E35" s="1073"/>
      <c r="F35" s="1073"/>
      <c r="G35" s="1073"/>
      <c r="H35" s="1073"/>
      <c r="I35" s="1073"/>
      <c r="J35" s="1073"/>
      <c r="K35" s="1073"/>
      <c r="L35" s="1073"/>
    </row>
    <row r="36" ht="33" hidden="0" customHeight="1">
      <c r="A36" s="1085" t="str">
        <v>主選／備選狀態統一更新「訂位與待辦」；未取得店家或票券證據不標已確認。照片直接嵌入，不以其他餐廳代替。</v>
      </c>
      <c r="B36" s="1085"/>
      <c r="C36" s="1085"/>
      <c r="D36" s="1085"/>
      <c r="E36" s="1085"/>
      <c r="F36" s="1085"/>
      <c r="G36" s="1085"/>
      <c r="H36" s="1085"/>
      <c r="I36" s="1085"/>
      <c r="J36" s="1085"/>
      <c r="K36" s="1085"/>
      <c r="L36" s="1085"/>
    </row>
    <row r="37" ht="33" hidden="0" customHeight="1">
      <c r="A37" s="502" t="str">
        <v>華沙：MSN 官網目前列 2026/12/24–25 關、週六 11–19。城堡／POLIN 購票前再核對；聖誕三餐均待店家確認。</v>
      </c>
      <c r="B37" s="502"/>
      <c r="C37" s="502"/>
      <c r="D37" s="502"/>
      <c r="E37" s="502"/>
      <c r="F37" s="502"/>
      <c r="G37" s="502"/>
      <c r="H37" s="502"/>
      <c r="I37" s="502"/>
      <c r="J37" s="502"/>
      <c r="K37" s="502"/>
      <c r="L37" s="502"/>
    </row>
    <row r="38" ht="33" hidden="0" customHeight="1">
      <c r="A38" s="502" t="str">
        <v>伊斯坦堡：第二次旅行以科學史、Vefa／Fener、Yıldız、波蘭文學與亞洲岸為主；Mevlevi 因開放資訊衝突只作備選。</v>
      </c>
      <c r="B38" s="502"/>
      <c r="C38" s="502"/>
      <c r="D38" s="502"/>
      <c r="E38" s="502"/>
      <c r="F38" s="502"/>
      <c r="G38" s="502"/>
      <c r="H38" s="502"/>
      <c r="I38" s="502"/>
      <c r="J38" s="502"/>
      <c r="K38" s="502"/>
      <c r="L38" s="502"/>
    </row>
    <row r="39" ht="33" hidden="0" customHeight="1">
      <c r="A39" s="502" t="str">
        <v>旅費：預算與實支分開。逐筆支出含付款人與共同／個人類別，旅費總表自動彙總；機票不計。</v>
      </c>
      <c r="B39" s="502"/>
      <c r="C39" s="502"/>
      <c r="D39" s="502"/>
      <c r="E39" s="502"/>
      <c r="F39" s="502"/>
      <c r="G39" s="502"/>
      <c r="H39" s="502"/>
      <c r="I39" s="502"/>
      <c r="J39" s="502"/>
      <c r="K39" s="502"/>
      <c r="L39" s="502"/>
    </row>
    <row r="40" ht="33" hidden="0" customHeight="1">
      <c r="A40" s="21" t="str">
        <f>HYPERLINK("#'訂位與待辦'!A1","查看訂位與待辦")</f>
        <v>查看訂位與待辦</v>
      </c>
      <c r="B40" s="21" t="str">
        <f>HYPERLINK("#'支出明細'!A1","填寫逐筆支出")</f>
        <v>填寫逐筆支出</v>
      </c>
      <c r="C40" s="21" t="str">
        <f>HYPERLINK("#'兩人旅費'!A1","查看旅費")</f>
        <v>查看旅費</v>
      </c>
      <c r="D40" s="21"/>
      <c r="E40" s="21"/>
      <c r="F40" s="21"/>
      <c r="G40" s="21"/>
      <c r="H40" s="21"/>
      <c r="I40" s="21"/>
      <c r="J40" s="21"/>
      <c r="K40" s="21"/>
      <c r="L40" s="21"/>
    </row>
    <row r="41" ht="46" hidden="0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</row>
    <row r="42" ht="46" hidden="0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</row>
    <row r="43" ht="15" hidden="0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</row>
    <row r="44" ht="36" hidden="0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</row>
    <row r="45" ht="28" hidden="0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</row>
    <row r="46" ht="72" hidden="0" customHeight="1">
      <c r="A46" s="27"/>
      <c r="B46" s="28"/>
      <c r="C46" s="28"/>
      <c r="D46" s="29"/>
      <c r="E46" s="21"/>
      <c r="F46" s="21"/>
      <c r="G46" s="21"/>
      <c r="H46" s="21"/>
      <c r="I46" s="21"/>
      <c r="J46" s="21"/>
      <c r="K46" s="21"/>
      <c r="L46" s="21"/>
    </row>
    <row r="47" ht="72" hidden="0" customHeight="1">
      <c r="A47" s="30"/>
      <c r="B47" s="31"/>
      <c r="C47" s="31"/>
      <c r="D47" s="32"/>
      <c r="E47" s="21"/>
      <c r="F47" s="21"/>
      <c r="G47" s="21"/>
      <c r="H47" s="21"/>
      <c r="I47" s="21"/>
      <c r="J47" s="21"/>
      <c r="K47" s="21"/>
      <c r="L47" s="21"/>
    </row>
    <row r="48" ht="72" hidden="0" customHeight="1">
      <c r="A48" s="33"/>
      <c r="B48" s="34"/>
      <c r="C48" s="34"/>
      <c r="D48" s="35"/>
      <c r="E48" s="22"/>
      <c r="F48" s="22"/>
      <c r="G48" s="21"/>
      <c r="H48" s="21"/>
      <c r="I48" s="21"/>
      <c r="J48" s="21"/>
      <c r="K48" s="21"/>
      <c r="L48" s="21"/>
    </row>
    <row r="49" ht="72" hidden="0" customHeight="1">
      <c r="A49" s="27"/>
      <c r="B49" s="28"/>
      <c r="C49" s="28"/>
      <c r="D49" s="36"/>
      <c r="E49" s="21"/>
      <c r="F49" s="21"/>
      <c r="G49" s="21"/>
      <c r="H49" s="21"/>
      <c r="I49" s="21"/>
      <c r="J49" s="21"/>
      <c r="K49" s="21"/>
      <c r="L49" s="21"/>
    </row>
    <row r="50" ht="72" hidden="0" customHeight="1">
      <c r="A50" s="33"/>
      <c r="B50" s="34"/>
      <c r="C50" s="34"/>
      <c r="D50" s="35"/>
      <c r="E50" s="22"/>
      <c r="F50" s="22"/>
      <c r="G50" s="21"/>
      <c r="H50" s="21"/>
      <c r="I50" s="21"/>
      <c r="J50" s="21"/>
      <c r="K50" s="21"/>
      <c r="L50" s="21"/>
    </row>
    <row r="51" ht="72" hidden="0" customHeight="1">
      <c r="A51" s="27"/>
      <c r="B51" s="28"/>
      <c r="C51" s="28"/>
      <c r="D51" s="29"/>
      <c r="E51" s="22"/>
      <c r="F51" s="22"/>
      <c r="G51" s="22"/>
      <c r="H51" s="22"/>
      <c r="I51" s="22"/>
      <c r="J51" s="22"/>
      <c r="K51" s="21"/>
      <c r="L51" s="21"/>
    </row>
    <row r="52" ht="72" hidden="0" customHeight="1">
      <c r="A52" s="27"/>
      <c r="B52" s="28"/>
      <c r="C52" s="28"/>
      <c r="D52" s="29"/>
      <c r="E52" s="21"/>
      <c r="F52" s="21"/>
      <c r="G52" s="21"/>
      <c r="H52" s="21"/>
      <c r="I52" s="22"/>
      <c r="J52" s="22"/>
      <c r="K52" s="21"/>
      <c r="L52" s="21"/>
    </row>
    <row r="53" ht="128" hidden="0" customHeight="1">
      <c r="A53" s="30"/>
      <c r="B53" s="31"/>
      <c r="C53" s="31"/>
      <c r="D53" s="32"/>
      <c r="E53" s="32"/>
      <c r="F53" s="32"/>
      <c r="G53" s="37"/>
      <c r="H53" s="37"/>
      <c r="I53" s="32"/>
      <c r="J53" s="32"/>
      <c r="K53" s="32"/>
      <c r="L53" s="32"/>
    </row>
    <row r="54" ht="72" hidden="0" customHeight="1">
      <c r="A54" s="38"/>
      <c r="B54" s="39"/>
      <c r="C54" s="39"/>
      <c r="D54" s="40"/>
      <c r="E54" s="40"/>
      <c r="F54" s="40"/>
      <c r="G54" s="40"/>
      <c r="H54" s="40"/>
      <c r="I54" s="40"/>
      <c r="J54" s="40"/>
      <c r="K54" s="41"/>
      <c r="L54" s="41"/>
    </row>
    <row r="55" ht="72" hidden="0" customHeight="1">
      <c r="A55" s="38"/>
      <c r="B55" s="39"/>
      <c r="C55" s="39"/>
      <c r="D55" s="41"/>
      <c r="E55" s="40"/>
      <c r="F55" s="40"/>
      <c r="G55" s="40"/>
      <c r="H55" s="40"/>
      <c r="I55" s="40"/>
      <c r="J55" s="40"/>
      <c r="K55" s="40"/>
      <c r="L55" s="40"/>
    </row>
    <row r="56" ht="160" hidden="0" customHeight="1">
      <c r="A56" s="30"/>
      <c r="B56" s="31"/>
      <c r="C56" s="31"/>
      <c r="D56" s="42"/>
      <c r="E56" s="42"/>
      <c r="F56" s="42"/>
      <c r="G56" s="42"/>
      <c r="H56" s="42"/>
      <c r="I56" s="42"/>
      <c r="J56" s="42"/>
      <c r="K56" s="42"/>
      <c r="L56" s="42"/>
    </row>
    <row r="57" ht="72" hidden="0" customHeight="1">
      <c r="A57" s="43"/>
      <c r="B57" s="44"/>
      <c r="C57" s="44"/>
      <c r="D57" s="45"/>
      <c r="E57" s="21"/>
      <c r="F57" s="21"/>
      <c r="G57" s="22"/>
      <c r="H57" s="22"/>
      <c r="I57" s="21"/>
      <c r="J57" s="21"/>
      <c r="K57" s="21"/>
      <c r="L57" s="21"/>
    </row>
    <row r="58" ht="72" hidden="0" customHeight="1">
      <c r="A58" s="30"/>
      <c r="B58" s="31"/>
      <c r="C58" s="31"/>
      <c r="D58" s="32"/>
      <c r="E58" s="21"/>
      <c r="F58" s="21"/>
      <c r="G58" s="21"/>
      <c r="H58" s="21"/>
      <c r="I58" s="22"/>
      <c r="J58" s="22"/>
      <c r="K58" s="21"/>
      <c r="L58" s="21"/>
    </row>
    <row r="59" ht="160" hidden="0" customHeight="1">
      <c r="A59" s="30"/>
      <c r="B59" s="31"/>
      <c r="C59" s="31"/>
      <c r="D59" s="42"/>
      <c r="E59" s="42"/>
      <c r="F59" s="42"/>
      <c r="G59" s="42"/>
      <c r="H59" s="42"/>
      <c r="I59" s="42"/>
      <c r="J59" s="42"/>
      <c r="K59" s="42"/>
      <c r="L59" s="42"/>
    </row>
    <row r="60" ht="72" hidden="0" customHeight="1">
      <c r="A60" s="43"/>
      <c r="B60" s="44"/>
      <c r="C60" s="44"/>
      <c r="D60" s="45"/>
      <c r="E60" s="21"/>
      <c r="F60" s="21"/>
      <c r="G60" s="22"/>
      <c r="H60" s="22"/>
      <c r="I60" s="21"/>
      <c r="J60" s="21"/>
      <c r="K60" s="21"/>
      <c r="L60" s="21"/>
    </row>
    <row r="61" ht="128" hidden="0" customHeight="1">
      <c r="A61" s="30"/>
      <c r="B61" s="31"/>
      <c r="C61" s="31"/>
      <c r="D61" s="32"/>
      <c r="E61" s="32"/>
      <c r="F61" s="32"/>
      <c r="G61" s="37"/>
      <c r="H61" s="37"/>
      <c r="I61" s="32"/>
      <c r="J61" s="32"/>
      <c r="K61" s="32"/>
      <c r="L61" s="32"/>
    </row>
    <row r="62" ht="72" hidden="0" customHeight="1">
      <c r="A62" s="38"/>
      <c r="B62" s="39"/>
      <c r="C62" s="39"/>
      <c r="D62" s="40"/>
      <c r="E62" s="40"/>
      <c r="F62" s="40"/>
      <c r="G62" s="40"/>
      <c r="H62" s="40"/>
      <c r="I62" s="40"/>
      <c r="J62" s="40"/>
      <c r="K62" s="41"/>
      <c r="L62" s="41"/>
    </row>
    <row r="63" ht="72" hidden="0" customHeight="1">
      <c r="A63" s="30"/>
      <c r="B63" s="31"/>
      <c r="C63" s="31"/>
      <c r="D63" s="32"/>
      <c r="E63" s="21"/>
      <c r="F63" s="21"/>
      <c r="G63" s="21"/>
      <c r="H63" s="21"/>
      <c r="I63" s="21"/>
      <c r="J63" s="21"/>
      <c r="K63" s="21"/>
      <c r="L63" s="21"/>
    </row>
    <row r="64" ht="72" hidden="0" customHeight="1">
      <c r="A64" s="43"/>
      <c r="B64" s="44"/>
      <c r="C64" s="44"/>
      <c r="D64" s="45"/>
      <c r="E64" s="21"/>
      <c r="F64" s="21"/>
      <c r="G64" s="21"/>
      <c r="H64" s="21"/>
      <c r="I64" s="21"/>
      <c r="J64" s="21"/>
      <c r="K64" s="21"/>
      <c r="L64" s="21"/>
    </row>
    <row r="65" ht="72" hidden="0" customHeight="1">
      <c r="A65" s="38"/>
      <c r="B65" s="39"/>
      <c r="C65" s="39"/>
      <c r="D65" s="40"/>
      <c r="E65" s="40"/>
      <c r="F65" s="40"/>
      <c r="G65" s="40"/>
      <c r="H65" s="40"/>
      <c r="I65" s="41"/>
      <c r="J65" s="41"/>
      <c r="K65" s="40"/>
      <c r="L65" s="40"/>
    </row>
    <row r="66" ht="160" hidden="0" customHeight="1">
      <c r="A66" s="30"/>
      <c r="B66" s="31"/>
      <c r="C66" s="31"/>
      <c r="D66" s="42"/>
      <c r="E66" s="42"/>
      <c r="F66" s="42"/>
      <c r="G66" s="42"/>
      <c r="H66" s="42"/>
      <c r="I66" s="42"/>
      <c r="J66" s="42"/>
      <c r="K66" s="42"/>
      <c r="L66" s="42"/>
    </row>
    <row r="67" ht="128" hidden="0" customHeight="1">
      <c r="A67" s="30"/>
      <c r="B67" s="31"/>
      <c r="C67" s="31"/>
      <c r="D67" s="32"/>
      <c r="E67" s="32"/>
      <c r="F67" s="32"/>
      <c r="G67" s="37"/>
      <c r="H67" s="37"/>
      <c r="I67" s="32"/>
      <c r="J67" s="32"/>
      <c r="K67" s="37"/>
      <c r="L67" s="37"/>
    </row>
    <row r="68" ht="72" hidden="0" customHeight="1">
      <c r="A68" s="38"/>
      <c r="B68" s="39"/>
      <c r="C68" s="39"/>
      <c r="D68" s="41"/>
      <c r="E68" s="40"/>
      <c r="F68" s="40"/>
      <c r="G68" s="40"/>
      <c r="H68" s="40"/>
      <c r="I68" s="40"/>
      <c r="J68" s="40"/>
      <c r="K68" s="40"/>
      <c r="L68" s="40"/>
    </row>
    <row r="69" ht="160" hidden="0" customHeight="1">
      <c r="A69" s="30"/>
      <c r="B69" s="31"/>
      <c r="C69" s="31"/>
      <c r="D69" s="42"/>
      <c r="E69" s="42"/>
      <c r="F69" s="42"/>
      <c r="G69" s="42"/>
      <c r="H69" s="42"/>
      <c r="I69" s="42"/>
      <c r="J69" s="42"/>
      <c r="K69" s="42"/>
      <c r="L69" s="42"/>
    </row>
    <row r="70" ht="72" hidden="0" customHeight="1">
      <c r="A70" s="38"/>
      <c r="B70" s="39"/>
      <c r="C70" s="39"/>
      <c r="D70" s="40"/>
      <c r="E70" s="40"/>
      <c r="F70" s="40"/>
      <c r="G70" s="40"/>
      <c r="H70" s="40"/>
      <c r="I70" s="40"/>
      <c r="J70" s="40"/>
      <c r="K70" s="40"/>
      <c r="L70" s="40"/>
    </row>
    <row r="71" ht="72" hidden="0" customHeight="1">
      <c r="A71" s="43"/>
      <c r="B71" s="44"/>
      <c r="C71" s="44"/>
      <c r="D71" s="45"/>
      <c r="E71" s="21"/>
      <c r="F71" s="21"/>
      <c r="G71" s="22"/>
      <c r="H71" s="22"/>
      <c r="I71" s="21"/>
      <c r="J71" s="21"/>
      <c r="K71" s="21"/>
      <c r="L71" s="21"/>
    </row>
    <row r="72" ht="160" hidden="0" customHeight="1">
      <c r="A72" s="30"/>
      <c r="B72" s="31"/>
      <c r="C72" s="31"/>
      <c r="D72" s="42"/>
      <c r="E72" s="42"/>
      <c r="F72" s="42"/>
      <c r="G72" s="42"/>
      <c r="H72" s="42"/>
      <c r="I72" s="42"/>
      <c r="J72" s="42"/>
      <c r="K72" s="42"/>
      <c r="L72" s="42"/>
    </row>
    <row r="73" ht="128" hidden="0" customHeight="1">
      <c r="A73" s="30"/>
      <c r="B73" s="31"/>
      <c r="C73" s="31"/>
      <c r="D73" s="32"/>
      <c r="E73" s="32"/>
      <c r="F73" s="32"/>
      <c r="G73" s="37"/>
      <c r="H73" s="37"/>
      <c r="I73" s="32"/>
      <c r="J73" s="32"/>
      <c r="K73" s="37"/>
      <c r="L73" s="37"/>
    </row>
    <row r="74" ht="72" hidden="0" customHeight="1">
      <c r="A74" s="38"/>
      <c r="B74" s="39"/>
      <c r="C74" s="39"/>
      <c r="D74" s="40"/>
      <c r="E74" s="40"/>
      <c r="F74" s="40"/>
      <c r="G74" s="41"/>
      <c r="H74" s="41"/>
      <c r="I74" s="40"/>
      <c r="J74" s="40"/>
      <c r="K74" s="41"/>
      <c r="L74" s="41"/>
    </row>
    <row r="75" ht="72" hidden="0" customHeight="1">
      <c r="A75" s="38"/>
      <c r="B75" s="39"/>
      <c r="C75" s="39"/>
      <c r="D75" s="40"/>
      <c r="E75" s="41"/>
      <c r="F75" s="41"/>
      <c r="G75" s="41"/>
      <c r="H75" s="41"/>
      <c r="I75" s="40"/>
      <c r="J75" s="40"/>
      <c r="K75" s="40"/>
      <c r="L75" s="40"/>
    </row>
    <row r="76" ht="72" hidden="0" customHeight="1">
      <c r="A76" s="38"/>
      <c r="B76" s="39"/>
      <c r="C76" s="39"/>
      <c r="D76" s="41"/>
      <c r="E76" s="40"/>
      <c r="F76" s="40"/>
      <c r="G76" s="40"/>
      <c r="H76" s="40"/>
      <c r="I76" s="40"/>
      <c r="J76" s="40"/>
      <c r="K76" s="40"/>
      <c r="L76" s="40"/>
    </row>
    <row r="77" ht="160" hidden="0" customHeight="1">
      <c r="A77" s="30"/>
      <c r="B77" s="31"/>
      <c r="C77" s="31"/>
      <c r="D77" s="42"/>
      <c r="E77" s="42"/>
      <c r="F77" s="42"/>
      <c r="G77" s="42"/>
      <c r="H77" s="42"/>
      <c r="I77" s="42"/>
      <c r="J77" s="42"/>
      <c r="K77" s="42"/>
      <c r="L77" s="42"/>
    </row>
    <row r="78" ht="72" hidden="0" customHeight="1">
      <c r="A78" s="43"/>
      <c r="B78" s="44"/>
      <c r="C78" s="44"/>
      <c r="D78" s="45"/>
      <c r="E78" s="21"/>
      <c r="F78" s="21"/>
      <c r="G78" s="22"/>
      <c r="H78" s="22"/>
      <c r="I78" s="21"/>
      <c r="J78" s="21"/>
      <c r="K78" s="22"/>
      <c r="L78" s="22"/>
    </row>
    <row r="79" ht="160" hidden="0" customHeight="1">
      <c r="A79" s="30"/>
      <c r="B79" s="31"/>
      <c r="C79" s="31"/>
      <c r="D79" s="42"/>
      <c r="E79" s="42"/>
      <c r="F79" s="42"/>
      <c r="G79" s="42"/>
      <c r="H79" s="42"/>
      <c r="I79" s="42"/>
      <c r="J79" s="42"/>
      <c r="K79" s="42"/>
      <c r="L79" s="42"/>
    </row>
    <row r="80" ht="160" hidden="0" customHeight="1">
      <c r="A80" s="30"/>
      <c r="B80" s="31"/>
      <c r="C80" s="31"/>
      <c r="D80" s="42"/>
      <c r="E80" s="42"/>
      <c r="F80" s="42"/>
      <c r="G80" s="42"/>
      <c r="H80" s="42"/>
      <c r="I80" s="42"/>
      <c r="J80" s="42"/>
      <c r="K80" s="42"/>
      <c r="L80" s="42"/>
    </row>
    <row r="81" ht="72" hidden="0" customHeight="1">
      <c r="A81" s="43"/>
      <c r="B81" s="44"/>
      <c r="C81" s="44"/>
      <c r="D81" s="45"/>
      <c r="E81" s="21"/>
      <c r="F81" s="21"/>
      <c r="G81" s="22"/>
      <c r="H81" s="22"/>
      <c r="I81" s="21"/>
      <c r="J81" s="21"/>
      <c r="K81" s="22"/>
      <c r="L81" s="22"/>
    </row>
    <row r="82" ht="128" hidden="0" customHeight="1">
      <c r="A82" s="30"/>
      <c r="B82" s="31"/>
      <c r="C82" s="31"/>
      <c r="D82" s="32"/>
      <c r="E82" s="37"/>
      <c r="F82" s="37"/>
      <c r="G82" s="37"/>
      <c r="H82" s="37"/>
      <c r="I82" s="32"/>
      <c r="J82" s="32"/>
      <c r="K82" s="37"/>
      <c r="L82" s="37"/>
    </row>
    <row r="83" ht="72" hidden="0" customHeight="1">
      <c r="A83" s="27"/>
      <c r="B83" s="28"/>
      <c r="C83" s="28"/>
      <c r="D83" s="36"/>
      <c r="E83" s="21"/>
      <c r="F83" s="21"/>
      <c r="G83" s="22"/>
      <c r="H83" s="22"/>
      <c r="I83" s="22"/>
      <c r="J83" s="22"/>
      <c r="K83" s="21"/>
      <c r="L83" s="21"/>
    </row>
    <row r="84" ht="72" hidden="0" customHeight="1">
      <c r="A84" s="30"/>
      <c r="B84" s="31"/>
      <c r="C84" s="31"/>
      <c r="D84" s="37"/>
      <c r="E84" s="21"/>
      <c r="F84" s="21"/>
      <c r="G84" s="21"/>
      <c r="H84" s="21"/>
      <c r="I84" s="21"/>
      <c r="J84" s="21"/>
      <c r="K84" s="21"/>
      <c r="L84" s="21"/>
    </row>
    <row r="85" ht="72" hidden="0" customHeight="1">
      <c r="A85" s="33"/>
      <c r="B85" s="34"/>
      <c r="C85" s="34"/>
      <c r="D85" s="35"/>
      <c r="E85" s="22"/>
      <c r="F85" s="22"/>
      <c r="G85" s="21"/>
      <c r="H85" s="21"/>
      <c r="I85" s="21"/>
      <c r="J85" s="21"/>
      <c r="K85" s="22"/>
      <c r="L85" s="22"/>
    </row>
    <row r="86" ht="72" hidden="0" customHeight="1">
      <c r="A86" s="27"/>
      <c r="B86" s="28"/>
      <c r="C86" s="28"/>
      <c r="D86" s="36"/>
      <c r="E86" s="21"/>
      <c r="F86" s="21"/>
      <c r="G86" s="21"/>
      <c r="H86" s="21"/>
      <c r="I86" s="21"/>
      <c r="J86" s="21"/>
      <c r="K86" s="21"/>
      <c r="L86" s="21"/>
    </row>
    <row r="87" ht="160" hidden="0" customHeight="1">
      <c r="A87" s="30"/>
      <c r="B87" s="31"/>
      <c r="C87" s="31"/>
      <c r="D87" s="42"/>
      <c r="E87" s="42"/>
      <c r="F87" s="42"/>
      <c r="G87" s="42"/>
      <c r="H87" s="42"/>
      <c r="I87" s="42"/>
      <c r="J87" s="42"/>
      <c r="K87" s="42"/>
      <c r="L87" s="42"/>
    </row>
    <row r="88" ht="128" hidden="0" customHeight="1">
      <c r="A88" s="30"/>
      <c r="B88" s="31"/>
      <c r="C88" s="31"/>
      <c r="D88" s="32"/>
      <c r="E88" s="32"/>
      <c r="F88" s="32"/>
      <c r="G88" s="32"/>
      <c r="H88" s="32"/>
      <c r="I88" s="32"/>
      <c r="J88" s="32"/>
      <c r="K88" s="32"/>
      <c r="L88" s="32"/>
    </row>
    <row r="89" ht="72" hidden="0" customHeight="1">
      <c r="A89" s="38"/>
      <c r="B89" s="39"/>
      <c r="C89" s="39"/>
      <c r="D89" s="40"/>
      <c r="E89" s="40"/>
      <c r="F89" s="40"/>
      <c r="G89" s="41"/>
      <c r="H89" s="41"/>
      <c r="I89" s="40"/>
      <c r="J89" s="40"/>
      <c r="K89" s="40"/>
      <c r="L89" s="40"/>
    </row>
    <row r="90" ht="72" hidden="0" customHeight="1">
      <c r="A90" s="38"/>
      <c r="B90" s="39"/>
      <c r="C90" s="39"/>
      <c r="D90" s="40"/>
      <c r="E90" s="40"/>
      <c r="F90" s="40"/>
      <c r="G90" s="40"/>
      <c r="H90" s="40"/>
      <c r="I90" s="40"/>
      <c r="J90" s="40"/>
      <c r="K90" s="40"/>
      <c r="L90" s="40"/>
    </row>
    <row r="91" ht="160" hidden="0" customHeight="1">
      <c r="A91" s="30"/>
      <c r="B91" s="31"/>
      <c r="C91" s="31"/>
      <c r="D91" s="42"/>
      <c r="E91" s="42"/>
      <c r="F91" s="42"/>
      <c r="G91" s="42"/>
      <c r="H91" s="42"/>
      <c r="I91" s="42"/>
      <c r="J91" s="42"/>
      <c r="K91" s="42"/>
      <c r="L91" s="42"/>
    </row>
    <row r="92" ht="72" hidden="0" customHeight="1">
      <c r="A92" s="38"/>
      <c r="B92" s="39"/>
      <c r="C92" s="39"/>
      <c r="D92" s="40"/>
      <c r="E92" s="40"/>
      <c r="F92" s="40"/>
      <c r="G92" s="40"/>
      <c r="H92" s="40"/>
      <c r="I92" s="40"/>
      <c r="J92" s="40"/>
      <c r="K92" s="40"/>
      <c r="L92" s="40"/>
    </row>
    <row r="93" ht="72" hidden="0" customHeight="1">
      <c r="A93" s="38"/>
      <c r="B93" s="39"/>
      <c r="C93" s="39"/>
      <c r="D93" s="41"/>
      <c r="E93" s="40"/>
      <c r="F93" s="40"/>
      <c r="G93" s="40"/>
      <c r="H93" s="40"/>
      <c r="I93" s="40"/>
      <c r="J93" s="40"/>
      <c r="K93" s="40"/>
      <c r="L93" s="40"/>
    </row>
    <row r="94" ht="72" hidden="0" customHeight="1">
      <c r="A94" s="43"/>
      <c r="B94" s="44"/>
      <c r="C94" s="44"/>
      <c r="D94" s="45"/>
      <c r="E94" s="22"/>
      <c r="F94" s="22"/>
      <c r="G94" s="22"/>
      <c r="H94" s="22"/>
      <c r="I94" s="21"/>
      <c r="J94" s="21"/>
      <c r="K94" s="21"/>
      <c r="L94" s="21"/>
    </row>
    <row r="95" ht="160" hidden="0" customHeight="1">
      <c r="A95" s="30"/>
      <c r="B95" s="31"/>
      <c r="C95" s="31"/>
      <c r="D95" s="42"/>
      <c r="E95" s="42"/>
      <c r="F95" s="42"/>
      <c r="G95" s="42"/>
      <c r="H95" s="42"/>
      <c r="I95" s="42"/>
      <c r="J95" s="42"/>
      <c r="K95" s="42"/>
      <c r="L95" s="42"/>
    </row>
    <row r="96" ht="128" hidden="0" customHeight="1">
      <c r="A96" s="30"/>
      <c r="B96" s="31"/>
      <c r="C96" s="31"/>
      <c r="D96" s="32"/>
      <c r="E96" s="32"/>
      <c r="F96" s="32"/>
      <c r="G96" s="32"/>
      <c r="H96" s="32"/>
      <c r="I96" s="32"/>
      <c r="J96" s="32"/>
      <c r="K96" s="37"/>
      <c r="L96" s="37"/>
    </row>
    <row r="97" ht="72" hidden="0" customHeight="1">
      <c r="A97" s="27"/>
      <c r="B97" s="28"/>
      <c r="C97" s="28"/>
      <c r="D97" s="29"/>
      <c r="E97" s="22"/>
      <c r="F97" s="22"/>
      <c r="G97" s="22"/>
      <c r="H97" s="22"/>
      <c r="I97" s="22"/>
      <c r="J97" s="22"/>
      <c r="K97" s="22"/>
      <c r="L97" s="22"/>
    </row>
    <row r="98" ht="72" hidden="0" customHeight="1">
      <c r="A98" s="38"/>
      <c r="B98" s="39"/>
      <c r="C98" s="39"/>
      <c r="D98" s="40"/>
      <c r="E98" s="40"/>
      <c r="F98" s="40"/>
      <c r="G98" s="40"/>
      <c r="H98" s="40"/>
      <c r="I98" s="40"/>
      <c r="J98" s="40"/>
      <c r="K98" s="40"/>
      <c r="L98" s="40"/>
    </row>
    <row r="99" ht="160" hidden="0" customHeight="1">
      <c r="A99" s="30"/>
      <c r="B99" s="31"/>
      <c r="C99" s="31"/>
      <c r="D99" s="42"/>
      <c r="E99" s="42"/>
      <c r="F99" s="42"/>
      <c r="G99" s="42"/>
      <c r="H99" s="42"/>
      <c r="I99" s="42"/>
      <c r="J99" s="42"/>
      <c r="K99" s="42"/>
      <c r="L99" s="42"/>
    </row>
    <row r="100" ht="72" hidden="0" customHeight="1">
      <c r="A100" s="27"/>
      <c r="B100" s="28"/>
      <c r="C100" s="28"/>
      <c r="D100" s="29"/>
      <c r="E100" s="21"/>
      <c r="F100" s="21"/>
      <c r="G100" s="21"/>
      <c r="H100" s="21"/>
      <c r="I100" s="21"/>
      <c r="J100" s="21"/>
      <c r="K100" s="21"/>
      <c r="L100" s="21"/>
    </row>
    <row r="101" ht="72" hidden="0" customHeight="1">
      <c r="A101" s="38"/>
      <c r="B101" s="39"/>
      <c r="C101" s="39"/>
      <c r="D101" s="41"/>
      <c r="E101" s="40"/>
      <c r="F101" s="40"/>
      <c r="G101" s="40"/>
      <c r="H101" s="40"/>
      <c r="I101" s="41"/>
      <c r="J101" s="41"/>
      <c r="K101" s="40"/>
      <c r="L101" s="40"/>
    </row>
    <row r="102" ht="160" hidden="0" customHeight="1">
      <c r="A102" s="30"/>
      <c r="B102" s="31"/>
      <c r="C102" s="31"/>
      <c r="D102" s="42"/>
      <c r="E102" s="42"/>
      <c r="F102" s="42"/>
      <c r="G102" s="42"/>
      <c r="H102" s="42"/>
      <c r="I102" s="42"/>
      <c r="J102" s="42"/>
      <c r="K102" s="42"/>
      <c r="L102" s="42"/>
    </row>
    <row r="103" ht="72" hidden="0" customHeight="1">
      <c r="A103" s="43"/>
      <c r="B103" s="44"/>
      <c r="C103" s="44"/>
      <c r="D103" s="45"/>
      <c r="E103" s="21"/>
      <c r="F103" s="21"/>
      <c r="G103" s="22"/>
      <c r="H103" s="22"/>
      <c r="I103" s="21"/>
      <c r="J103" s="21"/>
      <c r="K103" s="21"/>
      <c r="L103" s="21"/>
    </row>
    <row r="104" ht="160" hidden="0" customHeight="1">
      <c r="A104" s="30"/>
      <c r="B104" s="31"/>
      <c r="C104" s="31"/>
      <c r="D104" s="42"/>
      <c r="E104" s="42"/>
      <c r="F104" s="42"/>
      <c r="G104" s="42"/>
      <c r="H104" s="42"/>
      <c r="I104" s="42"/>
      <c r="J104" s="42"/>
      <c r="K104" s="42"/>
      <c r="L104" s="42"/>
    </row>
    <row r="105" ht="128" hidden="0" customHeight="1">
      <c r="A105" s="30"/>
      <c r="B105" s="31"/>
      <c r="C105" s="31"/>
      <c r="D105" s="32"/>
      <c r="E105" s="32"/>
      <c r="F105" s="32"/>
      <c r="G105" s="32"/>
      <c r="H105" s="32"/>
      <c r="I105" s="32"/>
      <c r="J105" s="32"/>
      <c r="K105" s="37"/>
      <c r="L105" s="37"/>
    </row>
    <row r="106" ht="72" hidden="0" customHeight="1">
      <c r="A106" s="27"/>
      <c r="B106" s="28"/>
      <c r="C106" s="28"/>
      <c r="D106" s="29"/>
      <c r="E106" s="22"/>
      <c r="F106" s="22"/>
      <c r="G106" s="22"/>
      <c r="H106" s="22"/>
      <c r="I106" s="21"/>
      <c r="J106" s="21"/>
      <c r="K106" s="22"/>
      <c r="L106" s="22"/>
    </row>
    <row r="107" ht="72" hidden="0" customHeight="1">
      <c r="A107" s="38"/>
      <c r="B107" s="39"/>
      <c r="C107" s="39"/>
      <c r="D107" s="40"/>
      <c r="E107" s="40"/>
      <c r="F107" s="40"/>
      <c r="G107" s="40"/>
      <c r="H107" s="40"/>
      <c r="I107" s="40"/>
      <c r="J107" s="40"/>
      <c r="K107" s="40"/>
      <c r="L107" s="40"/>
    </row>
    <row r="108" ht="72" hidden="0" customHeight="1">
      <c r="A108" s="38"/>
      <c r="B108" s="39"/>
      <c r="C108" s="39"/>
      <c r="D108" s="40"/>
      <c r="E108" s="40"/>
      <c r="F108" s="40"/>
      <c r="G108" s="40"/>
      <c r="H108" s="40"/>
      <c r="I108" s="40"/>
      <c r="J108" s="40"/>
      <c r="K108" s="40"/>
      <c r="L108" s="40"/>
    </row>
    <row r="109" ht="160" hidden="0" customHeight="1">
      <c r="A109" s="30"/>
      <c r="B109" s="31"/>
      <c r="C109" s="31"/>
      <c r="D109" s="42"/>
      <c r="E109" s="42"/>
      <c r="F109" s="42"/>
      <c r="G109" s="42"/>
      <c r="H109" s="42"/>
      <c r="I109" s="42"/>
      <c r="J109" s="42"/>
      <c r="K109" s="42"/>
      <c r="L109" s="42"/>
    </row>
    <row r="110" ht="72" hidden="0" customHeight="1">
      <c r="A110" s="27"/>
      <c r="B110" s="28"/>
      <c r="C110" s="28"/>
      <c r="D110" s="29"/>
      <c r="E110" s="22"/>
      <c r="F110" s="22"/>
      <c r="G110" s="22"/>
      <c r="H110" s="22"/>
      <c r="I110" s="21"/>
      <c r="J110" s="21"/>
      <c r="K110" s="22"/>
      <c r="L110" s="22"/>
    </row>
    <row r="111" ht="72" hidden="0" customHeight="1">
      <c r="A111" s="43"/>
      <c r="B111" s="44"/>
      <c r="C111" s="44"/>
      <c r="D111" s="45"/>
      <c r="E111" s="21"/>
      <c r="F111" s="21"/>
      <c r="G111" s="21"/>
      <c r="H111" s="21"/>
      <c r="I111" s="22"/>
      <c r="J111" s="22"/>
      <c r="K111" s="21"/>
      <c r="L111" s="21"/>
    </row>
    <row r="112" ht="160" hidden="0" customHeight="1">
      <c r="A112" s="30"/>
      <c r="B112" s="31"/>
      <c r="C112" s="31"/>
      <c r="D112" s="42"/>
      <c r="E112" s="42"/>
      <c r="F112" s="42"/>
      <c r="G112" s="42"/>
      <c r="H112" s="42"/>
      <c r="I112" s="42"/>
      <c r="J112" s="42"/>
      <c r="K112" s="42"/>
      <c r="L112" s="42"/>
    </row>
    <row r="113" ht="72" hidden="0" customHeight="1">
      <c r="A113" s="43"/>
      <c r="B113" s="44"/>
      <c r="C113" s="44"/>
      <c r="D113" s="45"/>
      <c r="E113" s="22"/>
      <c r="F113" s="22"/>
      <c r="G113" s="22"/>
      <c r="H113" s="22"/>
      <c r="I113" s="21"/>
      <c r="J113" s="21"/>
      <c r="K113" s="21"/>
      <c r="L113" s="21"/>
    </row>
    <row r="114" ht="128" hidden="0" customHeight="1">
      <c r="A114" s="30"/>
      <c r="B114" s="31"/>
      <c r="C114" s="31"/>
      <c r="D114" s="32"/>
      <c r="E114" s="32"/>
      <c r="F114" s="32"/>
      <c r="G114" s="32"/>
      <c r="H114" s="32"/>
      <c r="I114" s="32"/>
      <c r="J114" s="32"/>
      <c r="K114" s="37"/>
      <c r="L114" s="37"/>
    </row>
    <row r="115" ht="72" hidden="0" customHeight="1">
      <c r="A115" s="27"/>
      <c r="B115" s="28"/>
      <c r="C115" s="28"/>
      <c r="D115" s="36"/>
      <c r="E115" s="21"/>
      <c r="F115" s="21"/>
      <c r="G115" s="21"/>
      <c r="H115" s="21"/>
      <c r="I115" s="21"/>
      <c r="J115" s="21"/>
      <c r="K115" s="21"/>
      <c r="L115" s="21"/>
    </row>
    <row r="116" ht="72" hidden="0" customHeight="1">
      <c r="A116" s="30"/>
      <c r="B116" s="31"/>
      <c r="C116" s="31"/>
      <c r="D116" s="32"/>
      <c r="E116" s="22"/>
      <c r="F116" s="22"/>
      <c r="G116" s="21"/>
      <c r="H116" s="21"/>
      <c r="I116" s="21"/>
      <c r="J116" s="21"/>
      <c r="K116" s="21"/>
      <c r="L116" s="21"/>
    </row>
    <row r="117" ht="72" hidden="0" customHeight="1">
      <c r="A117" s="33"/>
      <c r="B117" s="34"/>
      <c r="C117" s="34"/>
      <c r="D117" s="35"/>
      <c r="E117" s="22"/>
      <c r="F117" s="22"/>
      <c r="G117" s="21"/>
      <c r="H117" s="21"/>
      <c r="I117" s="21"/>
      <c r="J117" s="21"/>
      <c r="K117" s="22"/>
      <c r="L117" s="22"/>
    </row>
    <row r="118" ht="72" hidden="0" customHeight="1">
      <c r="A118" s="33"/>
      <c r="B118" s="34"/>
      <c r="C118" s="46"/>
      <c r="D118" s="35"/>
      <c r="E118" s="21"/>
      <c r="F118" s="21"/>
      <c r="G118" s="21"/>
      <c r="H118" s="21"/>
      <c r="I118" s="21"/>
      <c r="J118" s="21"/>
      <c r="K118" s="21"/>
      <c r="L118" s="21"/>
    </row>
    <row r="119" ht="72" hidden="0" customHeight="1">
      <c r="A119" s="27"/>
      <c r="B119" s="28"/>
      <c r="C119" s="28"/>
      <c r="D119" s="29"/>
      <c r="E119" s="21"/>
      <c r="F119" s="21"/>
      <c r="G119" s="21"/>
      <c r="H119" s="21"/>
      <c r="I119" s="21"/>
      <c r="J119" s="21"/>
      <c r="K119" s="21"/>
      <c r="L119" s="21"/>
    </row>
    <row r="120" ht="15" hidden="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</row>
    <row r="121" ht="15" hidden="0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</row>
    <row r="122" ht="28" hidden="0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</row>
    <row r="123" ht="30" hidden="0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</row>
    <row r="124" ht="55" hidden="0" customHeight="1">
      <c r="A124" s="47"/>
      <c r="B124" s="47"/>
      <c r="C124" s="48"/>
      <c r="D124" s="48"/>
      <c r="E124" s="48"/>
      <c r="F124" s="48"/>
      <c r="G124" s="48"/>
      <c r="H124" s="48"/>
      <c r="I124" s="47"/>
      <c r="J124" s="47"/>
      <c r="K124" s="48"/>
      <c r="L124" s="48"/>
    </row>
    <row r="125" ht="55" hidden="0" customHeight="1">
      <c r="A125" s="21"/>
      <c r="B125" s="21"/>
      <c r="C125" s="22"/>
      <c r="D125" s="22"/>
      <c r="E125" s="21"/>
      <c r="F125" s="21"/>
      <c r="G125" s="21"/>
      <c r="H125" s="21"/>
      <c r="I125" s="21"/>
      <c r="J125" s="21"/>
      <c r="K125" s="22"/>
      <c r="L125" s="22"/>
    </row>
    <row r="126" ht="55" hidden="0" customHeight="1">
      <c r="A126" s="47"/>
      <c r="B126" s="47"/>
      <c r="C126" s="48"/>
      <c r="D126" s="48"/>
      <c r="E126" s="47"/>
      <c r="F126" s="47"/>
      <c r="G126" s="47"/>
      <c r="H126" s="47"/>
      <c r="I126" s="47"/>
      <c r="J126" s="47"/>
      <c r="K126" s="48"/>
      <c r="L126" s="48"/>
    </row>
    <row r="127" ht="55" hidden="0" customHeight="1">
      <c r="A127" s="21"/>
      <c r="B127" s="21"/>
      <c r="C127" s="22"/>
      <c r="D127" s="22"/>
      <c r="E127" s="21"/>
      <c r="F127" s="21"/>
      <c r="G127" s="21"/>
      <c r="H127" s="21"/>
      <c r="I127" s="21"/>
      <c r="J127" s="21"/>
      <c r="K127" s="22"/>
      <c r="L127" s="22"/>
    </row>
    <row r="128" ht="55" hidden="0" customHeight="1">
      <c r="A128" s="47"/>
      <c r="B128" s="47"/>
      <c r="C128" s="48"/>
      <c r="D128" s="48"/>
      <c r="E128" s="47"/>
      <c r="F128" s="47"/>
      <c r="G128" s="47"/>
      <c r="H128" s="47"/>
      <c r="I128" s="47"/>
      <c r="J128" s="47"/>
      <c r="K128" s="48"/>
      <c r="L128" s="48"/>
    </row>
    <row r="129" ht="55" hidden="0" customHeight="1">
      <c r="A129" s="21"/>
      <c r="B129" s="21"/>
      <c r="C129" s="22"/>
      <c r="D129" s="22"/>
      <c r="E129" s="21"/>
      <c r="F129" s="21"/>
      <c r="G129" s="21"/>
      <c r="H129" s="21"/>
      <c r="I129" s="21"/>
      <c r="J129" s="21"/>
      <c r="K129" s="22"/>
      <c r="L129" s="22"/>
    </row>
    <row r="130" ht="55" hidden="0" customHeight="1">
      <c r="A130" s="47"/>
      <c r="B130" s="47"/>
      <c r="C130" s="48"/>
      <c r="D130" s="48"/>
      <c r="E130" s="47"/>
      <c r="F130" s="47"/>
      <c r="G130" s="48"/>
      <c r="H130" s="48"/>
      <c r="I130" s="47"/>
      <c r="J130" s="47"/>
      <c r="K130" s="48"/>
      <c r="L130" s="48"/>
    </row>
    <row r="131" ht="55" hidden="0" customHeight="1">
      <c r="A131" s="21"/>
      <c r="B131" s="21"/>
      <c r="C131" s="22"/>
      <c r="D131" s="22"/>
      <c r="E131" s="21"/>
      <c r="F131" s="21"/>
      <c r="G131" s="21"/>
      <c r="H131" s="21"/>
      <c r="I131" s="21"/>
      <c r="J131" s="21"/>
      <c r="K131" s="22"/>
      <c r="L131" s="22"/>
    </row>
    <row r="132" ht="55" hidden="0" customHeight="1">
      <c r="A132" s="47"/>
      <c r="B132" s="47"/>
      <c r="C132" s="48"/>
      <c r="D132" s="48"/>
      <c r="E132" s="48"/>
      <c r="F132" s="48"/>
      <c r="G132" s="48"/>
      <c r="H132" s="48"/>
      <c r="I132" s="47"/>
      <c r="J132" s="47"/>
      <c r="K132" s="48"/>
      <c r="L132" s="48"/>
    </row>
    <row r="133" ht="55" hidden="0" customHeight="1">
      <c r="A133" s="21"/>
      <c r="B133" s="21"/>
      <c r="C133" s="22"/>
      <c r="D133" s="22"/>
      <c r="E133" s="21"/>
      <c r="F133" s="21"/>
      <c r="G133" s="21"/>
      <c r="H133" s="21"/>
      <c r="I133" s="21"/>
      <c r="J133" s="21"/>
      <c r="K133" s="22"/>
      <c r="L133" s="22"/>
    </row>
    <row r="134" ht="55" hidden="0" customHeight="1">
      <c r="A134" s="47"/>
      <c r="B134" s="47"/>
      <c r="C134" s="48"/>
      <c r="D134" s="48"/>
      <c r="E134" s="48"/>
      <c r="F134" s="48"/>
      <c r="G134" s="48"/>
      <c r="H134" s="48"/>
      <c r="I134" s="47"/>
      <c r="J134" s="47"/>
      <c r="K134" s="48"/>
      <c r="L134" s="48"/>
    </row>
    <row r="135" ht="55" hidden="0" customHeight="1">
      <c r="A135" s="21"/>
      <c r="B135" s="21"/>
      <c r="C135" s="22"/>
      <c r="D135" s="22"/>
      <c r="E135" s="21"/>
      <c r="F135" s="21"/>
      <c r="G135" s="22"/>
      <c r="H135" s="22"/>
      <c r="I135" s="21"/>
      <c r="J135" s="21"/>
      <c r="K135" s="22"/>
      <c r="L135" s="22"/>
    </row>
    <row r="136" ht="55" hidden="0" customHeight="1">
      <c r="A136" s="47"/>
      <c r="B136" s="47"/>
      <c r="C136" s="48"/>
      <c r="D136" s="48"/>
      <c r="E136" s="47"/>
      <c r="F136" s="47"/>
      <c r="G136" s="47"/>
      <c r="H136" s="47"/>
      <c r="I136" s="47"/>
      <c r="J136" s="47"/>
      <c r="K136" s="48"/>
      <c r="L136" s="48"/>
    </row>
    <row r="137" ht="55" hidden="0" customHeight="1">
      <c r="A137" s="21"/>
      <c r="B137" s="21"/>
      <c r="C137" s="22"/>
      <c r="D137" s="22"/>
      <c r="E137" s="21"/>
      <c r="F137" s="21"/>
      <c r="G137" s="21"/>
      <c r="H137" s="21"/>
      <c r="I137" s="21"/>
      <c r="J137" s="21"/>
      <c r="K137" s="22"/>
      <c r="L137" s="22"/>
    </row>
    <row r="138" ht="55" hidden="0" customHeight="1">
      <c r="A138" s="47"/>
      <c r="B138" s="47"/>
      <c r="C138" s="48"/>
      <c r="D138" s="48"/>
      <c r="E138" s="48"/>
      <c r="F138" s="48"/>
      <c r="G138" s="48"/>
      <c r="H138" s="48"/>
      <c r="I138" s="47"/>
      <c r="J138" s="47"/>
      <c r="K138" s="48"/>
      <c r="L138" s="48"/>
    </row>
    <row r="139" ht="55" hidden="0" customHeight="1">
      <c r="A139" s="21"/>
      <c r="B139" s="21"/>
      <c r="C139" s="22"/>
      <c r="D139" s="22"/>
      <c r="E139" s="21"/>
      <c r="F139" s="21"/>
      <c r="G139" s="22"/>
      <c r="H139" s="22"/>
      <c r="I139" s="21"/>
      <c r="J139" s="21"/>
      <c r="K139" s="22"/>
      <c r="L139" s="22"/>
    </row>
    <row r="140" ht="55" hidden="0" customHeight="1">
      <c r="A140" s="47"/>
      <c r="B140" s="47"/>
      <c r="C140" s="48"/>
      <c r="D140" s="48"/>
      <c r="E140" s="47"/>
      <c r="F140" s="47"/>
      <c r="G140" s="47"/>
      <c r="H140" s="47"/>
      <c r="I140" s="47"/>
      <c r="J140" s="47"/>
      <c r="K140" s="48"/>
      <c r="L140" s="48"/>
    </row>
    <row r="141" ht="55" hidden="0" customHeight="1">
      <c r="A141" s="21"/>
      <c r="B141" s="21"/>
      <c r="C141" s="22"/>
      <c r="D141" s="22"/>
      <c r="E141" s="22"/>
      <c r="F141" s="22"/>
      <c r="G141" s="22"/>
      <c r="H141" s="22"/>
      <c r="I141" s="21"/>
      <c r="J141" s="21"/>
      <c r="K141" s="22"/>
      <c r="L141" s="22"/>
    </row>
    <row r="142" ht="55" hidden="0" customHeight="1">
      <c r="A142" s="47"/>
      <c r="B142" s="47"/>
      <c r="C142" s="48"/>
      <c r="D142" s="48"/>
      <c r="E142" s="47"/>
      <c r="F142" s="47"/>
      <c r="G142" s="48"/>
      <c r="H142" s="48"/>
      <c r="I142" s="47"/>
      <c r="J142" s="47"/>
      <c r="K142" s="48"/>
      <c r="L142" s="48"/>
    </row>
    <row r="143" ht="55" hidden="0" customHeight="1">
      <c r="A143" s="21"/>
      <c r="B143" s="21"/>
      <c r="C143" s="22"/>
      <c r="D143" s="22"/>
      <c r="E143" s="21"/>
      <c r="F143" s="21"/>
      <c r="G143" s="21"/>
      <c r="H143" s="21"/>
      <c r="I143" s="21"/>
      <c r="J143" s="21"/>
      <c r="K143" s="22"/>
      <c r="L143" s="22"/>
    </row>
    <row r="144" ht="15" hidden="0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</row>
    <row r="145" ht="28" hidden="0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</row>
    <row r="146" ht="48" hidden="0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</row>
    <row r="147" ht="48" hidden="0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</row>
    <row r="148" ht="15" hidden="0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</row>
    <row r="149" ht="15" hidden="0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</row>
    <row r="150" ht="15" hidden="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</row>
    <row r="151" ht="15" hidden="0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</row>
    <row r="152" ht="15" hidden="0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</row>
    <row r="153" ht="15" hidden="0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</row>
    <row r="154" ht="15" hidden="0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</row>
    <row r="155" ht="15" hidden="0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</row>
    <row r="156" ht="15" hidden="0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</row>
    <row r="157" ht="15" hidden="0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</row>
    <row r="158" ht="15" hidden="0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</row>
    <row r="159" ht="15" hidden="0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</row>
    <row r="160" ht="15" hidden="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</row>
    <row r="161" ht="15" hidden="0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</row>
    <row r="162" ht="15" hidden="0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</row>
    <row r="163" ht="15" hidden="0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</row>
    <row r="164" ht="15" hidden="0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</row>
    <row r="165" ht="15" hidden="0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</row>
    <row r="166" ht="15" hidden="0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</row>
    <row r="167" ht="15" hidden="0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</row>
    <row r="168" ht="15" hidden="0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</row>
    <row r="169" ht="15" hidden="0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</row>
    <row r="170" ht="15" hidden="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</row>
    <row r="171" ht="15" hidden="0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</row>
    <row r="172" ht="15" hidden="0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</row>
    <row r="173" ht="15" hidden="0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</row>
    <row r="174" ht="15" hidden="0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</row>
    <row r="175" ht="15" hidden="0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</row>
    <row r="176" ht="15" hidden="0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</row>
    <row r="177" ht="15" hidden="0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</row>
    <row r="178" ht="15" hidden="0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</row>
    <row r="179" ht="15" hidden="0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</row>
    <row r="180" ht="15" hidden="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</row>
    <row r="181" ht="15" hidden="0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</row>
    <row r="182" ht="15" hidden="0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</row>
    <row r="183" ht="15" hidden="0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</row>
    <row r="184" ht="15" hidden="0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</row>
    <row r="185" ht="15" hidden="0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</row>
    <row r="186" ht="15" hidden="0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</row>
    <row r="187" ht="15" hidden="0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</row>
    <row r="188" ht="15" hidden="0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</row>
    <row r="189" ht="15" hidden="0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</row>
    <row r="190" ht="15" hidden="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</row>
    <row r="191" ht="15" hidden="0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</row>
    <row r="192" ht="15" hidden="0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</row>
    <row r="193" ht="15" hidden="0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</row>
    <row r="194" ht="15" hidden="0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</row>
    <row r="195" ht="15" hidden="0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</row>
    <row r="196" ht="15" hidden="0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</row>
    <row r="197" ht="15" hidden="0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</row>
    <row r="198" ht="15" hidden="0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</row>
    <row r="199" ht="15" hidden="0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</row>
    <row r="200" ht="15" hidden="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</row>
    <row r="201" ht="15" hidden="0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</row>
    <row r="202" ht="15" hidden="0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</row>
    <row r="203" ht="15" hidden="0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</row>
    <row r="204" ht="15" hidden="0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</row>
    <row r="205" ht="15" hidden="0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</row>
    <row r="206" ht="15" hidden="0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</row>
    <row r="207" ht="15" hidden="0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</row>
    <row r="208" ht="15" hidden="0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</row>
    <row r="209" ht="15" hidden="0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</row>
    <row r="210" ht="15" hidden="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</row>
    <row r="211" ht="15" hidden="0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</row>
    <row r="212" ht="15" hidden="0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</row>
    <row r="213" ht="15" hidden="0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</row>
    <row r="214" ht="15" hidden="0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</row>
    <row r="215" ht="15" hidden="0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</row>
    <row r="216" ht="15" hidden="0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</row>
    <row r="217" ht="15" hidden="0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</row>
    <row r="218" ht="15" hidden="0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</row>
    <row r="219" ht="15" hidden="0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</row>
    <row r="220" ht="15" hidden="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</row>
    <row r="221" ht="15" hidden="0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</row>
    <row r="222" ht="15" hidden="0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</row>
    <row r="223" ht="15" hidden="0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</row>
    <row r="224" ht="15" hidden="0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</row>
    <row r="225" ht="15" hidden="0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</row>
    <row r="226" ht="15" hidden="0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</row>
    <row r="227" ht="15" hidden="0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</row>
    <row r="228" ht="15" hidden="0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</row>
    <row r="229" ht="15" hidden="0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</row>
    <row r="230" ht="15" hidden="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</row>
  </sheetData>
  <mergeCells>
    <mergeCell ref="A1:L1"/>
    <mergeCell ref="A33:L33"/>
    <mergeCell ref="A34:L34"/>
    <mergeCell ref="A35:L35"/>
    <mergeCell ref="A36:L36"/>
    <mergeCell ref="A37:L37"/>
    <mergeCell ref="A38:L38"/>
    <mergeCell ref="A39:L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xSplit="1" ySplit="9" topLeftCell="B10" activePane="bottomRight" state="frozen"/>
    </sheetView>
  </sheetViews>
  <sheetFormatPr defaultColWidth="8.6796875" defaultRowHeight="15"/>
  <cols>
    <col min="1" max="1" width="29" hidden="0" customWidth="1"/>
    <col min="2" max="2" width="29" hidden="0" customWidth="1"/>
    <col min="3" max="6" width="16" hidden="0" customWidth="1"/>
    <col min="7" max="8" width="18" hidden="0" customWidth="1"/>
    <col min="9" max="9" width="14" hidden="0" customWidth="1"/>
    <col min="10" max="12" width="15" hidden="0" customWidth="1"/>
    <col min="3" max="3" width="12" hidden="0" customWidth="1"/>
    <col min="4" max="4" width="12" hidden="0" customWidth="1"/>
    <col min="5" max="5" width="12" hidden="0" customWidth="1"/>
    <col min="6" max="6" width="12" hidden="0" customWidth="1"/>
    <col min="7" max="7" width="14" hidden="0" customWidth="1"/>
    <col min="8" max="8" width="14" hidden="0" customWidth="1"/>
    <col min="10" max="10" width="14" hidden="0" customWidth="1"/>
    <col min="11" max="11" width="14" hidden="0" customWidth="1"/>
    <col min="12" max="12" width="14" hidden="0" customWidth="1"/>
    <col min="13" max="13" width="44" hidden="0" customWidth="1"/>
  </cols>
  <sheetData>
    <row r="1" ht="30" hidden="0" customHeight="1">
      <c r="A1" s="1111" t="str">
        <v>兩人旅費｜預算與實支分開｜HKD｜機票不計</v>
      </c>
      <c r="B1" s="1100"/>
      <c r="C1" s="1100"/>
      <c r="D1" s="1100"/>
      <c r="E1" s="1100"/>
      <c r="F1" s="1100"/>
      <c r="G1" s="1100"/>
      <c r="H1" s="1100"/>
      <c r="I1" s="1100"/>
      <c r="J1" s="1100"/>
      <c r="K1" s="1100"/>
      <c r="L1" s="1100"/>
      <c r="M1" s="1100"/>
    </row>
    <row r="2" ht="30" hidden="0" customHeight="1">
      <c r="A2" s="1101" t="str">
        <v>在「支出明細」逐筆記錄付款人、歸屬、幣別及實付；本頁自動按日彙總。住宿、餐飲與待核門票仍為規劃假設，購物另記實支。</v>
      </c>
      <c r="B2" s="1101"/>
      <c r="C2" s="1101"/>
      <c r="D2" s="1101"/>
      <c r="E2" s="1101"/>
      <c r="F2" s="1101"/>
      <c r="G2" s="1101"/>
      <c r="H2" s="1101"/>
      <c r="I2" s="1101"/>
      <c r="J2" s="1102"/>
      <c r="K2" s="1102"/>
      <c r="L2" s="1102"/>
      <c r="M2" s="1102"/>
    </row>
    <row r="3" ht="32" hidden="0" customHeight="1">
      <c r="A3" s="393"/>
      <c r="B3" s="393"/>
      <c r="C3" s="393"/>
      <c r="D3" s="393"/>
      <c r="E3" s="393"/>
      <c r="F3" s="393"/>
      <c r="G3" s="393"/>
      <c r="H3" s="393"/>
      <c r="I3" s="393"/>
      <c r="J3" s="1094"/>
      <c r="K3" s="1094"/>
      <c r="L3" s="1094"/>
      <c r="M3" s="1094"/>
    </row>
    <row r="4" ht="32" hidden="0" customHeight="1">
      <c r="A4" s="1103" t="str">
        <v>旅伴人數</v>
      </c>
      <c r="B4" s="1104" t="n">
        <v>2</v>
      </c>
      <c r="C4" s="1103" t="str">
        <v>預留比例</v>
      </c>
      <c r="D4" s="1105" t="n">
        <v>0.1</v>
      </c>
      <c r="E4" s="1103" t="str">
        <v>USD→HKD</v>
      </c>
      <c r="F4" s="1103" t="n">
        <v>7.8</v>
      </c>
      <c r="G4" s="1103" t="str">
        <v>PLN→HKD</v>
      </c>
      <c r="H4" s="1103" t="n">
        <v>2.05</v>
      </c>
      <c r="I4" s="1103" t="str">
        <v>TRY→HKD</v>
      </c>
      <c r="J4" s="1106" t="n">
        <v>0.16</v>
      </c>
      <c r="K4" s="1106" t="str">
        <v>EUR→HKD</v>
      </c>
      <c r="L4" s="1106" t="n">
        <v>9.15</v>
      </c>
      <c r="M4" s="1106" t="str">
        <v>匯率均為規劃假設</v>
      </c>
    </row>
    <row r="5" ht="32" hidden="0" customHeight="1">
      <c r="A5" s="393" t="str">
        <v>PURO｜每晚一間雙人房 HKD</v>
      </c>
      <c r="B5" s="393"/>
      <c r="C5" s="393"/>
      <c r="D5" s="495" t="n">
        <f aca="0"/>
        <v>1238.25</v>
      </c>
      <c r="E5" s="393" t="str">
        <v>節日預留後參考，可改</v>
      </c>
      <c r="F5" s="393"/>
      <c r="G5" s="393"/>
      <c r="H5" s="1107"/>
      <c r="I5" s="393"/>
      <c r="J5" s="1094"/>
      <c r="K5" s="1094"/>
      <c r="L5" s="1094"/>
      <c r="M5" s="1094"/>
    </row>
    <row r="6" ht="32" hidden="0" customHeight="1">
      <c r="A6" s="393" t="str">
        <v>10 Karaköy｜每晚一間雙人房 HKD</v>
      </c>
      <c r="B6" s="393"/>
      <c r="C6" s="393"/>
      <c r="D6" s="495" t="n">
        <f aca="0"/>
        <v>1677</v>
      </c>
      <c r="E6" s="393" t="str">
        <v>參考價，可改</v>
      </c>
      <c r="F6" s="393"/>
      <c r="G6" s="393"/>
      <c r="H6" s="1107"/>
      <c r="I6" s="393"/>
      <c r="J6" s="1094"/>
      <c r="K6" s="1094"/>
      <c r="L6" s="1094"/>
      <c r="M6" s="1094"/>
    </row>
    <row r="7" ht="32" hidden="0" customHeight="1">
      <c r="A7" s="393"/>
      <c r="B7" s="393"/>
      <c r="C7" s="393"/>
      <c r="D7" s="393"/>
      <c r="E7" s="393"/>
      <c r="F7" s="393"/>
      <c r="G7" s="393"/>
      <c r="H7" s="393"/>
      <c r="I7" s="393"/>
      <c r="J7" s="1094"/>
      <c r="K7" s="1094"/>
      <c r="L7" s="1094"/>
      <c r="M7" s="1094"/>
    </row>
    <row r="8" ht="64" hidden="0" customHeight="1">
      <c r="A8" s="1104"/>
      <c r="B8" s="1104"/>
      <c r="C8" s="1104"/>
      <c r="D8" s="1104"/>
      <c r="E8" s="1104"/>
      <c r="F8" s="1104"/>
      <c r="G8" s="1104"/>
      <c r="H8" s="1104"/>
      <c r="I8" s="1104"/>
      <c r="J8" s="1094"/>
      <c r="K8" s="1094"/>
      <c r="L8" s="1094"/>
      <c r="M8" s="1094"/>
    </row>
    <row r="9" ht="34" hidden="0" customHeight="1">
      <c r="A9" s="1108" t="str">
        <v>日期</v>
      </c>
      <c r="B9" s="1108" t="str">
        <v>住宿／城市</v>
      </c>
      <c r="C9" s="1108" t="str">
        <v>住宿預算</v>
      </c>
      <c r="D9" s="1108" t="str">
        <v>餐飲預算</v>
      </c>
      <c r="E9" s="1108" t="str">
        <v>交通預算</v>
      </c>
      <c r="F9" s="1108" t="str">
        <v>門票預算</v>
      </c>
      <c r="G9" s="1108" t="str">
        <v>當日規劃預算</v>
      </c>
      <c r="H9" s="1108" t="str">
        <v>A 已付款 HKD</v>
      </c>
      <c r="I9" s="1108" t="str">
        <v>B 已付款 HKD</v>
      </c>
      <c r="J9" s="1108" t="str">
        <v>兩人實際合計</v>
      </c>
      <c r="K9" s="1108" t="str">
        <v>每人實際平均</v>
      </c>
      <c r="L9" s="1108" t="str">
        <v>實際－預算</v>
      </c>
      <c r="M9" s="1108" t="str">
        <v>提醒</v>
      </c>
    </row>
    <row r="10" ht="34" hidden="0" customHeight="1">
      <c r="A10" s="1257" t="n">
        <v>46378</v>
      </c>
      <c r="B10" s="255" t="str">
        <v>香港／機上</v>
      </c>
      <c r="C10" s="277" t="n">
        <f>0</f>
        <v>0</v>
      </c>
      <c r="D10" s="277" t="n">
        <v>240</v>
      </c>
      <c r="E10" s="277" t="n">
        <v>225</v>
      </c>
      <c r="F10" s="277" t="n">
        <v>0</v>
      </c>
      <c r="G10" s="277" t="n">
        <f>SUM(C10:F10)</f>
        <v>465</v>
      </c>
      <c r="H10" s="1261" t="str">
        <f>IF(COUNTIFS('支出明細'!$A$5:$A$204,A10,'支出明細'!$E$5:$E$204,"A",'支出明細'!$J$5:$J$204,"&gt;=0")=0,"",SUMIFS('支出明細'!$J$5:$J$204,'支出明細'!$A$5:$A$204,A10,'支出明細'!$E$5:$E$204,"A"))</f>
      </c>
      <c r="I10" s="1261" t="str">
        <f>IF(COUNTIFS('支出明細'!$A$5:$A$204,A10,'支出明細'!$E$5:$E$204,"B",'支出明細'!$J$5:$J$204,"&gt;=0")=0,"",SUMIFS('支出明細'!$J$5:$J$204,'支出明細'!$A$5:$A$204,A10,'支出明細'!$E$5:$E$204,"B"))</f>
      </c>
      <c r="J10" s="1262" t="str">
        <f>IF(COUNT(H10:I10)=0,"",SUM(H10:I10))</f>
      </c>
      <c r="K10" s="1262" t="str">
        <f>IF(J10="","",J10/$B$4)</f>
      </c>
      <c r="L10" s="1262" t="str">
        <f>IF(J10="","",J10-G10)</f>
      </c>
      <c r="M10" s="1094" t="str">
        <v>香港出發；餐飲及往機場交通。</v>
      </c>
    </row>
    <row r="11" ht="34" hidden="0" customHeight="1">
      <c r="A11" s="1258" t="n">
        <v>46379</v>
      </c>
      <c r="B11" s="258" t="str">
        <v>華沙｜PURO</v>
      </c>
      <c r="C11" s="279" t="n">
        <f aca="0">$D$5</f>
        <v>1238.25</v>
      </c>
      <c r="D11" s="280" t="n">
        <v>1500</v>
      </c>
      <c r="E11" s="280" t="n">
        <v>500</v>
      </c>
      <c r="F11" s="279" t="n">
        <f aca="0"/>
        <v>184.5</v>
      </c>
      <c r="G11" s="279" t="n">
        <f aca="0">SUM(C11:F11)</f>
        <v>3422.75</v>
      </c>
      <c r="H11" s="1261" t="str">
        <f>IF(COUNTIFS('支出明細'!$A$5:$A$204,A11,'支出明細'!$E$5:$E$204,"A",'支出明細'!$J$5:$J$204,"&gt;=0")=0,"",SUMIFS('支出明細'!$J$5:$J$204,'支出明細'!$A$5:$A$204,A11,'支出明細'!$E$5:$E$204,"A"))</f>
      </c>
      <c r="I11" s="1261" t="str">
        <f>IF(COUNTIFS('支出明細'!$A$5:$A$204,A11,'支出明細'!$E$5:$E$204,"B",'支出明細'!$J$5:$J$204,"&gt;=0")=0,"",SUMIFS('支出明細'!$J$5:$J$204,'支出明細'!$A$5:$A$204,A11,'支出明細'!$E$5:$E$204,"B"))</f>
      </c>
      <c r="J11" s="1262" t="str">
        <f>IF(COUNT(H11:I11)=0,"",SUM(H11:I11))</f>
      </c>
      <c r="K11" s="1262" t="str">
        <f>IF(J11="","",J11/$B$4)</f>
      </c>
      <c r="L11" s="1262" t="str">
        <f>IF(J11="","",J11-G11)</f>
      </c>
      <c r="M11" s="1094" t="str">
        <v>Bar Bambino 早餐＋POLIN＋Gdański 奶吧＋Stary Dom 晚餐。</v>
      </c>
    </row>
    <row r="12" ht="34" hidden="0" customHeight="1">
      <c r="A12" s="1259" t="n">
        <v>46380</v>
      </c>
      <c r="B12" s="262" t="str">
        <v>華沙｜PURO</v>
      </c>
      <c r="C12" s="281" t="n">
        <f aca="0">$D$5</f>
        <v>1238.25</v>
      </c>
      <c r="D12" s="280" t="n">
        <f>2*595*1.1*$H$4+1000</f>
        <v>3683.45</v>
      </c>
      <c r="E12" s="280" t="n">
        <v>260</v>
      </c>
      <c r="F12" s="281" t="n">
        <f aca="0"/>
        <v>0</v>
      </c>
      <c r="G12" s="281" t="n">
        <f aca="0">SUM(C12:F12)</f>
        <v>5181.7</v>
      </c>
      <c r="H12" s="1261" t="str">
        <f>IF(COUNTIFS('支出明細'!$A$5:$A$204,A12,'支出明細'!$E$5:$E$204,"A",'支出明細'!$J$5:$J$204,"&gt;=0")=0,"",SUMIFS('支出明細'!$J$5:$J$204,'支出明細'!$A$5:$A$204,A12,'支出明細'!$E$5:$E$204,"A"))</f>
      </c>
      <c r="I12" s="1261" t="str">
        <f>IF(COUNTIFS('支出明細'!$A$5:$A$204,A12,'支出明細'!$E$5:$E$204,"B",'支出明細'!$J$5:$J$204,"&gt;=0")=0,"",SUMIFS('支出明細'!$J$5:$J$204,'支出明細'!$A$5:$A$204,A12,'支出明細'!$E$5:$E$204,"B"))</f>
      </c>
      <c r="J12" s="1262" t="str">
        <f>IF(COUNT(H12:I12)=0,"",SUM(H12:I12))</f>
      </c>
      <c r="K12" s="1262" t="str">
        <f>IF(J12="","",J12/$B$4)</f>
      </c>
      <c r="L12" s="1262" t="str">
        <f>IF(J12="","",J12-G12)</f>
      </c>
      <c r="M12" s="1094" t="str">
        <v>NUTA（待定） 現行 Virtuoso 兩人 595×2×1.1 PLN，另留 HK$1,000 給早餐／午餐／飲品（規劃假設）；12/24 報價待核，wine pairing 另加。</v>
      </c>
    </row>
    <row r="13" ht="34" hidden="0" customHeight="1">
      <c r="A13" s="1258" t="n">
        <v>46381</v>
      </c>
      <c r="B13" s="258" t="str">
        <v>華沙｜PURO</v>
      </c>
      <c r="C13" s="279" t="n">
        <f aca="0">$D$5</f>
        <v>1238.25</v>
      </c>
      <c r="D13" s="280" t="n">
        <f>2*395*1.1*$H$4+1500</f>
        <v>3281.45</v>
      </c>
      <c r="E13" s="280" t="n">
        <v>260</v>
      </c>
      <c r="F13" s="279" t="n">
        <f aca="0"/>
        <v>0</v>
      </c>
      <c r="G13" s="279" t="n">
        <f aca="0">SUM(C13:F13)</f>
        <v>4779.7</v>
      </c>
      <c r="H13" s="1261" t="str">
        <f>IF(COUNTIFS('支出明細'!$A$5:$A$204,A13,'支出明細'!$E$5:$E$204,"A",'支出明細'!$J$5:$J$204,"&gt;=0")=0,"",SUMIFS('支出明細'!$J$5:$J$204,'支出明細'!$A$5:$A$204,A13,'支出明細'!$E$5:$E$204,"A"))</f>
      </c>
      <c r="I13" s="1261" t="str">
        <f>IF(COUNTIFS('支出明細'!$A$5:$A$204,A13,'支出明細'!$E$5:$E$204,"B",'支出明細'!$J$5:$J$204,"&gt;=0")=0,"",SUMIFS('支出明細'!$J$5:$J$204,'支出明細'!$A$5:$A$204,A13,'支出明細'!$E$5:$E$204,"B"))</f>
      </c>
      <c r="J13" s="1262" t="str">
        <f>IF(COUNT(H13:I13)=0,"",SUM(H13:I13))</f>
      </c>
      <c r="K13" s="1262" t="str">
        <f>IF(J13="","",J13/$B$4)</f>
      </c>
      <c r="L13" s="1262" t="str">
        <f>IF(J13="","",J13-G13)</f>
      </c>
      <c r="M13" s="1094" t="str">
        <v>Belvedere 午餐待核；Floor No.2（待定） 兩人聖誕 buffet 395×2×1.1 PLN，另留 HK$1,500 作早餐／午餐／其他飲品規劃額。以上均非實支。</v>
      </c>
    </row>
    <row r="14" ht="34" hidden="0" customHeight="1">
      <c r="A14" s="1259" t="n">
        <v>46382</v>
      </c>
      <c r="B14" s="262" t="str">
        <v>華沙｜PURO</v>
      </c>
      <c r="C14" s="281" t="n">
        <f aca="0">$D$5</f>
        <v>1238.25</v>
      </c>
      <c r="D14" s="280" t="n">
        <v>1700</v>
      </c>
      <c r="E14" s="280" t="n">
        <v>260</v>
      </c>
      <c r="F14" s="281" t="n">
        <f aca="0"/>
        <v>500</v>
      </c>
      <c r="G14" s="281" t="n">
        <f aca="0">SUM(C14:F14)</f>
        <v>3698.25</v>
      </c>
      <c r="H14" s="1261" t="str">
        <f>IF(COUNTIFS('支出明細'!$A$5:$A$204,A14,'支出明細'!$E$5:$E$204,"A",'支出明細'!$J$5:$J$204,"&gt;=0")=0,"",SUMIFS('支出明細'!$J$5:$J$204,'支出明細'!$A$5:$A$204,A14,'支出明細'!$E$5:$E$204,"A"))</f>
      </c>
      <c r="I14" s="1261" t="str">
        <f>IF(COUNTIFS('支出明細'!$A$5:$A$204,A14,'支出明細'!$E$5:$E$204,"B",'支出明細'!$J$5:$J$204,"&gt;=0")=0,"",SUMIFS('支出明細'!$J$5:$J$204,'支出明細'!$A$5:$A$204,A14,'支出明細'!$E$5:$E$204,"B"))</f>
      </c>
      <c r="J14" s="1262" t="str">
        <f>IF(COUNT(H14:I14)=0,"",SUM(H14:I14))</f>
      </c>
      <c r="K14" s="1262" t="str">
        <f>IF(J14="","",J14/$B$4)</f>
      </c>
      <c r="L14" s="1262" t="str">
        <f>IF(J14="","",J14-G14)</f>
      </c>
      <c r="M14" s="1094" t="str">
        <v>Shabby Chic 老城早餐＋Royal Castle/MSN＋Kameralna 午餐；U Wieniawy 改排 18:00 晚餐，12/26 營業待核；原餐飲 HK$1,700 暫留為規劃額。</v>
      </c>
    </row>
    <row r="15" ht="34" hidden="0" customHeight="1">
      <c r="A15" s="1258" t="n">
        <v>46383</v>
      </c>
      <c r="B15" s="258" t="str">
        <v>華沙→伊斯坦堡｜10 Karaköy</v>
      </c>
      <c r="C15" s="279" t="n">
        <f aca="0">$D$6</f>
        <v>1677</v>
      </c>
      <c r="D15" s="280" t="n">
        <v>1100</v>
      </c>
      <c r="E15" s="280" t="n">
        <v>790</v>
      </c>
      <c r="F15" s="279" t="n">
        <f aca="0"/>
        <v>0</v>
      </c>
      <c r="G15" s="279" t="n">
        <f aca="0">SUM(C15:F15)</f>
        <v>3567</v>
      </c>
      <c r="H15" s="1261" t="str">
        <f>IF(COUNTIFS('支出明細'!$A$5:$A$204,A15,'支出明細'!$E$5:$E$204,"A",'支出明細'!$J$5:$J$204,"&gt;=0")=0,"",SUMIFS('支出明細'!$J$5:$J$204,'支出明細'!$A$5:$A$204,A15,'支出明細'!$E$5:$E$204,"A"))</f>
      </c>
      <c r="I15" s="1261" t="str">
        <f>IF(COUNTIFS('支出明細'!$A$5:$A$204,A15,'支出明細'!$E$5:$E$204,"B",'支出明細'!$J$5:$J$204,"&gt;=0")=0,"",SUMIFS('支出明細'!$J$5:$J$204,'支出明細'!$A$5:$A$204,A15,'支出明細'!$E$5:$E$204,"B"))</f>
      </c>
      <c r="J15" s="1262" t="str">
        <f>IF(COUNT(H15:I15)=0,"",SUM(H15:I15))</f>
      </c>
      <c r="K15" s="1262" t="str">
        <f>IF(J15="","",J15/$B$4)</f>
      </c>
      <c r="L15" s="1262" t="str">
        <f>IF(J15="","",J15-G15)</f>
      </c>
      <c r="M15" s="1094" t="str">
        <v>Lukullus 簡早＋WAW；抵埗 Karaköy 後 🎉 MAFish Wrap 晚餐。</v>
      </c>
    </row>
    <row r="16" ht="34" hidden="0" customHeight="1">
      <c r="A16" s="1259" t="n">
        <v>46384</v>
      </c>
      <c r="B16" s="262" t="str">
        <v>伊斯坦堡｜10 Karaköy</v>
      </c>
      <c r="C16" s="281" t="n">
        <f aca="0">$D$6</f>
        <v>1677</v>
      </c>
      <c r="D16" s="280" t="n">
        <v>1350</v>
      </c>
      <c r="E16" s="280" t="n">
        <v>130</v>
      </c>
      <c r="F16" s="281" t="n">
        <f aca="0"/>
        <v>1100</v>
      </c>
      <c r="G16" s="281" t="n">
        <f aca="0">SUM(C16:F16)</f>
        <v>4257</v>
      </c>
      <c r="H16" s="1261" t="str">
        <f>IF(COUNTIFS('支出明細'!$A$5:$A$204,A16,'支出明細'!$E$5:$E$204,"A",'支出明細'!$J$5:$J$204,"&gt;=0")=0,"",SUMIFS('支出明細'!$J$5:$J$204,'支出明細'!$A$5:$A$204,A16,'支出明細'!$E$5:$E$204,"A"))</f>
      </c>
      <c r="I16" s="1261" t="str">
        <f>IF(COUNTIFS('支出明細'!$A$5:$A$204,A16,'支出明細'!$E$5:$E$204,"B",'支出明細'!$J$5:$J$204,"&gt;=0")=0,"",SUMIFS('支出明細'!$J$5:$J$204,'支出明細'!$A$5:$A$204,A16,'支出明細'!$E$5:$E$204,"B"))</f>
      </c>
      <c r="J16" s="1262" t="str">
        <f>IF(COUNT(H16:I16)=0,"",SUM(H16:I16))</f>
      </c>
      <c r="K16" s="1262" t="str">
        <f>IF(J16="","",J16/$B$4)</f>
      </c>
      <c r="L16" s="1262" t="str">
        <f>IF(J16="","",J16-G16)</f>
      </c>
      <c r="M16" s="1094" t="str">
        <v>Boris 早餐；Mustafa 午餐；MAFish 晚餐。原餐飲預算保留作上限，實付另記。</v>
      </c>
    </row>
    <row r="17" ht="34" hidden="0" customHeight="1">
      <c r="A17" s="1258" t="n">
        <v>46385</v>
      </c>
      <c r="B17" s="258" t="str">
        <v>伊斯坦堡｜10 Karaköy</v>
      </c>
      <c r="C17" s="279" t="n">
        <f aca="0">$D$6</f>
        <v>1677</v>
      </c>
      <c r="D17" s="280" t="n">
        <v>1450</v>
      </c>
      <c r="E17" s="280" t="n">
        <v>160</v>
      </c>
      <c r="F17" s="279" t="n">
        <f aca="0"/>
        <v>750</v>
      </c>
      <c r="G17" s="279" t="n">
        <f aca="0">SUM(C17:F17)</f>
        <v>4037</v>
      </c>
      <c r="H17" s="1261" t="str">
        <f>IF(COUNTIFS('支出明細'!$A$5:$A$204,A17,'支出明細'!$E$5:$E$204,"A",'支出明細'!$J$5:$J$204,"&gt;=0")=0,"",SUMIFS('支出明細'!$J$5:$J$204,'支出明細'!$A$5:$A$204,A17,'支出明細'!$E$5:$E$204,"A"))</f>
      </c>
      <c r="I17" s="1261" t="str">
        <f>IF(COUNTIFS('支出明細'!$A$5:$A$204,A17,'支出明細'!$E$5:$E$204,"B",'支出明細'!$J$5:$J$204,"&gt;=0")=0,"",SUMIFS('支出明細'!$J$5:$J$204,'支出明細'!$A$5:$A$204,A17,'支出明細'!$E$5:$E$204,"B"))</f>
      </c>
      <c r="J17" s="1262" t="str">
        <f>IF(COUNT(H17:I17)=0,"",SUM(H17:I17))</f>
      </c>
      <c r="K17" s="1262" t="str">
        <f>IF(J17="","",J17/$B$4)</f>
      </c>
      <c r="L17" s="1262" t="str">
        <f>IF(J17="","",J17-G17)</f>
      </c>
      <c r="M17" s="1094" t="str">
        <v>HASAN FEHMİ 早餐；MAFish 午餐；Raif Usta 17:45 晚餐。含跨區交通，原預算暫留。</v>
      </c>
    </row>
    <row r="18" ht="34" hidden="0" customHeight="1">
      <c r="A18" s="1259" t="n">
        <v>46386</v>
      </c>
      <c r="B18" s="262" t="str">
        <v>伊斯坦堡｜10 Karaköy</v>
      </c>
      <c r="C18" s="281" t="n">
        <f aca="0">$D$6</f>
        <v>1677</v>
      </c>
      <c r="D18" s="280" t="n">
        <v>1300</v>
      </c>
      <c r="E18" s="280" t="n">
        <v>120</v>
      </c>
      <c r="F18" s="281" t="n">
        <f aca="0"/>
        <v>0</v>
      </c>
      <c r="G18" s="281" t="n">
        <f aca="0">SUM(C18:F18)</f>
        <v>3097</v>
      </c>
      <c r="H18" s="1261" t="str">
        <f>IF(COUNTIFS('支出明細'!$A$5:$A$204,A18,'支出明細'!$E$5:$E$204,"A",'支出明細'!$J$5:$J$204,"&gt;=0")=0,"",SUMIFS('支出明細'!$J$5:$J$204,'支出明細'!$A$5:$A$204,A18,'支出明細'!$E$5:$E$204,"A"))</f>
      </c>
      <c r="I18" s="1261" t="str">
        <f>IF(COUNTIFS('支出明細'!$A$5:$A$204,A18,'支出明細'!$E$5:$E$204,"B",'支出明細'!$J$5:$J$204,"&gt;=0")=0,"",SUMIFS('支出明細'!$J$5:$J$204,'支出明細'!$A$5:$A$204,A18,'支出明細'!$E$5:$E$204,"B"))</f>
      </c>
      <c r="J18" s="1262" t="str">
        <f>IF(COUNT(H18:I18)=0,"",SUM(H18:I18))</f>
      </c>
      <c r="K18" s="1262" t="str">
        <f>IF(J18="","",J18/$B$4)</f>
      </c>
      <c r="L18" s="1262" t="str">
        <f>IF(J18="","",J18-G18)</f>
      </c>
      <c r="M18" s="1094" t="str">
        <v>Boris 早餐；亞洲岸渡輪後 MAFish 14:00 午餐；Mustafa 17:45 晚餐。原餐飲預算保留作上限。</v>
      </c>
    </row>
    <row r="19" ht="34" hidden="0" customHeight="1">
      <c r="A19" s="1258" t="n">
        <v>46387</v>
      </c>
      <c r="B19" s="258" t="str">
        <v>伊斯坦堡／機上</v>
      </c>
      <c r="C19" s="279" t="n">
        <f aca="0">0</f>
        <v>0</v>
      </c>
      <c r="D19" s="280" t="n">
        <v>800</v>
      </c>
      <c r="E19" s="280" t="n">
        <v>550</v>
      </c>
      <c r="F19" s="279" t="n">
        <f aca="0"/>
        <v>0</v>
      </c>
      <c r="G19" s="279" t="n">
        <f aca="0">SUM(C19:F19)</f>
        <v>1350</v>
      </c>
      <c r="H19" s="1261" t="str">
        <f>IF(COUNTIFS('支出明細'!$A$5:$A$204,A19,'支出明細'!$E$5:$E$204,"A",'支出明細'!$J$5:$J$204,"&gt;=0")=0,"",SUMIFS('支出明細'!$J$5:$J$204,'支出明細'!$A$5:$A$204,A19,'支出明細'!$E$5:$E$204,"A"))</f>
      </c>
      <c r="I19" s="1261" t="str">
        <f>IF(COUNTIFS('支出明細'!$A$5:$A$204,A19,'支出明細'!$E$5:$E$204,"B",'支出明細'!$J$5:$J$204,"&gt;=0")=0,"",SUMIFS('支出明細'!$J$5:$J$204,'支出明細'!$A$5:$A$204,A19,'支出明細'!$E$5:$E$204,"B"))</f>
      </c>
      <c r="J19" s="1262" t="str">
        <f>IF(COUNT(H19:I19)=0,"",SUM(H19:I19))</f>
      </c>
      <c r="K19" s="1262" t="str">
        <f>IF(J19="","",J19/$B$4)</f>
      </c>
      <c r="L19" s="1262" t="str">
        <f>IF(J19="","",J19-G19)</f>
      </c>
      <c r="M19" s="1094" t="str">
        <v>🎉 HASAN FEHMİ ÖZSÜT 1915 早餐＋回酒店取行李＋IST；機場午餐與 13:55 EY542。</v>
      </c>
    </row>
    <row r="20" ht="34" hidden="0" customHeight="1">
      <c r="A20" s="1259" t="n">
        <v>46388</v>
      </c>
      <c r="B20" s="262" t="str">
        <v>香港</v>
      </c>
      <c r="C20" s="281" t="n">
        <f aca="0">0</f>
        <v>0</v>
      </c>
      <c r="D20" s="280" t="n">
        <v>100</v>
      </c>
      <c r="E20" s="280" t="n">
        <v>225</v>
      </c>
      <c r="F20" s="281" t="n">
        <f aca="0"/>
        <v>0</v>
      </c>
      <c r="G20" s="281" t="n">
        <f aca="0">SUM(C20:F20)</f>
        <v>325</v>
      </c>
      <c r="H20" s="1261" t="str">
        <f>IF(COUNTIFS('支出明細'!$A$5:$A$204,A20,'支出明細'!$E$5:$E$204,"A",'支出明細'!$J$5:$J$204,"&gt;=0")=0,"",SUMIFS('支出明細'!$J$5:$J$204,'支出明細'!$A$5:$A$204,A20,'支出明細'!$E$5:$E$204,"A"))</f>
      </c>
      <c r="I20" s="1261" t="str">
        <f>IF(COUNTIFS('支出明細'!$A$5:$A$204,A20,'支出明細'!$E$5:$E$204,"B",'支出明細'!$J$5:$J$204,"&gt;=0")=0,"",SUMIFS('支出明細'!$J$5:$J$204,'支出明細'!$A$5:$A$204,A20,'支出明細'!$E$5:$E$204,"B"))</f>
      </c>
      <c r="J20" s="1262" t="str">
        <f>IF(COUNT(H20:I20)=0,"",SUM(H20:I20))</f>
      </c>
      <c r="K20" s="1262" t="str">
        <f>IF(J20="","",J20/$B$4)</f>
      </c>
      <c r="L20" s="1262" t="str">
        <f>IF(J20="","",J20-G20)</f>
      </c>
      <c r="M20" s="1094" t="str">
        <v>返港。</v>
      </c>
    </row>
    <row r="21" ht="34" hidden="0" customHeight="1">
      <c r="A21" s="257"/>
      <c r="B21" s="258"/>
      <c r="C21" s="279">
        <f aca="0"/>
      </c>
      <c r="D21" s="280"/>
      <c r="E21" s="280"/>
      <c r="F21" s="279">
        <f aca="0"/>
      </c>
      <c r="G21" s="279">
        <f aca="0"/>
      </c>
      <c r="H21" s="280"/>
      <c r="I21" s="279"/>
      <c r="J21" s="1263"/>
      <c r="K21" s="1263"/>
      <c r="L21" s="1263"/>
      <c r="M21" s="1094"/>
    </row>
    <row r="22" ht="34" hidden="0" customHeight="1">
      <c r="A22" s="298" t="str">
        <v>全程規劃預算</v>
      </c>
      <c r="B22" s="298"/>
      <c r="C22" s="305"/>
      <c r="D22" s="305"/>
      <c r="E22" s="305"/>
      <c r="F22" s="305"/>
      <c r="G22" s="305" t="n">
        <f aca="0">SUM(G10:G20)</f>
        <v>34180.4</v>
      </c>
      <c r="H22" s="638" t="str">
        <f aca="0">IF(COUNT(H10:H20)=0,"",SUM(H10:H20))</f>
      </c>
      <c r="I22" s="638" t="str">
        <f>IF(COUNT(I10:I20)=0,"",SUM(I10:I20))</f>
      </c>
      <c r="J22" s="1264" t="str">
        <f>IF(COUNT(H10:I20)=0,"",SUM(H10:I20))</f>
      </c>
      <c r="K22" s="1264" t="str">
        <f>IF(J22="","",J22/$B$4)</f>
      </c>
      <c r="L22" s="1096" t="str">
        <f>IF(J22="","",J22-G22)</f>
      </c>
      <c r="M22" s="1097" t="str">
        <v>左邊 G＝規劃；H/I＝兩人實際；J/K＝實際總額／平均</v>
      </c>
    </row>
    <row r="23" ht="34" hidden="0" customHeight="1">
      <c r="A23" s="298" t="str">
        <v>預算緩衝（非實支）</v>
      </c>
      <c r="B23" s="298"/>
      <c r="C23" s="305"/>
      <c r="D23" s="305"/>
      <c r="E23" s="305"/>
      <c r="F23" s="305"/>
      <c r="G23" s="305" t="n">
        <f aca="0">G22*$D$4</f>
        <v>3418.0400000000004</v>
      </c>
      <c r="H23" s="305"/>
      <c r="I23" s="305"/>
      <c r="J23" s="1264"/>
      <c r="K23" s="1264"/>
      <c r="L23" s="1096"/>
      <c r="M23" s="1097" t="str">
        <v>10% 只加入規劃預算，實支不加虛擬緩衝。</v>
      </c>
    </row>
    <row r="24" ht="34" hidden="0" customHeight="1">
      <c r="A24" s="255" t="str">
        <v>含緩衝・兩人預算</v>
      </c>
      <c r="B24" s="255"/>
      <c r="C24" s="277"/>
      <c r="D24" s="277"/>
      <c r="E24" s="277"/>
      <c r="F24" s="277"/>
      <c r="G24" s="277" t="n">
        <f aca="0">G22+G23</f>
        <v>37598.44</v>
      </c>
      <c r="H24" s="277"/>
      <c r="I24" s="277"/>
      <c r="J24" s="1264"/>
      <c r="K24" s="1264"/>
      <c r="L24" s="1096"/>
      <c r="M24" s="1097" t="str">
        <v>真正實支總額看 J22；不含預留或未付金額。</v>
      </c>
    </row>
    <row r="25" ht="34" hidden="0" customHeight="1">
      <c r="A25" s="298" t="str">
        <v>含緩衝・每人預算</v>
      </c>
      <c r="B25" s="298"/>
      <c r="C25" s="305"/>
      <c r="D25" s="305"/>
      <c r="E25" s="305"/>
      <c r="F25" s="305"/>
      <c r="G25" s="305" t="n">
        <f aca="0">G24/$B$4</f>
        <v>18799.22</v>
      </c>
      <c r="H25" s="305"/>
      <c r="I25" s="305"/>
      <c r="J25" s="1264"/>
      <c r="K25" s="1264"/>
      <c r="L25" s="1096"/>
      <c r="M25" s="1097" t="str"/>
    </row>
    <row r="26" ht="34" hidden="0" customHeight="1">
      <c r="A26" s="393"/>
      <c r="B26" s="393"/>
      <c r="C26" s="393"/>
      <c r="D26" s="393"/>
      <c r="E26" s="393"/>
      <c r="F26" s="393"/>
      <c r="G26" s="393"/>
      <c r="H26" s="393"/>
      <c r="I26" s="393"/>
      <c r="J26" s="1094"/>
      <c r="K26" s="1094"/>
      <c r="L26" s="1094"/>
      <c r="M26" s="1094"/>
    </row>
    <row r="27" ht="55" hidden="0" customHeight="1">
      <c r="A27" s="1109" t="str">
        <v>住宿按 4 晚華沙＋4 晚伊斯坦堡，D5／D6 為每晚雙人房估算。匯率為可改假設；逐筆 I 欄可填實際結算匯率。正常早餐外食；聖誕供餐全關時酒店僅作保底。</v>
      </c>
      <c r="B27" s="1109"/>
      <c r="C27" s="1109"/>
      <c r="D27" s="1109"/>
      <c r="E27" s="1109"/>
      <c r="F27" s="1109"/>
      <c r="G27" s="1109"/>
      <c r="H27" s="1109"/>
      <c r="I27" s="1109"/>
      <c r="J27" s="1110"/>
      <c r="K27" s="1110"/>
      <c r="L27" s="1110"/>
      <c r="M27" s="1110"/>
    </row>
    <row r="28" ht="32" hidden="0" customHeight="1">
      <c r="A28" s="51"/>
      <c r="B28" s="51"/>
      <c r="C28" s="51"/>
      <c r="D28" s="51"/>
      <c r="E28" s="51"/>
      <c r="F28" s="51"/>
      <c r="G28" s="51"/>
      <c r="H28" s="51"/>
      <c r="I28" s="51"/>
    </row>
    <row r="29" ht="32" hidden="0" customHeight="1">
      <c r="A29" s="49" t="str">
        <v>結算（HKD）</v>
      </c>
      <c r="B29" s="49" t="str">
        <v>金額</v>
      </c>
      <c r="C29" s="49"/>
      <c r="D29" s="49"/>
      <c r="E29" s="49"/>
      <c r="F29" s="49"/>
      <c r="G29" s="49"/>
      <c r="H29" s="49"/>
      <c r="I29" s="49"/>
    </row>
    <row r="30" ht="32" hidden="0" customHeight="1">
      <c r="A30" s="51" t="str">
        <v>A 已付款</v>
      </c>
      <c r="B30" s="1265" t="n">
        <f>SUMIFS('支出明細'!$J$5:$J$204,'支出明細'!$E$5:$E$204,"A")</f>
        <v>0</v>
      </c>
      <c r="C30" s="51"/>
      <c r="D30" s="52"/>
      <c r="E30" s="52"/>
      <c r="F30" s="52"/>
      <c r="G30" s="51">
        <f aca="0"/>
      </c>
      <c r="H30" s="51"/>
      <c r="I30" s="51"/>
    </row>
    <row r="31" ht="32" hidden="0" customHeight="1">
      <c r="A31" s="51" t="str">
        <v>A 應負擔</v>
      </c>
      <c r="B31" s="1265" t="n">
        <f>SUM('支出明細'!K5:K204)</f>
        <v>0</v>
      </c>
      <c r="C31" s="51"/>
      <c r="D31" s="52"/>
      <c r="E31" s="52"/>
      <c r="F31" s="52"/>
      <c r="G31" s="51">
        <f aca="0"/>
      </c>
      <c r="H31" s="51"/>
      <c r="I31" s="51"/>
    </row>
    <row r="32" ht="32" hidden="0" customHeight="1">
      <c r="A32" s="51" t="str">
        <v>B 已付款</v>
      </c>
      <c r="B32" s="1265" t="n">
        <f>SUMIFS('支出明細'!$J$5:$J$204,'支出明細'!$E$5:$E$204,"B")</f>
        <v>0</v>
      </c>
      <c r="C32" s="51"/>
      <c r="D32" s="51"/>
      <c r="E32" s="51"/>
      <c r="F32" s="51"/>
      <c r="G32" s="51"/>
      <c r="H32" s="51"/>
      <c r="I32" s="51"/>
    </row>
    <row r="33" ht="32" hidden="0" customHeight="1">
      <c r="A33" s="50" t="str">
        <v>B 應負擔</v>
      </c>
      <c r="B33" s="1266" t="n">
        <f>SUM('支出明細'!L5:L204)</f>
        <v>0</v>
      </c>
      <c r="C33" s="50"/>
      <c r="D33" s="50"/>
      <c r="E33" s="50"/>
      <c r="F33" s="50"/>
      <c r="G33" s="50"/>
      <c r="H33" s="50"/>
      <c r="I33" s="50"/>
    </row>
    <row r="34" ht="32" hidden="0" customHeight="1">
      <c r="A34" s="51" t="str">
        <v>A 應收（正）／應付（負）</v>
      </c>
      <c r="B34" s="1265" t="str">
        <f>IF(COUNT('支出明細'!J5:J204)=0,"",B30-B31)</f>
      </c>
      <c r="C34" s="51"/>
      <c r="D34" s="51"/>
      <c r="E34" s="51"/>
      <c r="F34" s="51"/>
      <c r="G34" s="51"/>
      <c r="H34" s="51"/>
      <c r="I34" s="51"/>
    </row>
    <row r="35" ht="32" hidden="0" customHeight="1">
      <c r="A35" s="51" t="str">
        <v>B 應收（正）／應付（負）</v>
      </c>
      <c r="B35" s="1265" t="str">
        <f>IF(COUNT('支出明細'!J5:J204)=0,"",B32-B33)</f>
      </c>
      <c r="C35" s="51"/>
      <c r="D35" s="51"/>
      <c r="E35" s="51"/>
      <c r="F35" s="51"/>
      <c r="G35" s="51"/>
      <c r="H35" s="51"/>
      <c r="I35" s="51"/>
    </row>
    <row r="36" ht="32" hidden="0" customHeight="1">
      <c r="A36" s="51" t="str">
        <v>待補完整的實支筆數</v>
      </c>
      <c r="B36" s="51" t="n">
        <f>COUNT('支出明細'!H5:H204)-COUNT('支出明細'!J5:J204)</f>
        <v>0</v>
      </c>
      <c r="C36" s="51"/>
      <c r="D36" s="51"/>
      <c r="E36" s="51"/>
      <c r="F36" s="51"/>
      <c r="G36" s="51"/>
      <c r="H36" s="51"/>
      <c r="I36" s="51"/>
    </row>
    <row r="37" ht="32" hidden="0" customHeight="1">
      <c r="A37" s="51"/>
      <c r="B37" s="51"/>
      <c r="C37" s="51"/>
      <c r="D37" s="51"/>
      <c r="E37" s="51"/>
      <c r="F37" s="51"/>
      <c r="G37" s="51"/>
      <c r="H37" s="51"/>
      <c r="I37" s="51"/>
    </row>
    <row r="38" ht="32" hidden="0" customHeight="1">
      <c r="A38" s="51" t="str">
        <f>HYPERLINK("#'每日行程'!A1","返回每日行程")</f>
        <v>返回每日行程</v>
      </c>
      <c r="B38" s="51" t="str">
        <f>HYPERLINK("#'支出明細'!A1","填寫支出明細")</f>
        <v>填寫支出明細</v>
      </c>
      <c r="C38" s="51"/>
      <c r="D38" s="51"/>
      <c r="E38" s="51"/>
      <c r="F38" s="51"/>
      <c r="G38" s="51"/>
      <c r="H38" s="51"/>
      <c r="I38" s="51"/>
    </row>
    <row r="39" ht="32" hidden="0" customHeight="1">
      <c r="A39" s="51"/>
      <c r="B39" s="51"/>
      <c r="C39" s="51"/>
      <c r="D39" s="51"/>
      <c r="E39" s="51"/>
      <c r="F39" s="51"/>
      <c r="G39" s="51"/>
      <c r="H39" s="51"/>
      <c r="I39" s="51"/>
    </row>
    <row r="40" ht="32" hidden="0" customHeight="1">
      <c r="A40" s="51"/>
      <c r="B40" s="51"/>
      <c r="C40" s="51"/>
      <c r="D40" s="51"/>
      <c r="E40" s="51"/>
      <c r="F40" s="51"/>
      <c r="G40" s="51"/>
      <c r="H40" s="51"/>
      <c r="I40" s="51"/>
    </row>
    <row r="41" ht="32" hidden="0" customHeight="1">
      <c r="A41" s="51"/>
      <c r="B41" s="51"/>
      <c r="C41" s="51"/>
      <c r="D41" s="51"/>
      <c r="E41" s="51"/>
      <c r="F41" s="51"/>
      <c r="G41" s="51"/>
      <c r="H41" s="51"/>
      <c r="I41" s="51"/>
    </row>
    <row r="42" ht="32" hidden="0" customHeight="1">
      <c r="A42" s="51"/>
      <c r="B42" s="51"/>
      <c r="C42" s="51"/>
      <c r="D42" s="51"/>
      <c r="E42" s="51"/>
      <c r="F42" s="51"/>
      <c r="G42" s="51"/>
      <c r="H42" s="51"/>
      <c r="I42" s="51"/>
    </row>
    <row r="43" ht="32" hidden="0" customHeight="1">
      <c r="A43" s="51"/>
      <c r="B43" s="51"/>
      <c r="C43" s="51"/>
      <c r="D43" s="51"/>
      <c r="E43" s="51"/>
      <c r="F43" s="51"/>
      <c r="G43" s="51"/>
      <c r="H43" s="51"/>
      <c r="I43" s="51"/>
    </row>
    <row r="44" ht="32" hidden="0" customHeight="1">
      <c r="A44" s="51"/>
      <c r="B44" s="51"/>
      <c r="C44" s="51"/>
      <c r="D44" s="51"/>
      <c r="E44" s="51"/>
      <c r="F44" s="51"/>
      <c r="G44" s="51"/>
      <c r="H44" s="51"/>
      <c r="I44" s="51"/>
    </row>
    <row r="45" ht="32" hidden="0" customHeight="1">
      <c r="A45" s="51"/>
      <c r="B45" s="51"/>
      <c r="C45" s="51"/>
      <c r="D45" s="51"/>
      <c r="E45" s="51"/>
      <c r="F45" s="51"/>
      <c r="G45" s="51"/>
      <c r="H45" s="51"/>
      <c r="I45" s="51"/>
    </row>
    <row r="46" ht="32" hidden="0" customHeight="1">
      <c r="A46" s="51"/>
      <c r="B46" s="51"/>
      <c r="C46" s="51"/>
      <c r="D46" s="51"/>
      <c r="E46" s="51"/>
      <c r="F46" s="51"/>
      <c r="G46" s="51"/>
      <c r="H46" s="51"/>
      <c r="I46" s="51"/>
    </row>
    <row r="47" ht="28" hidden="0" customHeight="1"/>
    <row r="48" ht="28" hidden="0" customHeight="1"/>
    <row r="49" ht="28" hidden="0" customHeight="1"/>
    <row r="50" ht="28" hidden="0" customHeight="1"/>
    <row r="51" ht="28" hidden="0" customHeight="1"/>
    <row r="52" ht="28" hidden="0" customHeight="1"/>
    <row r="53" ht="28" hidden="0" customHeight="1"/>
    <row r="54" ht="28" hidden="0" customHeight="1"/>
    <row r="55" ht="28" hidden="0" customHeight="1"/>
    <row r="56" ht="28" hidden="0" customHeight="1"/>
    <row r="57" ht="28" hidden="0" customHeight="1"/>
    <row r="58" ht="52" hidden="0" customHeight="1"/>
    <row r="59" ht="28" hidden="0" customHeight="1"/>
    <row r="60" ht="50" hidden="0" customHeight="1"/>
    <row r="61" ht="28" hidden="0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</row>
    <row r="62" ht="28" hidden="0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</row>
    <row r="63" ht="28" hidden="0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</row>
    <row r="64" ht="28" hidden="0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</row>
    <row r="65" ht="28" hidden="0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</row>
  </sheetData>
  <mergeCells>
    <mergeCell ref="A5:C5"/>
    <mergeCell ref="E5:F5"/>
    <mergeCell ref="A6:C6"/>
    <mergeCell ref="E6:F6"/>
    <mergeCell ref="A8:I8"/>
    <mergeCell ref="A22:F22"/>
    <mergeCell ref="A23:F23"/>
    <mergeCell ref="A24:F24"/>
    <mergeCell ref="A25:F25"/>
    <mergeCell ref="A1:M1"/>
    <mergeCell ref="A2:M2"/>
    <mergeCell ref="A27:M27"/>
  </mergeCells>
  <dataValidations count="2">
    <dataValidation type="list" errorStyle="stop" operator="between" allowBlank="0" showDropDown="0" showInputMessage="0" showErrorMessage="0" sqref="C32:C51">
      <formula1>"HKD,PLN,TRY,EUR"</formula1>
      <formula2>0</formula2>
    </dataValidation>
    <dataValidation type="list" errorStyle="stop" operator="between" allowBlank="0" showDropDown="0" showInputMessage="0" showErrorMessage="0" sqref="G32:G51">
      <formula1>"旅伴A,旅伴B"</formula1>
      <formula2>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openxmlformats.org/officeDocument/2006/relationships">
  <sheetPr>
    <tabColor rgb="FFA5A5A5"/>
  </sheetPr>
  <sheetViews>
    <sheetView showGridLines="0" workbookViewId="0">
      <pane xSplit="1" ySplit="4" topLeftCell="B5" activePane="bottomRight" state="frozen"/>
    </sheetView>
  </sheetViews>
  <sheetFormatPr defaultColWidth="8.6796875" defaultRowHeight="15"/>
  <cols>
    <col min="1" max="1" width="12" hidden="0" customWidth="1"/>
    <col min="2" max="2" width="30" hidden="0" customWidth="1"/>
    <col min="3" max="4" width="42" hidden="0" customWidth="1"/>
    <col min="5" max="5" width="42" hidden="0" customWidth="1"/>
    <col min="6" max="6" width="38" hidden="0" customWidth="1"/>
    <col min="7" max="7" width="26" hidden="0" customWidth="1"/>
    <col min="8" max="8" width="30" hidden="0" customWidth="1"/>
    <col min="3" max="3" width="22" hidden="0" customWidth="1"/>
    <col min="4" max="4" width="14" hidden="0" customWidth="1"/>
    <col min="9" max="9" width="34" hidden="0" customWidth="1"/>
    <col min="10" max="10" width="42" hidden="0" customWidth="1"/>
  </cols>
  <sheetData>
    <row r="1" ht="36" hidden="0" customHeight="1">
      <c r="A1" s="1116" t="str">
        <v>逛街・城市散步・壞天氣備案｜不留『不知道做什麼』的空檔</v>
      </c>
      <c r="B1" s="1100"/>
      <c r="C1" s="1100"/>
      <c r="D1" s="1100"/>
      <c r="E1" s="1100"/>
      <c r="F1" s="1100"/>
      <c r="G1" s="1100"/>
      <c r="H1" s="1100"/>
      <c r="I1" s="1100"/>
      <c r="J1" s="1100"/>
    </row>
    <row r="2" ht="110" hidden="0" customHeight="1">
      <c r="A2" s="780" t="str">
        <v>這一頁不是塞更多必去景點，而是提早逛完、天氣變差或餐廳未開時的明確替代方案。散步／街區慢逛用粉紅色；正餐查「華沙餐廳／伊斯坦堡餐廳」，咖啡／茶／甜點另看獨立分頁。</v>
      </c>
      <c r="B2" s="369"/>
      <c r="C2" s="369"/>
      <c r="D2" s="369"/>
      <c r="E2" s="369"/>
      <c r="F2" s="369"/>
      <c r="G2" s="369"/>
      <c r="H2" s="369"/>
      <c r="I2" s="1115"/>
      <c r="J2" s="1115"/>
    </row>
    <row r="3" ht="32" hidden="0" customHeight="1">
      <c r="A3" s="255"/>
      <c r="B3" s="255"/>
      <c r="C3" s="255"/>
      <c r="D3" s="255"/>
      <c r="E3" s="255"/>
      <c r="F3" s="255"/>
      <c r="G3" s="255"/>
      <c r="H3" s="255"/>
      <c r="I3" s="1094"/>
      <c r="J3" s="1094"/>
    </row>
    <row r="4" ht="40" hidden="0" customHeight="1">
      <c r="A4" s="1267" t="str">
        <v>城市</v>
      </c>
      <c r="B4" s="1267" t="str">
        <v>區域／路線</v>
      </c>
      <c r="C4" s="1267" t="str">
        <v>適合什麼時候</v>
      </c>
      <c r="D4" s="1267" t="str">
        <v>建議時間</v>
      </c>
      <c r="E4" s="1267" t="str">
        <v>具體怎樣走</v>
      </c>
      <c r="F4" s="1267" t="str">
        <v>會看到什麼</v>
      </c>
      <c r="G4" s="1267" t="str">
        <f aca="0"/>
        <v>附近咖啡／茶</v>
      </c>
      <c r="H4" s="1267" t="str">
        <v>壞天氣替代</v>
      </c>
      <c r="I4" s="1267" t="str">
        <v>提醒</v>
      </c>
      <c r="J4" s="1267" t="str">
        <v>地圖</v>
      </c>
    </row>
    <row r="5" ht="60" hidden="0" customHeight="1">
      <c r="A5" s="393" t="str">
        <v>華沙</v>
      </c>
      <c r="B5" s="393" t="str">
        <v>Old Town → New Town → Barbican</v>
      </c>
      <c r="C5" s="393" t="str">
        <v>12/24 博物館關門日</v>
      </c>
      <c r="D5" s="393" t="str">
        <v>1.5–2h</v>
      </c>
      <c r="E5" s="393" t="str">
        <v>Castle Square → Market Square → Kanonia → Barbican → Freta</v>
      </c>
      <c r="F5" s="393" t="str">
        <v>燈飾、紅磚小巷、重建街屋</v>
      </c>
      <c r="G5" s="393" t="str">
        <f aca="0"/>
        <v>Coffee Karma／Old Town 可開咖啡店</v>
      </c>
      <c r="H5" s="393" t="str">
        <v>縮短戶外；找開門咖啡店暖身</v>
      </c>
      <c r="I5" s="1094" t="str">
        <v>12/24 商戶會提早收，下午不要依賴購物</v>
      </c>
      <c r="J5" s="1094" t="str">
        <v>https://www.google.com/maps</v>
      </c>
    </row>
    <row r="6" ht="60" hidden="0" customHeight="1">
      <c r="A6" s="393" t="str">
        <v>華沙</v>
      </c>
      <c r="B6" s="393" t="str">
        <v>Royal Route → Nowy Świat</v>
      </c>
      <c r="C6" s="393" t="str">
        <v>12/24 晚／任一晚</v>
      </c>
      <c r="D6" s="393" t="str">
        <v>1–1.5h</v>
      </c>
      <c r="E6" s="393" t="str">
        <v>Krakowskie Przedmieście 一路向南至 Nowy Świat</v>
      </c>
      <c r="F6" s="393" t="str">
        <v>總統府外觀、教堂、燈飾、人流</v>
      </c>
      <c r="G6" s="393" t="str">
        <f aca="0"/>
        <v>沿線咖啡店</v>
      </c>
      <c r="H6" s="393" t="str">
        <v>搭巴士回酒店</v>
      </c>
      <c r="I6" s="1094" t="str">
        <v>冬天路滑，穿防滑鞋</v>
      </c>
      <c r="J6" s="1094" t="str">
        <v>https://www.google.com/maps</v>
      </c>
    </row>
    <row r="7" ht="60" hidden="0" customHeight="1">
      <c r="A7" s="393" t="str">
        <v>華沙</v>
      </c>
      <c r="B7" s="393" t="str">
        <v>Mokotowska → Plac Zbawiciela → Plac Konstytucji</v>
      </c>
      <c r="C7" s="393" t="str">
        <v>12/25 下午</v>
      </c>
      <c r="D7" s="393" t="str">
        <v>1.5–2h</v>
      </c>
      <c r="E7" s="393" t="str">
        <v>Mokotowska 南行→救世主廣場→Marszałkowska</v>
      </c>
      <c r="F7" s="393" t="str">
        <v>本地住宅街、咖啡文化、社會主義城市尺度</v>
      </c>
      <c r="G7" s="393" t="str">
        <f aca="0"/>
        <v>Ministerstwo Kawy／Relaks</v>
      </c>
      <c r="H7" s="393" t="str">
        <v>若很冷就縮成咖啡＋短街拍</v>
      </c>
      <c r="I7" s="1094" t="str">
        <v>聖誕商店多關，但街區本身仍可走</v>
      </c>
      <c r="J7" s="1094" t="str">
        <v>https://www.google.com/maps</v>
      </c>
    </row>
    <row r="8" ht="60" hidden="0" customHeight="1">
      <c r="A8" s="393" t="str">
        <v>華沙</v>
      </c>
      <c r="B8" s="393" t="str">
        <v>Powiśle → Vistula</v>
      </c>
      <c r="C8" s="393" t="str">
        <v>天氣好</v>
      </c>
      <c r="D8" s="393" t="str">
        <v>1–1.5h</v>
      </c>
      <c r="E8" s="780" t="str">
        <v>由市中心向河邊下坡，沿河短走</v>
      </c>
      <c r="F8" s="393" t="str">
        <v>現代建築、橋、遠望老城</v>
      </c>
      <c r="G8" s="393" t="str">
        <f aca="0"/>
        <v>STOR／Kafka</v>
      </c>
      <c r="H8" s="393" t="str">
        <v>Museum of Modern Art（12/26）</v>
      </c>
      <c r="I8" s="1094" t="str">
        <v>風大就取消河岸</v>
      </c>
      <c r="J8" s="1094" t="str">
        <v>https://www.google.com/maps</v>
      </c>
    </row>
    <row r="9" ht="60" hidden="0" customHeight="1">
      <c r="A9" s="393" t="str">
        <v>華沙</v>
      </c>
      <c r="B9" s="393" t="str">
        <v>Praga: Ząbkowska → Koneser</v>
      </c>
      <c r="C9" s="393" t="str">
        <v>若想更在地</v>
      </c>
      <c r="D9" s="393" t="str">
        <v>2–3h</v>
      </c>
      <c r="E9" s="393" t="str">
        <v>電車過河，Ząbkowska 舊街→Koneser</v>
      </c>
      <c r="F9" s="393" t="str">
        <v>戰前街屋、工業改造、較少旅客</v>
      </c>
      <c r="G9" s="393" t="str">
        <f aca="0"/>
        <v>當區獨立咖啡店</v>
      </c>
      <c r="H9" s="393" t="str">
        <v>Koneser 室內空間是否開需查</v>
      </c>
      <c r="I9" s="1094" t="str">
        <v>不建議 12/24–25 晚上才第一次去</v>
      </c>
      <c r="J9" s="1094" t="str">
        <v>https://www.google.com/maps</v>
      </c>
    </row>
    <row r="10" ht="60" hidden="0" customHeight="1">
      <c r="A10" s="393" t="str">
        <v>伊斯坦堡</v>
      </c>
      <c r="B10" s="393" t="str">
        <v>Karaköy → Bankalar → Galata</v>
      </c>
      <c r="C10" s="393" t="str">
        <v>抵埗晚／12/29</v>
      </c>
      <c r="D10" s="393" t="str">
        <v>1.5–2h</v>
      </c>
      <c r="E10" s="393" t="str">
        <v>Karaköy 巷→SALT→Kamondo→Galata 上坡</v>
      </c>
      <c r="F10" s="393" t="str">
        <v>老銀行、設計店、街貓、塔樓街景</v>
      </c>
      <c r="G10" s="393" t="str">
        <f aca="0"/>
        <v>Güllüoğlu／附近 çay</v>
      </c>
      <c r="H10" s="393" t="str">
        <v>SALT（Tue–Sun）</v>
      </c>
      <c r="I10" s="1094" t="str">
        <v>石板路陡，雨天防滑</v>
      </c>
      <c r="J10" s="1094" t="str">
        <v>https://www.google.com/maps</v>
      </c>
    </row>
    <row r="11" ht="60" hidden="0" customHeight="1">
      <c r="A11" s="393" t="str">
        <v>伊斯坦堡</v>
      </c>
      <c r="B11" s="393" t="str">
        <v>İstiklal → Çukurcuma</v>
      </c>
      <c r="C11" s="393" t="str">
        <v>晚餐後</v>
      </c>
      <c r="D11" s="393" t="str">
        <v>1.5–2h</v>
      </c>
      <c r="E11" s="393" t="str">
        <v>Tünel／Galatasaray 一帶慢走→古董巷</v>
      </c>
      <c r="F11" s="393" t="str">
        <v>19 世紀公寓、書店、古董與夜生活</v>
      </c>
      <c r="G11" s="393" t="str">
        <v>傳統茶／咖啡很多</v>
      </c>
      <c r="H11" s="393" t="str">
        <v>室內書店／咖啡</v>
      </c>
      <c r="I11" s="1094" t="str">
        <v>人多時保管好手機錢包</v>
      </c>
      <c r="J11" s="1094" t="str">
        <v>https://www.google.com/maps</v>
      </c>
    </row>
    <row r="12" ht="60" hidden="0" customHeight="1">
      <c r="A12" s="298" t="str">
        <v>伊斯坦堡</v>
      </c>
      <c r="B12" s="298" t="str">
        <v>Beşiktaş Çarşı → Akaretler</v>
      </c>
      <c r="C12" s="298" t="str">
        <v>12/29 中午</v>
      </c>
      <c r="D12" s="298" t="str">
        <v>1–1.5h</v>
      </c>
      <c r="E12" s="298" t="str">
        <v>魚市場→Çarşı→Akaretler 聯排屋</v>
      </c>
      <c r="F12" s="298" t="str">
        <v>本地市場、球迷文化、咖啡與設計店</v>
      </c>
      <c r="G12" s="298" t="str">
        <v>Beşiktaş 早餐店</v>
      </c>
      <c r="H12" s="298" t="str">
        <v>Istanbul Modern</v>
      </c>
      <c r="I12" s="1094" t="str">
        <v>與 Yıldız／Beşiktaş 同區串聯；不再回填 Dolmabahçe。</v>
      </c>
      <c r="J12" s="1094" t="str">
        <v>https://www.google.com/maps</v>
      </c>
    </row>
    <row r="13" ht="60" customHeight="1">
      <c r="A13" s="1094" t="str">
        <v>伊斯坦堡</v>
      </c>
      <c r="B13" s="1094" t="str">
        <v>Kadıköy Market → Moda</v>
      </c>
      <c r="C13" s="1094" t="str">
        <v>多出半天</v>
      </c>
      <c r="D13" s="1094" t="str">
        <v>3–4h</v>
      </c>
      <c r="E13" s="1094" t="str">
        <v>渡輪→市場→Bahariye→Moda 海邊</v>
      </c>
      <c r="F13" s="1094" t="str">
        <v>亞洲岸日常食材、居民街區、海邊</v>
      </c>
      <c r="G13" s="1094" t="str">
        <v>Moda Aile Çay Bahçesi</v>
      </c>
      <c r="H13" s="1094" t="str">
        <v>Çiya Sofrası 吃飯＋咖啡店</v>
      </c>
      <c r="I13" s="1094" t="str">
        <v>主行程已滿時不要硬塞</v>
      </c>
      <c r="J13" s="1094" t="str">
        <v>https://www.google.com/maps</v>
      </c>
    </row>
    <row r="14" ht="60" customHeight="1">
      <c r="A14" s="1094" t="str">
        <v>伊斯坦堡</v>
      </c>
      <c r="B14" s="1094" t="str">
        <v>Eminönü → Rüstem Paşa → Spice Bazaar</v>
      </c>
      <c r="C14" s="1094" t="str">
        <v>12/30 下午</v>
      </c>
      <c r="D14" s="1094" t="str">
        <v>1.5–2h</v>
      </c>
      <c r="E14" s="1094" t="str">
        <v>橋頭→清真寺→香料市集→周邊商街</v>
      </c>
      <c r="F14" s="1094" t="str">
        <v>渡輪、香料、瓷磚、商販街</v>
      </c>
      <c r="G14" s="1094" t="str">
        <v>沿途 çay</v>
      </c>
      <c r="H14" s="1094" t="str">
        <v>本次不回填已去過的大景點；天雨縮短散步，改已確認開門咖啡／酒店休息。</v>
      </c>
      <c r="I14" s="1094" t="str">
        <v>別只逛市集主廊</v>
      </c>
      <c r="J14" s="1094" t="str">
        <v>https://www.google.com/maps</v>
      </c>
    </row>
    <row r="15" ht="60" customHeight="1">
      <c r="A15" s="1094" t="str">
        <v>伊斯坦堡</v>
      </c>
      <c r="B15" s="1094" t="str">
        <v>Fener → Balat</v>
      </c>
      <c r="C15" s="1094" t="str">
        <v>攝影備選</v>
      </c>
      <c r="D15" s="1094" t="str">
        <v>2–3h</v>
      </c>
      <c r="E15" s="1094" t="str">
        <v>沿金角灣→坡上街區→教堂外觀</v>
      </c>
      <c r="F15" s="1094" t="str">
        <v>彩色屋、教堂、老社區</v>
      </c>
      <c r="G15" s="1094" t="str">
        <v>沿線咖啡</v>
      </c>
      <c r="H15" s="1094" t="str">
        <v>回 Karaköy 的咖啡／SALT</v>
      </c>
      <c r="I15" s="1094" t="str">
        <v>坡度大，雨天不優先</v>
      </c>
      <c r="J15" s="1094" t="str">
        <v>https://www.google.com/maps</v>
      </c>
    </row>
    <row r="16" ht="76" customHeight="1">
      <c r="A16" s="780" t="str">
        <v>伊斯坦堡</v>
      </c>
      <c r="B16" s="780" t="str">
        <v>Vefa → Kalenderhane → Valens → Zeyrek</v>
      </c>
      <c r="C16" s="780" t="str">
        <v>12/28 上午／博物館後</v>
      </c>
      <c r="D16" s="780" t="str">
        <v>1.5–2h</v>
      </c>
      <c r="E16" s="780" t="str">
        <v>Şehzade → Kalenderhane → Valens Aqueduct → Vefa 小街 → Zeyrek 外圍</v>
      </c>
      <c r="F16" s="780" t="str">
        <v>拜占庭教堂改清真寺、Sinan、羅馬水道、非觀光居民區</v>
      </c>
      <c r="G16" s="780" t="str">
        <v>茶／咖啡另看「伊斯坦堡茶咖啡」</v>
      </c>
      <c r="H16" s="780" t="str">
        <v>雨大：縮成 Kalenderhane＋Şehzade</v>
      </c>
      <c r="I16" s="780" t="str">
        <v>坡路＋石板；宗教場所避禮拜</v>
      </c>
      <c r="J16" s="780" t="str">
        <v>https://www.google.com/maps/search/?api=1&amp;query=Kalenderhane%20Mosque%20Istanbul</v>
      </c>
    </row>
    <row r="17" ht="76" customHeight="1">
      <c r="A17" s="780" t="str">
        <v>伊斯坦堡</v>
      </c>
      <c r="B17" s="780" t="str">
        <v>Fener 多宗教深度線</v>
      </c>
      <c r="C17" s="780" t="str">
        <v>12/28 下午</v>
      </c>
      <c r="D17" s="780" t="str">
        <v>2.5–3h</v>
      </c>
      <c r="E17" s="780" t="str">
        <v>St. Stephen Iron Church → Patriarchate → Fener 上坡 → St. Mary of the Mongols → Balat 下坡</v>
      </c>
      <c r="F17" s="780" t="str">
        <v>保加利亞、希臘正教、Ottoman 住宅與金角灣社群史</v>
      </c>
      <c r="G17" s="780" t="str">
        <v>茶咖啡另頁</v>
      </c>
      <c r="H17" s="780" t="str">
        <v>大雨：保留鐵教堂＋Patriarchate</v>
      </c>
      <c r="I17" s="780" t="str">
        <v>不要只追彩色屋；居民巷注意私隱</v>
      </c>
      <c r="J17" s="780" t="str">
        <v>https://www.google.com/maps/search/?api=1&amp;query=Fener%20Istanbul%20Istanbul</v>
      </c>
    </row>
    <row r="18" ht="76" customHeight="1">
      <c r="A18" s="780" t="str">
        <v>伊斯坦堡</v>
      </c>
      <c r="B18" s="780" t="str">
        <v>Yıldız → Beşiktaş → Beyoğlu 文化線</v>
      </c>
      <c r="C18" s="780" t="str">
        <v>12/29</v>
      </c>
      <c r="D18" s="780" t="str">
        <v>4–5h（含館）</v>
      </c>
      <c r="E18" s="780" t="str">
        <v>Yıldız Palace → Yıldız Park → Beşiktaş → Adam Mickiewicz Museum → Galata Mevlevi → Arap Mosque</v>
      </c>
      <c r="F18" s="780" t="str">
        <v>晚期 Ottoman、波蘭－土耳其、Sufi、Gothic Galata 四種層次</v>
      </c>
      <c r="G18" s="780" t="str">
        <v>茶咖啡另頁</v>
      </c>
      <c r="H18" s="780" t="str">
        <v>雨天仍可保留三個室內館</v>
      </c>
      <c r="I18" s="780" t="str">
        <v>Adam winter 16:00 關，不能拖</v>
      </c>
      <c r="J18" s="780" t="str">
        <v>https://www.google.com/maps/search/?api=1&amp;query=Adam%20Mickiewicz%20Museum%20Istanbul%20Istanbul</v>
      </c>
    </row>
    <row r="19" ht="76" customHeight="1">
      <c r="A19" s="780" t="str">
        <v>伊斯坦堡</v>
      </c>
      <c r="B19" s="780" t="str">
        <v>Kuzguncuk → Üsküdar → Kadıköy → Moda</v>
      </c>
      <c r="C19" s="780" t="str">
        <v>12/30</v>
      </c>
      <c r="D19" s="780" t="str">
        <v>5–6h（含午餐）</v>
      </c>
      <c r="E19" s="780" t="str">
        <v>Kuzguncuk Bostanı／宗教街 → Fethi Paşa → Kadıköy Market → Bahariye → Moda → 渡輪回 Karaköy</v>
      </c>
      <c r="F19" s="780" t="str">
        <v>亞洲岸居民生活、木屋、多宗教、街市、海邊</v>
      </c>
      <c r="G19" s="780" t="str">
        <v>Moda/Fazıl Bey 等見茶咖啡頁</v>
      </c>
      <c r="H19" s="780" t="str">
        <v>雨天取消 Fethi Paşa／Moda，保留市場＋午餐</v>
      </c>
      <c r="I19" s="780" t="str">
        <v>synagogue 入內需事先許可；本行程只排外觀</v>
      </c>
      <c r="J19" s="780" t="str">
        <v>https://www.google.com/maps/search/?api=1&amp;query=Kuzguncuk%20Istanbul%20Istanbul</v>
      </c>
    </row>
    <row r="20" ht="76" customHeight="1">
      <c r="A20" s="780" t="str">
        <v>伊斯坦堡</v>
      </c>
      <c r="B20" s="780" t="str">
        <v>Aşiyan → Bebek → Arnavutköy</v>
      </c>
      <c r="C20" s="780" t="str">
        <v>文學／海峽備選</v>
      </c>
      <c r="D20" s="780" t="str">
        <v>2.5–3h</v>
      </c>
      <c r="E20" s="780" t="str">
        <v>Aşiyan Museum → Bebek waterfront → Arnavutköy 木屋／海峽街</v>
      </c>
      <c r="F20" s="780" t="str">
        <v>Tevfik Fikret 故居、Bosphorus 居民街區</v>
      </c>
      <c r="G20" s="780" t="str">
        <v>Bebek coffee 另查獨立頁</v>
      </c>
      <c r="H20" s="780" t="str">
        <v>雨天只看 Aşiyan Museum</v>
      </c>
      <c r="I20" s="780" t="str">
        <v>若主線太滿，不與 Yıldız 同日硬塞</v>
      </c>
      <c r="J20" s="780" t="str">
        <v>https://www.google.com/maps/search/?api=1&amp;query=A%C5%9Fiyan%20Museum%20Istanbul%20Istanbul</v>
      </c>
    </row>
    <row r="22">
      <c r="A22" t="str">
        <f>HYPERLINK("#'每日行程'!A1","返回每日行程")</f>
        <v>返回每日行程</v>
      </c>
    </row>
  </sheetData>
  <mergeCells>
    <mergeCell ref="A1:J1"/>
    <mergeCell ref="A2:J2"/>
  </mergeCells>
  <pageMargins left="0.7" right="0.7" top="0.75" bottom="0.75" header="0.3" footer="0.3"/>
  <tableParts count="1">
    <tablePart ns1:id="R42fb78a103ed47e7"/>
  </tableParts>
</worksheet>
</file>

<file path=xl/worksheets/sheet4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3" ySplit="4" topLeftCell="D5" activePane="bottomRight" state="frozen"/>
    </sheetView>
  </sheetViews>
  <sheetFormatPr defaultRowHeight="15"/>
  <cols>
    <col min="1" max="1" width="18" hidden="0" customWidth="1"/>
    <col min="2" max="2" width="18" hidden="0" customWidth="1"/>
    <col min="3" max="3" width="31" hidden="0" customWidth="1"/>
    <col min="4" max="4" width="10" hidden="0" customWidth="1"/>
    <col min="5" max="5" width="24" hidden="0" customWidth="1"/>
    <col min="6" max="6" width="8" hidden="0" customWidth="1"/>
    <col min="7" max="7" width="42" hidden="0" customWidth="1"/>
    <col min="8" max="8" width="40" hidden="0" customWidth="1"/>
    <col min="9" max="9" width="40" hidden="0" customWidth="1"/>
    <col min="10" max="10" width="15" hidden="0" customWidth="1"/>
    <col min="11" max="11" width="28" hidden="0" customWidth="1"/>
    <col min="12" max="12" width="36" hidden="0" customWidth="1"/>
    <col min="13" max="13" width="38" hidden="0" customWidth="1"/>
    <col min="14" max="14" width="32" hidden="0" customWidth="1"/>
    <col min="15" max="15" width="20" hidden="0" customWidth="1"/>
    <col min="16" max="16" width="45" hidden="0" customWidth="1"/>
    <col min="17" max="17" width="25" hidden="0" customWidth="1"/>
    <col min="18" max="18" width="24" hidden="0" customWidth="1"/>
    <col min="19" max="19" width="24" hidden="0" customWidth="1"/>
    <col min="20" max="20" width="40" hidden="0" customWidth="1"/>
    <col min="21" max="21" width="46" hidden="0" customWidth="1"/>
    <col min="22" max="22" width="24" hidden="0" customWidth="1"/>
  </cols>
  <sheetData>
    <row r="1">
      <c r="A1" s="1140" t="str">
        <v>華沙｜餐廳｜只放店舖資料，不重複完整菜色介紹</v>
      </c>
      <c r="B1" s="1136"/>
      <c r="C1" s="1136"/>
      <c r="D1" s="1136"/>
      <c r="E1" s="1136"/>
      <c r="F1" s="1136"/>
      <c r="G1" s="1136"/>
      <c r="H1" s="1136"/>
      <c r="I1" s="1136"/>
      <c r="J1" s="1136"/>
      <c r="K1" s="1136"/>
      <c r="L1" s="1136"/>
      <c r="M1" s="1136"/>
      <c r="N1" s="1136"/>
      <c r="O1" s="1136"/>
      <c r="P1" s="1136"/>
      <c r="Q1" s="1136"/>
      <c r="R1" s="682"/>
      <c r="S1" s="682"/>
      <c r="T1" s="682"/>
    </row>
    <row r="2">
      <c r="A2" s="1137" t="str">
        <v>這頁只回答：去哪間、為什麼去、怎樣點、幾時開、要不要訂、近期值不值得。菜色詳細解釋、中文／當地文、照片全部去「華沙當地特色菜」看。</v>
      </c>
      <c r="B2" s="1137"/>
      <c r="C2" s="1137"/>
      <c r="D2" s="1137"/>
      <c r="E2" s="1137"/>
      <c r="F2" s="1137"/>
      <c r="G2" s="1137"/>
      <c r="H2" s="1137"/>
      <c r="I2" s="1137"/>
      <c r="J2" s="1137"/>
      <c r="K2" s="1137"/>
      <c r="L2" s="1137"/>
      <c r="M2" s="1137"/>
      <c r="N2" s="1137"/>
      <c r="O2" s="1137"/>
      <c r="P2" s="1137"/>
      <c r="Q2" s="1137"/>
      <c r="R2" s="683"/>
      <c r="S2" s="683"/>
      <c r="T2" s="683"/>
    </row>
    <row r="3">
      <c r="A3" s="1138" t="str">
        <v>紅字＝已安排；🎉＝你指定。M 欄直接顯示店家實拍；找不到可核實照片則留空。S 欄開地圖，R 欄連動待辦狀態。</v>
      </c>
      <c r="B3" s="1138"/>
      <c r="C3" s="1138"/>
      <c r="D3" s="1138"/>
      <c r="E3" s="1138"/>
      <c r="F3" s="1138"/>
      <c r="G3" s="1138"/>
      <c r="H3" s="1138"/>
      <c r="I3" s="1138"/>
      <c r="J3" s="1138"/>
      <c r="K3" s="1138"/>
      <c r="L3" s="1138"/>
      <c r="M3" s="1138"/>
      <c r="N3" s="1138"/>
      <c r="O3" s="1138"/>
      <c r="P3" s="1138"/>
      <c r="Q3" s="1138"/>
      <c r="R3" s="684"/>
      <c r="S3" s="684"/>
      <c r="T3" s="684"/>
    </row>
    <row r="4" ht="40" customHeight="1">
      <c r="A4" s="1267" t="str">
        <v>類型</v>
      </c>
      <c r="B4" s="1267" t="str">
        <v>區域</v>
      </c>
      <c r="C4" s="1267" t="str">
        <v>店名</v>
      </c>
      <c r="D4" s="1267" t="str">
        <v>參考評分</v>
      </c>
      <c r="E4" s="1267" t="str">
        <v>主行程標記</v>
      </c>
      <c r="F4" s="1267" t="str">
        <v>❗️</v>
      </c>
      <c r="G4" s="1267" t="str">
        <v>推薦原因</v>
      </c>
      <c r="H4" s="1267" t="str">
        <v>兩人點餐策略</v>
      </c>
      <c r="I4" s="1267" t="str">
        <v>對應當地特色菜（只列名稱）</v>
      </c>
      <c r="J4" s="1267" t="str">
        <v>兩人預算</v>
      </c>
      <c r="K4" s="1267" t="str">
        <v>常規營業</v>
      </c>
      <c r="L4" s="1267" t="str">
        <v>節日／休息提醒</v>
      </c>
      <c r="M4" s="1267" t="str">
        <v>實際照片（直接嵌入）</v>
      </c>
      <c r="N4" s="1267" t="str">
        <v>資料來源</v>
      </c>
      <c r="O4" s="1267" t="str">
        <v>本行程推薦度</v>
      </c>
      <c r="P4" s="1267" t="str">
        <v>2026 審核</v>
      </c>
      <c r="Q4" s="1267" t="str">
        <v>處理</v>
      </c>
      <c r="R4" s="1269" t="str">
        <v>營業／訂位狀態</v>
      </c>
      <c r="S4" s="1269" t="str">
        <v>地圖</v>
      </c>
      <c r="T4" s="685"/>
      <c r="U4" s="860"/>
      <c r="V4" s="860"/>
    </row>
    <row r="5" ht="180" customHeight="1">
      <c r="A5" s="1122" t="str">
        <v>早餐／奶吧</v>
      </c>
      <c r="B5" s="1122" t="str">
        <v>Śródmieście</v>
      </c>
      <c r="C5" s="1123" t="str">
        <v>Bar Mleczny Bambino</v>
      </c>
      <c r="D5" s="1123" t="str">
        <v>4.3</v>
      </c>
      <c r="E5" s="1123" t="str">
        <v>● 已排入 12/23 早餐</v>
      </c>
      <c r="F5" s="1122"/>
      <c r="G5" s="1122" t="str">
        <v>真正的 bar mleczny（日常平價食堂）路線，不是為遊客設計的酒店早餐；落機第一餐可以一次理解華沙日常飲食。</v>
      </c>
      <c r="H5" s="1122" t="str">
        <v>兩人按 I 欄列出的特色菜挑 2–3 款分食；避免和前後餐重複。每道菜的中文解釋、味道、圖片與是否已吃，統一看「華沙當地特色菜」。</v>
      </c>
      <c r="I5" s="1122" t="str">
        <v>Kotlet schabowy z ziemniakami（炸豬排配薯仔）／Pierogi ruskie（薯仔白乳酪餃）／Naleśniki z serem（甜乳酪薄餅）</v>
      </c>
      <c r="J5" s="1122" t="str">
        <v>50–90 PLN</v>
      </c>
      <c r="K5" s="1122" t="str">
        <v>Mon–Fri 約 08:00–20:00；Sat/Sun/holiday 約 09:00–18:00</v>
      </c>
      <c r="L5" s="1122" t="str">
        <v>12/23 非聖誕假日，正常日較可靠</v>
      </c>
      <c r="M5" s="1122"/>
      <c r="N5" s="1122" t="str">
        <v>店家實拍（以來源頁辨識）
照片來源：https://barbambino.pl/gallery/restauracja/
來源頁實拍；僅作私人行程辨識。</v>
      </c>
      <c r="O5" s="1122" t="str">
        <v>★★★★★ 必吃</v>
      </c>
      <c r="P5" s="1124" t="str">
        <v>保留。奶吧價值在日常家常菜，不用把它當『名店』；早餐只吃 naleśniki／蛋類，避免之後 pierogi 重複。</v>
      </c>
      <c r="Q5" s="1124" t="str">
        <v>✅ 主行程保留</v>
      </c>
      <c r="R5" s="256" t="str">
        <f>'訂位與待辦'!F5</f>
        <v>營業待確認</v>
      </c>
      <c r="S5" s="542" t="str">
        <f>HYPERLINK("https://www.google.com/maps/search/?api=1&amp;query=Bar%20Mleczny%20Bambino%20Warsaw","開啟地圖")</f>
        <v>開啟地圖</v>
      </c>
      <c r="T5" s="256"/>
      <c r="U5" s="256"/>
      <c r="V5" s="822"/>
    </row>
    <row r="6" ht="180" customHeight="1">
      <c r="A6" s="1122" t="str">
        <v>午餐／奶吧</v>
      </c>
      <c r="B6" s="1122" t="str">
        <v>Muranów</v>
      </c>
      <c r="C6" s="1123" t="str">
        <v>Gdański Bar Mleczny</v>
      </c>
      <c r="D6" s="1123" t="str">
        <v>4.2</v>
      </c>
      <c r="E6" s="1123" t="str">
        <v>● 已排入 12/23 午餐</v>
      </c>
      <c r="F6" s="1122"/>
      <c r="G6" s="1122" t="str">
        <v>POLIN 後不用為吃飯跨區，仍然是奶吧型在地食堂；比老城觀光餐更自然，適合午餐快速補充體力。</v>
      </c>
      <c r="H6" s="1122" t="str">
        <v>兩人按 I 欄列出的特色菜挑 2–3 款分食；避免和前後餐重複。每道菜的中文解釋、味道、圖片與是否已吃，統一看「華沙當地特色菜」。</v>
      </c>
      <c r="I6" s="1122" t="str">
        <v>Kotlet schabowy（波蘭炸豬排）／Pierogi ruskie（薯仔白乳酪餃）／Gołąbki（肉飯包心菜卷）</v>
      </c>
      <c r="J6" s="1122" t="str">
        <v>55–100 PLN</v>
      </c>
      <c r="K6" s="1122" t="str">
        <v>Weekday 約 09:00–20:00；weekend 約 11:00–19:00</v>
      </c>
      <c r="L6" s="1122" t="str">
        <v>12/23 非假日</v>
      </c>
      <c r="M6" s="1122"/>
      <c r="N6" s="1122" t="str">
        <v>店家實拍（以來源頁辨識）
照片來源：https://metrowarszawa.gazeta.pl/metrowarszawa/7%2C141634%2C23035590%2Cbary-mleczne-warszawa-gdzie-zjemy-dobrze-i-tanio.html
來源頁實拍；僅作私人行程辨識。</v>
      </c>
      <c r="O6" s="1122" t="str">
        <v>★★★★☆ 很推薦</v>
      </c>
      <c r="P6" s="1125" t="str">
        <v>保留。POLIN 後動線合理；主目標改 Gołąbki＋當日湯，不再重複 pierogi。</v>
      </c>
      <c r="Q6" s="1124" t="str">
        <v>✅ 主行程保留</v>
      </c>
      <c r="R6" s="256" t="str">
        <f>'訂位與待辦'!F6</f>
        <v>營業待確認</v>
      </c>
      <c r="S6" s="543" t="str">
        <f>HYPERLINK("https://www.google.com/maps/search/?api=1&amp;query=Gda%C5%84ski%20Bar%20Mleczny%20Warsaw","開啟地圖")</f>
        <v>開啟地圖</v>
      </c>
      <c r="T6" s="256"/>
      <c r="U6" s="256"/>
      <c r="V6" s="822"/>
    </row>
    <row r="7" ht="180" customHeight="1">
      <c r="A7" s="1122" t="str">
        <v>晚餐／傳統波蘭菜</v>
      </c>
      <c r="B7" s="1122" t="str">
        <v>Mokotów</v>
      </c>
      <c r="C7" s="1123" t="str">
        <v>Stary Dom</v>
      </c>
      <c r="D7" s="1123" t="str">
        <v>4.7</v>
      </c>
      <c r="E7" s="1123" t="str">
        <v>● 已排入 12/23 晚餐</v>
      </c>
      <c r="F7" s="1126" t="str">
        <v>❗️</v>
      </c>
      <c r="G7" s="1122" t="str">
        <v>老派正式波蘭菜做得完整，服務與用餐氣氛比奶吧精緻；這趟只需要一至兩餐正式波蘭晚餐，我會把它放第一順位。</v>
      </c>
      <c r="H7" s="1122" t="str">
        <v>兩人按 I 欄列出的特色菜挑 2–3 款分食；避免和前後餐重複。每道菜的中文解釋、味道、圖片與是否已吃，統一看「華沙當地特色菜」。</v>
      </c>
      <c r="I7" s="1122" t="str">
        <v>Żur na domowym zakwasie（自家酵種酸黑麥湯）／Pół kaczki pieczonej（烤半鴨）／Tatar z dojrzewającej wołowiny（熟成牛肉他他）</v>
      </c>
      <c r="J7" s="1122" t="str">
        <v>280–450 PLN</v>
      </c>
      <c r="K7" s="1122" t="str">
        <v>通常每日約 12:00–23:30</v>
      </c>
      <c r="L7" s="1122" t="str">
        <v>12/23 晚餐待訂位；本次只排一餐，不再排 12/26。</v>
      </c>
      <c r="M7" s="1122"/>
      <c r="N7" s="1122" t="str">
        <v>店家實拍（以來源頁辨識）
照片來源：https://pysznosci.pl/zjadlem-sledzie-w-dwoch-wersjach-u-znanego-aktora-az-takich-cen-sie-nie-spodziewalem%2C7106032178301664a
來源頁實拍；僅作私人行程辨識。</v>
      </c>
      <c r="O7" s="1122" t="str">
        <v>★★★★★ 必吃</v>
      </c>
      <c r="P7" s="1124" t="str">
        <v>保留一次即可。Michelin 仍推薦其傳統波蘭菜；近期評論有『很好』也有『偏遊客／部分菜過熟』的分歧，所以不安排第二餐。</v>
      </c>
      <c r="Q7" s="1124" t="str">
        <v>✅ 只留 12/23 一餐</v>
      </c>
      <c r="R7" s="256" t="str">
        <f>'訂位與待辦'!F7</f>
        <v>待訂位</v>
      </c>
      <c r="S7" s="542" t="str">
        <f>HYPERLINK("https://www.google.com/maps/search/?api=1&amp;query=Stary%20Dom%20Warsaw","開啟地圖")</f>
        <v>開啟地圖</v>
      </c>
      <c r="T7" s="256"/>
      <c r="U7" s="256"/>
      <c r="V7" s="822"/>
    </row>
    <row r="8" ht="180" customHeight="1">
      <c r="A8" s="1122" t="str">
        <v>午／晚餐／大份傳統菜</v>
      </c>
      <c r="B8" s="1122" t="str">
        <v>Old Town 北側</v>
      </c>
      <c r="C8" s="1123" t="str">
        <v>Podwale 25 Kompania Piwna</v>
      </c>
      <c r="D8" s="1123" t="str">
        <v>4.6</v>
      </c>
      <c r="E8" s="1123" t="str">
        <v>● 已排入 12/24 午餐；12/25 晚備選</v>
      </c>
      <c r="F8" s="1126" t="str">
        <v>❗️</v>
      </c>
      <c r="G8" s="1122" t="str">
        <v>地點在老城旁但不是只靠景觀賣套餐；份量大、傳統菜種類完整，聖誕期間若確認營業，是很實用的『有把握吃飽』選擇。</v>
      </c>
      <c r="H8" s="1122" t="str">
        <v>兩人按 I 欄列出的特色菜挑 2–3 款分食；避免和前後餐重複。每道菜的中文解釋、味道、圖片與是否已吃，統一看「華沙當地特色菜」。</v>
      </c>
      <c r="I8" s="1122" t="str">
        <v>Zimne nóżki（豬腳凍／豬肉啫喱）／Pierogi ruskie（薯仔白乳酪餃）／Golonka（豬腳）</v>
      </c>
      <c r="J8" s="1122" t="str">
        <v>180–300 PLN</v>
      </c>
      <c r="K8" s="1122" t="str">
        <v>一般約 11:00–00:00</v>
      </c>
      <c r="L8" s="1122" t="str">
        <v>❗️2026 12/24–25 最終聖誕時段未公布；一定要出發前再確認</v>
      </c>
      <c r="M8" s="1122"/>
      <c r="N8" s="1122" t="str">
        <v>店家實拍（以來源頁辨識）
照片來源：https://airial.travel/attractions/poland/warszawa/podwale-25-warsaw-fPSu9FYJ
來源頁實拍；僅作私人行程辨識。</v>
      </c>
      <c r="O8" s="1122" t="str">
        <v>★★★★☆ 很推薦</v>
      </c>
      <c r="P8" s="1125" t="str">
        <v>保留，但定位是『聖誕期間老城實用＋菜色覆蓋』，不是最在地發現。官方菜單可補 zimne nóżki、pierogi、golonka 等。</v>
      </c>
      <c r="Q8" s="1124" t="str">
        <v>✅ 12/24 午餐</v>
      </c>
      <c r="R8" s="256" t="str">
        <f>'訂位與待辦'!F9</f>
        <v>營業待確認</v>
      </c>
      <c r="S8" s="543" t="str">
        <f>HYPERLINK("https://www.google.com/maps/search/?api=1&amp;query=Podwale%2025%20Kompania%20Piwna%20Warsaw","開啟地圖")</f>
        <v>開啟地圖</v>
      </c>
      <c r="T8" s="256"/>
      <c r="U8" s="256"/>
      <c r="V8" s="822"/>
    </row>
    <row r="9" ht="180" customHeight="1">
      <c r="A9" s="1122" t="str">
        <v>現代波蘭／品嚐套餐</v>
      </c>
      <c r="B9" s="1122" t="str">
        <v>Plac Trzech Krzyży</v>
      </c>
      <c r="C9" s="1123" t="str">
        <v>NUTA（待定）</v>
      </c>
      <c r="D9" s="1123" t="str">
        <v>—</v>
      </c>
      <c r="E9" s="1123" t="str">
        <v>● 12/24 晚餐候選・未訂位</v>
      </c>
      <c r="F9" s="1126" t="str">
        <v>❗️</v>
      </c>
      <c r="G9" s="1122" t="str">
        <v>把你們的平安夜留作一頓慢慢享用的約會晚餐。NUTA（待定） 只供季節品嚐套餐，從輕盈前菜走到主菜、甜點；主廚以波蘭在地食材與傳統為起點，用現代技法呈現。開放式廚房讓你們能看料理完成，也適合邊吃邊聊每道菜的味道。和日常波蘭家常菜不同，這餐重點是完整體驗；預留 2–3 小時，不再接趕時間的景點。</v>
      </c>
      <c r="H9" s="1122" t="str">
        <v>兩人各一份 Virtuoso（595 PLN／人）作基本規劃；若想升級可選 Maestro（795 PLN／人）。飲品及 wine pairing 另計；預先告知過敏與飲食限制。</v>
      </c>
      <c r="I9" s="1122" t="str">
        <v>季節品嚐套餐 Virtuoso／Maestro；12 月實際菜色尚待確認，不預填固定菜式。</v>
      </c>
      <c r="J9" s="1122" t="str">
        <v>兩人 Virtuoso 1,309 PLN 含 10% 服務費；Maestro 1,749 PLN；均未含飲品</v>
      </c>
      <c r="K9" s="1122" t="str">
        <v>Tue–Sat 18:00 起；21:15 為最後訂位時間；Sun/Mon 休息</v>
      </c>
      <c r="L9" s="1122" t="str">
        <v>❗️12/24/2026 平安夜是否接客、供餐時段及節日價格待店家確認</v>
      </c>
      <c r="M9" s="1122"/>
      <c r="N9" s="1122" t="str">
        <v>https://nuta.com.pl/en/menu/
營業／用餐長度：https://nuta.com.pl/en/faq/
核對日：2026-10-01</v>
      </c>
      <c r="O9" s="1122" t="str">
        <v>★★★★★ 優先・你指定</v>
      </c>
      <c r="P9" s="1125" t="str">
        <v>優先詢問 12/24 18:00 兩人桌。當晚未確認營業；若不接客再協調可用日期，不視為已訂。</v>
      </c>
      <c r="Q9" s="1124" t="str">
        <v>優先訂位・聖誕營業待確認</v>
      </c>
      <c r="R9" s="256" t="str">
        <f>'訂位與待辦'!F10</f>
        <v>營業待確認</v>
      </c>
      <c r="S9" s="543" t="str">
        <f>HYPERLINK("https://www.google.com/maps/search/?api=1&amp;query=NUTA%20Plac%20Trzech%20Krzy%C5%BCy%2010/14%20Warsaw","開啟地圖")</f>
        <v>開啟地圖</v>
      </c>
      <c r="T9" s="256"/>
      <c r="U9" s="256"/>
      <c r="V9" s="822"/>
    </row>
    <row r="10" ht="180" customHeight="1">
      <c r="A10" s="1127" t="str">
        <v>午／晚餐</v>
      </c>
      <c r="B10" s="1127" t="str">
        <v>Nowy Świat</v>
      </c>
      <c r="C10" s="1128" t="str">
        <v>Specjały Regionalne</v>
      </c>
      <c r="D10" s="1128" t="str">
        <v>4.5</v>
      </c>
      <c r="E10" s="1128" t="str">
        <v>○ 備選</v>
      </c>
      <c r="F10" s="1129" t="str">
        <v>❗️</v>
      </c>
      <c r="G10" s="1127" t="str">
        <v>皇家城堡後沿 Nowy Świat 動線很順，一間就能吃到 bigos、gołąbki、pierogi 幾個典型波蘭家庭菜；比再吃一次炸豬排更有變化。</v>
      </c>
      <c r="H10" s="1127" t="str">
        <v>兩人按 I 欄列出的特色菜挑 2–3 款分食；避免和前後餐重複。每道菜的中文解釋、味道、圖片與是否已吃，統一看「華沙當地特色菜」。</v>
      </c>
      <c r="I10" s="1127" t="str">
        <v>Bigos（獵人燉菜）／Gołąbki（肉飯包心菜卷）／Pierogi（波蘭餃子）</v>
      </c>
      <c r="J10" s="1127" t="str">
        <v>180–300 PLN</v>
      </c>
      <c r="K10" s="1127" t="str">
        <v>約 12:00–22:00；Fri/Sat 常較晚</v>
      </c>
      <c r="L10" s="1127" t="str">
        <v>❗️12/26 建議訂位並確認節日時段</v>
      </c>
      <c r="M10" s="1127"/>
      <c r="N10" s="1127" t="str">
        <v>店家實拍（以來源頁辨識）
照片來源：https://polishcuisine.pl/
來源頁實拍；僅作私人行程辨識。</v>
      </c>
      <c r="O10" s="1127" t="str">
        <v>★★★☆☆ 順路可去</v>
      </c>
      <c r="P10" s="1130" t="str">
        <v>菜色完整但位置旅客多，而且和其他傳統餐廳重複度高。這趟以食物多樣性為目標，沒有必要特地吃。</v>
      </c>
      <c r="Q10" s="1131" t="str">
        <v>⬇️ 降為低優先備選</v>
      </c>
      <c r="R10" s="256" t="str">
        <v>備選・前往前核對</v>
      </c>
      <c r="S10" s="580" t="str">
        <f>HYPERLINK("https://www.google.com/maps/search/?api=1&amp;query=Specja%C5%82y%20Regionalne%20Warsaw","開啟地圖")</f>
        <v>開啟地圖</v>
      </c>
      <c r="T10" s="256"/>
      <c r="U10" s="256"/>
      <c r="V10" s="862"/>
    </row>
    <row r="11" ht="180" customHeight="1">
      <c r="A11" s="1127" t="str">
        <v>晚餐／現代波蘭</v>
      </c>
      <c r="B11" s="1127" t="str">
        <v>Śródmieście</v>
      </c>
      <c r="C11" s="1132" t="str">
        <v>Soul Kitchen</v>
      </c>
      <c r="D11" s="1133" t="str">
        <v>4.8</v>
      </c>
      <c r="E11" s="1127" t="str">
        <v>○ 備選</v>
      </c>
      <c r="F11" s="1127"/>
      <c r="G11" s="1127" t="str">
        <v>如果你們想把其中一餐升級成較精緻、情侶約會感的波蘭菜，它比很多傳統餐廳更適合；但已有 Stary Dom，所以不需要兩間都硬塞。</v>
      </c>
      <c r="H11" s="1127" t="str">
        <v>兩人按 I 欄列出的特色菜挑 2–3 款分食；避免和前後餐重複。每道菜的中文解釋、味道、圖片與是否已吃，統一看「華沙當地特色菜」。</v>
      </c>
      <c r="I11" s="1127" t="str">
        <v>Pierogi z pieczoną kaczką（烤鴨餡餃子）／Żurek na domowym zakwasie（自家酵種酸黑麥湯）／Pół kaczki z pieca（烤半鴨）</v>
      </c>
      <c r="J11" s="1127" t="str">
        <v>300–500 PLN</v>
      </c>
      <c r="K11" s="1127" t="str">
        <v>熱門晚餐時段；官方菜單季節更換</v>
      </c>
      <c r="L11" s="1127" t="str">
        <v>聖誕日／節日開放需另核對</v>
      </c>
      <c r="M11" s="1127"/>
      <c r="N11" s="1127" t="str">
        <v>店家實拍（以來源頁辨識）
照片來源：https://warszawa.wyborcza.pl/warszawa/7%2C95604%2C18833118%2Cmaciej-nowak-jadl-w-soul-kitchen-ii-coraz-mniej-lubie-knajpy.html
來源頁實拍；僅作私人行程辨識。</v>
      </c>
      <c r="O11" s="1127" t="str">
        <v>★★★★☆ 很推薦</v>
      </c>
      <c r="P11" s="1130" t="str">
        <v>食物水準高但偏現代精緻，會和 Stary Dom 的正式餐定位重複；短行程不需要兩間。</v>
      </c>
      <c r="Q11" s="1127" t="str">
        <v>○ 只作訂不到時替代</v>
      </c>
      <c r="R11" s="256" t="str">
        <v>備選・前往前核對</v>
      </c>
      <c r="S11" s="543" t="str">
        <f>HYPERLINK("https://www.google.com/maps/search/?api=1&amp;query=Soul%20Kitchen%20Warsaw","開啟地圖")</f>
        <v>開啟地圖</v>
      </c>
      <c r="T11" s="256"/>
      <c r="U11" s="256"/>
      <c r="V11" s="824"/>
    </row>
    <row r="12" ht="180" customHeight="1">
      <c r="A12" s="1122" t="str">
        <v>酒店餐廳／聖誕 buffet</v>
      </c>
      <c r="B12" s="1122" t="str">
        <v>市中心／中央車站</v>
      </c>
      <c r="C12" s="1123" t="str">
        <v>Floor No.2（待定）</v>
      </c>
      <c r="D12" s="1123" t="str">
        <v>—</v>
      </c>
      <c r="E12" s="1123" t="str">
        <v>● 12/25 晚餐候選・未訂位</v>
      </c>
      <c r="F12" s="1122" t="str">
        <v>❗️</v>
      </c>
      <c r="G12" s="1122" t="str">
        <v>聖誕日先找得到明確供餐安排，再放心散步。位於 Warsaw Presidential Hotel 的 Floor No.2（待定） 以波蘭與地中海風格 buffet 為主，兩人可以各取少量、比較口味，避免一開始吃太飽。環境偏正式酒店聚餐，並非傳統小店；這一餐的優點是市中心位置與官網明列 2026 聖誕活動，適合結束公園散步後回酒店休息再來。</v>
      </c>
      <c r="H12" s="1122" t="str">
        <v>暫排 18:00–20:00 兩人晚餐；官網活動時段 15:00–21:00，需向餐廳確認 18:00 入席及 buffet 使用方式。每人 395 PLN＋10% 服務費。</v>
      </c>
      <c r="I12" s="1122" t="str">
        <v>波蘭／地中海 buffet 前菜、主菜及甜點；2026 聖誕完整菜單仍待公布，不保證指定節日菜。</v>
      </c>
      <c r="J12" s="1122" t="str">
        <v>兩人 869 PLN（395×2＋10% 服務費）；其他飲品／節日包含項目以確認為準</v>
      </c>
      <c r="K12" s="1122" t="str">
        <v>一般每日 12:00–23:00；聖誕活动依專頁</v>
      </c>
      <c r="L12" s="1122" t="str">
        <v>官網列 25、26.12.2026 15:00–21:00；需 100% 預付；尚未訂位</v>
      </c>
      <c r="M12" s="1122"/>
      <c r="N12" s="1122" t="str">
        <v>https://floorno2.pl/en/niedzielny-brunch/
核對日：2026-10-01；2026 日期已公布，18:00 入席需確認</v>
      </c>
      <c r="O12" s="1122" t="str">
        <v>★★★★☆ 聖誕實用推薦</v>
      </c>
      <c r="P12" s="1125" t="str">
        <v>用作 12/25 晚餐；優先確認可入席時段、取消條款與飲品包含範圍。</v>
      </c>
      <c r="Q12" s="1124" t="str">
        <v>2026 活動已公布・未訂位</v>
      </c>
      <c r="R12" s="256" t="str">
        <f>'訂位與待辦'!F13</f>
        <v>活動已公布・未訂位</v>
      </c>
      <c r="S12" s="542" t="str">
        <f>HYPERLINK("https://www.google.com/maps/search/?api=1&amp;query=Floor%20No.2%20Aleje%20Jerozolimskie%2065/79%20Warsaw","開啟地圖")</f>
        <v>開啟地圖</v>
      </c>
      <c r="T12" s="256"/>
      <c r="U12" s="256"/>
      <c r="V12" s="822"/>
    </row>
    <row r="13" ht="180" customHeight="1">
      <c r="A13" s="1122" t="str">
        <v>現代波蘭／歷史溫室</v>
      </c>
      <c r="B13" s="1122" t="str">
        <v>Łazienki 公園</v>
      </c>
      <c r="C13" s="1123" t="str">
        <v>Restauracja Belvedere（待定）</v>
      </c>
      <c r="D13" s="1123" t="str">
        <v>—</v>
      </c>
      <c r="E13" s="1123" t="str">
        <v>● 12/25 午餐候選・未訂位</v>
      </c>
      <c r="F13" s="1126" t="str">
        <v>❗️</v>
      </c>
      <c r="G13" s="1122" t="str">
        <v>就在皇家浴場公園的 New Orangery，建築已有逾 150 年歷史，室內熱帶植物把冬天的午餐變成溫暖的溫室約會。它的吸引力是公園、歷史建築與季節波蘭料理可以接在同一段行程，省去為午餐再跨區的折返。料理以波蘭傳統與當季食材結合法式技術，呈現比奶吧更精緻；適合兩人走完湖邊後慢慢吃。聖誕午市尚未確認，景觀與一般營業不能當成假日開門證據。</v>
      </c>
      <c r="H13" s="1122" t="str">
        <v>兩人各選一款當季主菜，再共享前菜或甜點；先索取 12/25 菜單與價格，若採節日套餐便依套餐安排。</v>
      </c>
      <c r="I13" s="1122" t="str">
        <v>當季波蘭料理；節日實際菜式、馬鈴薯煎餅及 Wuzetka 是否供應均未確認。</v>
      </c>
      <c r="J13" s="1122" t="str">
        <v>兩人暫留 400–650 PLN 規劃額；非店家節日報價，飲品另計</v>
      </c>
      <c r="K13" s="1122" t="str">
        <v>一般 Mon–Sat 12:00–23:00；Sun 12:00–16:30</v>
      </c>
      <c r="L13" s="1122" t="str">
        <v>❗️12/25/2026 午市營業、套餐及價格待确认；一般時段不能視為聖誕安排</v>
      </c>
      <c r="M13" s="1122"/>
      <c r="N13" s="1122" t="str">
        <v>https://belvedere.com.pl/en/home-page/
地址：Agrykola 1，入口由 Parkowa；核對日：2026-10-01</v>
      </c>
      <c r="O13" s="1122" t="str">
        <v>★★★★☆ 情侶／公園午餐推薦</v>
      </c>
      <c r="P13" s="1125" t="str">
        <v>午餐安排 13:15–14:30；預留由湖邊步行至入口的時間。優先確認當日供餐才鎖定。</v>
      </c>
      <c r="Q13" s="1124" t="str">
        <v>聖誕午市待確認</v>
      </c>
      <c r="R13" s="256" t="str">
        <f>'訂位與待辦'!F12</f>
        <v>營業待確認</v>
      </c>
      <c r="S13" s="542" t="str">
        <f>HYPERLINK("https://www.google.com/maps/search/?api=1&amp;query=Belvedere%20Agrykola%201%20Warsaw","開啟地圖")</f>
        <v>開啟地圖</v>
      </c>
      <c r="T13" s="256"/>
      <c r="U13" s="256"/>
      <c r="V13" s="822"/>
    </row>
    <row r="14" ht="180" customHeight="1">
      <c r="A14" s="1122" t="str">
        <v>傳統波蘭／老派餐館</v>
      </c>
      <c r="B14" s="1122" t="str">
        <v>Powiśle／Nowy Świat</v>
      </c>
      <c r="C14" s="1123" t="str">
        <v>Restauracja Kameralna</v>
      </c>
      <c r="D14" s="1123" t="str">
        <v>4.6</v>
      </c>
      <c r="E14" s="1123" t="str">
        <v>● 已排入 12/26 午餐</v>
      </c>
      <c r="F14" s="1126" t="str">
        <v>❗️</v>
      </c>
      <c r="G14" s="1122" t="str">
        <v>不是景點型餐廳，位置又剛好夾在皇家大道與 Powiśle／MSN 之間；適合 12/26 中午吃一頓直接、傳統、不必繞遠的波蘭菜。</v>
      </c>
      <c r="H14" s="1122" t="str">
        <v>兩人按 I 欄列出的特色菜挑 2–3 款分食；避免和前後餐重複。每道菜的中文解釋、味道、圖片與是否已吃，統一看「華沙當地特色菜」。</v>
      </c>
      <c r="I14" s="1122" t="str">
        <v>Kotlet schabowy（波蘭炸豬排）／Bigos（獵人燉菜）／Mizeria（酸忌廉青瓜沙律）</v>
      </c>
      <c r="J14" s="1122" t="str">
        <v>160–280 PLN</v>
      </c>
      <c r="K14" s="1122" t="str">
        <v>公開資料顯示午晚餐時段</v>
      </c>
      <c r="L14" s="1122" t="str">
        <v>❗️12/26 節日時段請在出發前確認</v>
      </c>
      <c r="M14" s="1122"/>
      <c r="N14" s="1122" t="str">
        <v>https://www.google.com/maps/search/?api=1&amp;query=Restauracja%20Kameralna%20Warsaw</v>
      </c>
      <c r="O14" s="1122" t="str">
        <v>★★★★☆ 很推薦</v>
      </c>
      <c r="P14" s="1124" t="str">
        <v>保留。近期 2026 整體評價仍好；本版把點餐改成 schabowy＋bigos＋mizeria，提高菜色覆蓋。</v>
      </c>
      <c r="Q14" s="1124" t="str">
        <v>✅ 12/26 午餐</v>
      </c>
      <c r="R14" s="256" t="str">
        <f>'訂位與待辦'!F15</f>
        <v>營業待確認</v>
      </c>
      <c r="S14" s="543" t="str">
        <f>HYPERLINK("https://www.google.com/maps/search/?api=1&amp;query=Restauracja%20Kameralna%20Kopernika%203%20Warsaw","開啟地圖")</f>
        <v>開啟地圖</v>
      </c>
      <c r="T14" s="256"/>
      <c r="U14" s="256"/>
      <c r="V14" s="822"/>
    </row>
    <row r="15" ht="180" customHeight="1">
      <c r="A15" s="1127" t="str">
        <v>奶吧／家常</v>
      </c>
      <c r="B15" s="1127" t="str">
        <v>Śródmieście</v>
      </c>
      <c r="C15" s="1128" t="str">
        <v>Bar Mleczny Prasowy</v>
      </c>
      <c r="D15" s="1128" t="str">
        <v>4.3</v>
      </c>
      <c r="E15" s="1128" t="str">
        <v>○ 備選</v>
      </c>
      <c r="F15" s="1129"/>
      <c r="G15" s="1127" t="str">
        <v>1950 年代奶吧傳統延續下來的平價食堂型餐廳。你如果喜歡 Boris／Raif 這種『不是為環境而去』的店，Prasowy 會比漂亮 brunch 店更對味。</v>
      </c>
      <c r="H15" s="1127" t="str">
        <v>兩人按 I 欄列出的特色菜挑 2–3 款分食；避免和前後餐重複。每道菜的中文解釋、味道、圖片與是否已吃，統一看「華沙當地特色菜」。</v>
      </c>
      <c r="I15" s="1127" t="str">
        <v>Kotlet schabowy（波蘭炸豬排）／Pierogi（波蘭餃子）／Zupa dnia（當日湯）</v>
      </c>
      <c r="J15" s="1127" t="str">
        <v>45–90 PLN</v>
      </c>
      <c r="K15" s="1127" t="str">
        <v>每日約 08:00–20:00</v>
      </c>
      <c r="L15" s="1127" t="str">
        <v>法定節日可能調整</v>
      </c>
      <c r="M15" s="1127"/>
      <c r="N15" s="1127" t="str">
        <v>店家實拍（以來源頁辨識）
照片來源：https://www.fakt.pl/wydarzenia/polska/warszawa/tu-dobrze-i-tanio-zjesz-w-warszawie/sqkzztb
來源頁實拍；僅作私人行程辨識。</v>
      </c>
      <c r="O15" s="1127" t="str">
        <v>★★★★☆ 很推薦</v>
      </c>
      <c r="P15" s="1130" t="str">
        <v>奶吧概念正確，但對這趟不是必要；已有 Bambino/Gdański，第三間奶吧會重複。</v>
      </c>
      <c r="Q15" s="1127" t="str">
        <v>○ 備選即可</v>
      </c>
      <c r="R15" s="256" t="str">
        <v>備選・前往前核對</v>
      </c>
      <c r="S15" s="543" t="str">
        <f>HYPERLINK("https://www.google.com/maps/search/?api=1&amp;query=Bar%20Mleczny%20Prasowy%20Warsaw","開啟地圖")</f>
        <v>開啟地圖</v>
      </c>
      <c r="T15" s="256"/>
      <c r="U15" s="256"/>
      <c r="V15" s="824"/>
    </row>
    <row r="16" ht="180" customHeight="1">
      <c r="A16" s="1127" t="str">
        <v>奶吧／家常</v>
      </c>
      <c r="B16" s="1127" t="str">
        <v>Politechnika</v>
      </c>
      <c r="C16" s="1132" t="str">
        <v>Polny Bar Mleczny</v>
      </c>
      <c r="D16" s="1133" t="str">
        <v>4.5</v>
      </c>
      <c r="E16" s="1127" t="str">
        <v>○ 備選</v>
      </c>
      <c r="F16" s="1127"/>
      <c r="G16" s="1127" t="str">
        <v>本地食客反覆推薦的奶吧類型，環境簡單、價格低、菜色非常家常；符合『不要打卡店、先看味道』的要求。</v>
      </c>
      <c r="H16" s="1127" t="str">
        <v>兩人按 I 欄列出的特色菜挑 2–3 款分食；避免和前後餐重複。每道菜的中文解釋、味道、圖片與是否已吃，統一看「華沙當地特色菜」。</v>
      </c>
      <c r="I16" s="1127" t="str">
        <v>Kotlet mielony（波蘭肉餅）／Gołąbki（肉飯包心菜卷）／Zupa + drugie danie（湯＋主菜套餐）</v>
      </c>
      <c r="J16" s="1127" t="str">
        <v>45–90 PLN</v>
      </c>
      <c r="K16" s="1127" t="str">
        <v>每日約 08:00–19:30</v>
      </c>
      <c r="L16" s="1127" t="str">
        <v>節日時段另查</v>
      </c>
      <c r="M16" s="1127"/>
      <c r="N16" s="1127" t="str">
        <v>https://www.google.com/maps/search/?api=1&amp;query=Polny%20Bar%20Mleczny%20Warsaw</v>
      </c>
      <c r="O16" s="1127" t="str">
        <v>★★★★☆ 很推薦</v>
      </c>
      <c r="P16" s="1134" t="str">
        <v>比漂亮 brunch 更符合你的口味；若某間聖誕餐廳臨時關，可以用它補 kotlet mielony／日常湯。</v>
      </c>
      <c r="Q16" s="1127" t="str">
        <v>★★★★☆ 實用備選</v>
      </c>
      <c r="R16" s="256" t="str">
        <v>備選・前往前核對</v>
      </c>
      <c r="S16" s="543" t="str">
        <f>HYPERLINK("https://www.google.com/maps/search/?api=1&amp;query=Polny%20Bar%20Mleczny%20Warsaw","開啟地圖")</f>
        <v>開啟地圖</v>
      </c>
      <c r="T16" s="256"/>
      <c r="U16" s="256"/>
      <c r="V16" s="824"/>
    </row>
    <row r="17" ht="180" customHeight="1">
      <c r="A17" s="1122" t="str">
        <v>老華沙／正式但本地</v>
      </c>
      <c r="B17" s="1122" t="str">
        <v>Plac Piłsudskiego</v>
      </c>
      <c r="C17" s="1123" t="str">
        <v>Restauracja U Wieniawy</v>
      </c>
      <c r="D17" s="1123" t="str">
        <v>4.8</v>
      </c>
      <c r="E17" s="1123" t="str">
        <v>● 改排 12/26 晚餐候選</v>
      </c>
      <c r="F17" s="1126" t="str">
        <v>❗️</v>
      </c>
      <c r="G17" s="1122" t="str">
        <v>保留你喜歡的老华沙餐廳，改放到 12/26。以戰前華沙與 Wieniawa 將軍的軍官俱樂部文化為靈感，從室內氣氛到菜單都重視歷史感；華沙式牛肚湯、牛肉他他和鴨料理讓這餐有地方特色。適合你們結束現代藝術館後，回到傳統華沙餐桌慢慢吃，無需為晚餐再跨河。12/26 也是假日，仍須確認營業與可訂時段。</v>
      </c>
      <c r="H17" s="1122" t="str">
        <v>兩人按 I 欄列出的特色菜挑 2–3 款分食；避免和前後餐重複。每道菜的中文解釋、味道、圖片與是否已吃，統一看「華沙當地特色菜」。</v>
      </c>
      <c r="I17" s="1122" t="str">
        <v>Flaki po warszawsku z pulpetami（華沙式牛肚湯＋肉丸）／Tatar a’la Wieniawa（Wieniawa 式牛肉他他）／Udo kaczki confit（油封鴨腿）</v>
      </c>
      <c r="J17" s="1122" t="str">
        <v>350–520 PLN</v>
      </c>
      <c r="K17" s="1122" t="str">
        <v>Mon–Sat 12:00–23:00；Sun 12:00–21:00</v>
      </c>
      <c r="L17" s="1122" t="str">
        <v>12/25/2026 不營業（你提供）；改排 12/26，但當天營業仍待餐廳確認</v>
      </c>
      <c r="M17" s="1122"/>
      <c r="N17" s="1122" t="str">
        <v>店家實拍（以來源頁辨識）
照片來源：https://www.motywmedia.pl/restauracja-u-wieniawy-nasz-test.html
來源頁實拍；僅作私人行程辨識。</v>
      </c>
      <c r="O17" s="1122" t="str">
        <v>★★★★☆ 很推薦</v>
      </c>
      <c r="P17" s="1125" t="str">
        <v>你覺得吸引，保留且優先詢問 12/26 18:00 兩人桌；先確認華沙式牛肚湯及主菜供應。</v>
      </c>
      <c r="Q17" s="1124" t="str">
        <v>優先候選・12/26 待確認</v>
      </c>
      <c r="R17" s="256" t="str">
        <f>'訂位與待辦'!F16</f>
        <v>營業待確認</v>
      </c>
      <c r="S17" s="543" t="str">
        <f>HYPERLINK("https://www.google.com/maps/search/?api=1&amp;query=U%20Wieniawy%20Warsaw","開啟地圖")</f>
        <v>開啟地圖</v>
      </c>
      <c r="T17" s="256"/>
      <c r="U17" s="256"/>
      <c r="V17" s="822"/>
    </row>
    <row r="18" ht="180" customHeight="1">
      <c r="A18" s="1127" t="str">
        <v>Praga 老華沙菜</v>
      </c>
      <c r="B18" s="1127" t="str">
        <v>Praga Północ</v>
      </c>
      <c r="C18" s="1132" t="str">
        <v>Restauracja Szynk Praski</v>
      </c>
      <c r="D18" s="1133" t="str">
        <v>4.5</v>
      </c>
      <c r="E18" s="1127" t="str">
        <v>○ 備選</v>
      </c>
      <c r="F18" s="1129" t="str">
        <v>❗️</v>
      </c>
      <c r="G18" s="1127" t="str">
        <v>Reuters 2026 的在地華沙指南特別提到它可吃戰前／華沙傳統菜；Praga 本身也更像居民生活區。你如果想把『城市＋食物』一起吃，這間很對路。</v>
      </c>
      <c r="H18" s="1127" t="str">
        <v>兩人按 I 欄列出的特色菜挑 2–3 款分食；避免和前後餐重複。每道菜的中文解釋、味道、圖片與是否已吃，統一看「華沙當地特色菜」。</v>
      </c>
      <c r="I18" s="1127" t="str">
        <v>Żurek（酸黑麥湯） / flaki（牛肚湯）／Dania kuchni warszawskiej（華沙傳統菜）／Deser polski（波蘭傳統甜點）</v>
      </c>
      <c r="J18" s="1127" t="str">
        <v>180–320 PLN</v>
      </c>
      <c r="K18" s="1127" t="str">
        <v>Wed–Thu 12:00–21:45；Fri/Sat 較晚；Sun 13:00–21:45</v>
      </c>
      <c r="L18" s="1127" t="str">
        <v>❗️Mon/Tue 公開營業資料不足；前往前核</v>
      </c>
      <c r="M18" s="1127"/>
      <c r="N18" s="1127" t="str">
        <v>https://www.reuters.com/city-memo/warsaw-like-local-2026-04-25/</v>
      </c>
      <c r="O18" s="1127" t="str">
        <v>★★★★☆ 很推薦</v>
      </c>
      <c r="P18" s="1135" t="str">
        <v>Praga 備選；主行程晚餐留在市中心，若沒有另排跨河散步便不專程前往。</v>
      </c>
      <c r="Q18" s="1127" t="str">
        <v>○ Praga 備選</v>
      </c>
      <c r="R18" s="256" t="str">
        <v>備選・前往前核對</v>
      </c>
      <c r="S18" s="543" t="str">
        <f>HYPERLINK("https://www.google.com/maps/search/?api=1&amp;query=Szynk%20Praski%20Warsaw","開啟地圖")</f>
        <v>開啟地圖</v>
      </c>
      <c r="T18" s="256"/>
      <c r="U18" s="256"/>
      <c r="V18" s="824"/>
    </row>
    <row r="19" ht="180" customHeight="1">
      <c r="A19" s="1127" t="str">
        <v>傳統波蘭／Old Town</v>
      </c>
      <c r="B19" s="1127" t="str">
        <v>Old Town</v>
      </c>
      <c r="C19" s="1132" t="str">
        <v>Gospoda Kwiaty Polskie</v>
      </c>
      <c r="D19" s="1133" t="str">
        <v>4.4</v>
      </c>
      <c r="E19" s="1127" t="str">
        <v>○ 備選</v>
      </c>
      <c r="F19" s="1129" t="str">
        <v>❗️</v>
      </c>
      <c r="G19" s="1127" t="str">
        <v>雖在 Old Town，但菜單有清楚的傳統波蘭菜而不是五國語言觀光套餐；作為老城『不想走太遠』的備選比隨機找店可靠。</v>
      </c>
      <c r="H19" s="1127" t="str">
        <v>兩人按 I 欄列出的特色菜挑 2–3 款分食；避免和前後餐重複。每道菜的中文解釋、味道、圖片與是否已吃，統一看「華沙當地特色菜」。</v>
      </c>
      <c r="I19" s="1127" t="str">
        <v>Żur na prawdziwkach（牛肝菌酸黑麥湯）／Bigos myśliwski（獵人式酸椰菜肉燉菜）／Golonka zapiekana w miodowym piwie（蜂蜜啤酒烤豬腳）</v>
      </c>
      <c r="J19" s="1127" t="str">
        <v>180–320 PLN</v>
      </c>
      <c r="K19" s="1127" t="str">
        <v>每日約 11:00–22:00</v>
      </c>
      <c r="L19" s="1127" t="str">
        <v>❗️聖誕節實際時段另核</v>
      </c>
      <c r="M19" s="1127"/>
      <c r="N19" s="1127" t="str">
        <v>店家實拍（以來源頁辨識）
照片來源：https://gospodakwiatypolskie.com/
來源頁實拍；僅作私人行程辨識。</v>
      </c>
      <c r="O19" s="1127" t="str">
        <v>★★★★☆ 很推薦</v>
      </c>
      <c r="P19" s="1134" t="str">
        <v>Old Town 備案合理，但主行程已有 Podwale；不需要兩間都吃。</v>
      </c>
      <c r="Q19" s="1127" t="str">
        <v>○ 老城備選</v>
      </c>
      <c r="R19" s="256" t="str">
        <v>備選・前往前核對</v>
      </c>
      <c r="S19" s="543" t="str">
        <f>HYPERLINK("https://www.google.com/maps/search/?api=1&amp;query=Gospoda%20Kwiaty%20Polskie%20Warsaw","開啟地圖")</f>
        <v>開啟地圖</v>
      </c>
      <c r="T19" s="256"/>
      <c r="U19" s="256"/>
      <c r="V19" s="824"/>
    </row>
    <row r="20" ht="180" customHeight="1">
      <c r="A20" s="1127" t="str">
        <v>Pierogi 專門／現代本地</v>
      </c>
      <c r="B20" s="1127" t="str">
        <v>Royal Route</v>
      </c>
      <c r="C20" s="1128" t="str">
        <v>Syrena Irena</v>
      </c>
      <c r="D20" s="1128" t="str">
        <v>4.1</v>
      </c>
      <c r="E20" s="1128" t="str">
        <v>○ 備選</v>
      </c>
      <c r="F20" s="1129"/>
      <c r="G20" s="1127" t="str">
        <v>它比奶吧更現代，但主題非常專一：pierogi。你喜歡專門店的話，可以當『只想專心吃一樣東西』的備選，不用去連鎖 Zapiecek。</v>
      </c>
      <c r="H20" s="1127" t="str">
        <v>兩人按 I 欄列出的特色菜挑 2–3 款分食；避免和前後餐重複。每道菜的中文解釋、味道、圖片與是否已吃，統一看「華沙當地特色菜」。</v>
      </c>
      <c r="I20" s="1127" t="str">
        <v>Pierogi ruskie（薯仔白乳酪餃）／Pierogi sezonowe（季節餡波蘭餃）／Pierogi na słodko（甜波蘭餃）</v>
      </c>
      <c r="J20" s="1127" t="str">
        <v>100–180 PLN</v>
      </c>
      <c r="K20" s="1127" t="str">
        <v>通常 12:00 起；日別結束時間不同</v>
      </c>
      <c r="L20" s="1127" t="str">
        <v>節日時段另查</v>
      </c>
      <c r="M20" s="1127"/>
      <c r="N20" s="1127" t="str">
        <v>https://www.google.com/maps/search/?api=1&amp;query=Syrena%20Irena%20Warsaw</v>
      </c>
      <c r="O20" s="1127" t="str">
        <v>★★★☆☆ 順路可去</v>
      </c>
      <c r="P20" s="1127" t="str">
        <v>Pierogi 專門店可以補漏，但已有 ruskie＋Christmas pierogi；除非某餐沒吃到，否則不專程。</v>
      </c>
      <c r="Q20" s="1127" t="str">
        <v>○ 補漏用</v>
      </c>
      <c r="R20" s="256" t="str">
        <v>備選・前往前核對</v>
      </c>
      <c r="S20" s="580" t="str">
        <f>HYPERLINK("https://www.google.com/maps/search/?api=1&amp;query=Syrena%20Irena%20Warsaw","開啟地圖")</f>
        <v>開啟地圖</v>
      </c>
      <c r="T20" s="256"/>
      <c r="U20" s="256"/>
      <c r="V20" s="824"/>
    </row>
    <row r="22">
      <c r="A22" t="str">
        <f>HYPERLINK("#'每日行程'!A1","返回每日行程")</f>
        <v>返回每日行程</v>
      </c>
    </row>
  </sheetData>
  <mergeCells>
    <mergeCell ref="A1:Q1"/>
    <mergeCell ref="A2:Q2"/>
    <mergeCell ref="A3:Q3"/>
  </mergeCells>
  <conditionalFormatting sqref="R5:R20">
    <cfRule type="containsText" dxfId="19" priority="1" operator="containsText" text="待"/>
  </conditionalFormatting>
  <pageMargins left="0.7" right="0.7" top="0.75" bottom="0.75" header="0.3" footer="0.3"/>
  <drawing ns1:id="R45c21e9585dc4e49"/>
  <tableParts count="1">
    <tablePart ns1:id="R93a4b412ea9a405d"/>
  </tableParts>
</worksheet>
</file>

<file path=xl/worksheets/sheet5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3" ySplit="4" topLeftCell="D5" activePane="bottomRight" state="frozen"/>
    </sheetView>
  </sheetViews>
  <sheetFormatPr defaultRowHeight="15"/>
  <cols>
    <col min="1" max="1" width="18" hidden="0" customWidth="1"/>
    <col min="2" max="2" width="18" hidden="0" customWidth="1"/>
    <col min="3" max="3" width="31" hidden="0" customWidth="1"/>
    <col min="4" max="4" width="10" hidden="0" customWidth="1"/>
    <col min="5" max="5" width="24" hidden="0" customWidth="1"/>
    <col min="6" max="6" width="8" hidden="0" customWidth="1"/>
    <col min="7" max="7" width="42" hidden="0" customWidth="1"/>
    <col min="8" max="8" width="40" hidden="0" customWidth="1"/>
    <col min="9" max="9" width="40" hidden="0" customWidth="1"/>
    <col min="10" max="10" width="15" hidden="0" customWidth="1"/>
    <col min="11" max="11" width="28" hidden="0" customWidth="1"/>
    <col min="12" max="12" width="36" hidden="0" customWidth="1"/>
    <col min="13" max="13" width="38" hidden="0" customWidth="1"/>
    <col min="14" max="14" width="32" hidden="0" customWidth="1"/>
    <col min="15" max="15" width="20" hidden="0" customWidth="1"/>
    <col min="16" max="16" width="45" hidden="0" customWidth="1"/>
    <col min="17" max="17" width="25" hidden="0" customWidth="1"/>
    <col min="18" max="18" width="24" hidden="0" customWidth="1"/>
    <col min="19" max="19" width="24" hidden="0" customWidth="1"/>
    <col min="20" max="20" width="40" hidden="0" customWidth="1"/>
    <col min="21" max="21" width="46" hidden="0" customWidth="1"/>
    <col min="22" max="22" width="24" hidden="0" customWidth="1"/>
  </cols>
  <sheetData>
    <row r="1">
      <c r="A1" s="1140" t="str">
        <v>伊斯坦堡｜餐廳｜只放店舖資料，不重複完整菜色介紹</v>
      </c>
      <c r="B1" s="1136"/>
      <c r="C1" s="1136"/>
      <c r="D1" s="1136"/>
      <c r="E1" s="1136"/>
      <c r="F1" s="1136"/>
      <c r="G1" s="1136"/>
      <c r="H1" s="1136"/>
      <c r="I1" s="1136"/>
      <c r="J1" s="1136"/>
      <c r="K1" s="1136"/>
      <c r="L1" s="1136"/>
      <c r="M1" s="1136"/>
      <c r="N1" s="1136"/>
      <c r="O1" s="1136"/>
      <c r="P1" s="1136"/>
      <c r="Q1" s="1136"/>
      <c r="R1" s="682"/>
      <c r="S1" s="682"/>
      <c r="T1" s="682"/>
    </row>
    <row r="2">
      <c r="A2" s="1137" t="str">
        <v>這頁只回答：去哪間、為什麼去、怎樣點、幾時開、要不要訂、近期值不值得。菜色詳細解釋、中文／當地文、照片全部去「伊斯坦堡當地特色菜」看。</v>
      </c>
      <c r="B2" s="1137"/>
      <c r="C2" s="1137"/>
      <c r="D2" s="1137"/>
      <c r="E2" s="1137"/>
      <c r="F2" s="1137"/>
      <c r="G2" s="1137"/>
      <c r="H2" s="1137"/>
      <c r="I2" s="1137"/>
      <c r="J2" s="1137"/>
      <c r="K2" s="1137"/>
      <c r="L2" s="1137"/>
      <c r="M2" s="1137"/>
      <c r="N2" s="1137"/>
      <c r="O2" s="1137"/>
      <c r="P2" s="1137"/>
      <c r="Q2" s="1137"/>
      <c r="R2" s="683"/>
      <c r="S2" s="683"/>
      <c r="T2" s="683"/>
    </row>
    <row r="3">
      <c r="A3" s="1138" t="str">
        <v>紅字＝已安排；🎉＝你指定。M 欄直接顯示店家實拍；找不到可核實照片則留空。S 欄開地圖，R 欄連動待辦狀態。</v>
      </c>
      <c r="B3" s="1138"/>
      <c r="C3" s="1138"/>
      <c r="D3" s="1138"/>
      <c r="E3" s="1138"/>
      <c r="F3" s="1138"/>
      <c r="G3" s="1138"/>
      <c r="H3" s="1138"/>
      <c r="I3" s="1138"/>
      <c r="J3" s="1138"/>
      <c r="K3" s="1138"/>
      <c r="L3" s="1138"/>
      <c r="M3" s="1138"/>
      <c r="N3" s="1138"/>
      <c r="O3" s="1138"/>
      <c r="P3" s="1138"/>
      <c r="Q3" s="1138"/>
      <c r="R3" s="684"/>
      <c r="S3" s="684"/>
      <c r="T3" s="684"/>
    </row>
    <row r="4" ht="40" customHeight="1">
      <c r="A4" s="1267" t="str">
        <v>類型</v>
      </c>
      <c r="B4" s="1267" t="str">
        <v>區域</v>
      </c>
      <c r="C4" s="1267" t="str">
        <v>店名</v>
      </c>
      <c r="D4" s="1267" t="str">
        <v>參考評分</v>
      </c>
      <c r="E4" s="1267" t="str">
        <v>主行程標記</v>
      </c>
      <c r="F4" s="1267" t="str">
        <v>❗️</v>
      </c>
      <c r="G4" s="1267" t="str">
        <v>推薦原因</v>
      </c>
      <c r="H4" s="1267" t="str">
        <v>兩人點餐策略</v>
      </c>
      <c r="I4" s="1267" t="str">
        <v>對應當地特色菜（只列名稱）</v>
      </c>
      <c r="J4" s="1267" t="str">
        <v>兩人預算</v>
      </c>
      <c r="K4" s="1267" t="str">
        <v>常規營業</v>
      </c>
      <c r="L4" s="1267" t="str">
        <v>節日／休息提醒</v>
      </c>
      <c r="M4" s="1267" t="str">
        <v>實際照片（直接嵌入）</v>
      </c>
      <c r="N4" s="1267" t="str">
        <v>資料來源</v>
      </c>
      <c r="O4" s="1267" t="str">
        <v>本行程推薦度</v>
      </c>
      <c r="P4" s="1267" t="str">
        <v>2026 審核</v>
      </c>
      <c r="Q4" s="1267" t="str">
        <v>處理</v>
      </c>
      <c r="R4" s="1269" t="str">
        <v>營業／訂位狀態</v>
      </c>
      <c r="S4" s="1269" t="str">
        <v>地圖</v>
      </c>
      <c r="T4" s="685"/>
      <c r="U4" s="860"/>
      <c r="V4" s="860"/>
    </row>
    <row r="5" ht="180" customHeight="1">
      <c r="A5" s="1122" t="str">
        <v>早餐</v>
      </c>
      <c r="B5" s="1122" t="str">
        <v>Karaköy</v>
      </c>
      <c r="C5" s="1123" t="str">
        <v>Namlı Gurme</v>
      </c>
      <c r="D5" s="1123" t="str">
        <v>4.1</v>
      </c>
      <c r="E5" s="1123" t="str">
        <v>○ 參考資料・本次不排三餐</v>
      </c>
      <c r="F5" s="1122"/>
      <c r="G5" s="1122" t="str">
        <v>Karaköy 的熟食市場感很強，早餐選擇多而且不用排『網紅早餐塔』；住 Karaköy 周邊時動線尤其好，但它本身不是酒店餐廳。</v>
      </c>
      <c r="H5" s="1122" t="str">
        <v>兩人按 I 欄列出的特色菜挑 2–3 款分食；避免和前後餐重複。每道菜的中文解釋、味道、圖片與是否已吃，統一看「伊斯坦堡當地特色菜」。</v>
      </c>
      <c r="I5" s="1122" t="str">
        <v>Türk kahvaltısı（土耳其早餐拼盤）／Sucuklu yumurta（香腸煎蛋）／Börek（土耳其餡餅）</v>
      </c>
      <c r="J5" s="1122" t="str">
        <v>900–1500 TRY</v>
      </c>
      <c r="K5" s="1122" t="str">
        <v>每日約 07:00–21:00</v>
      </c>
      <c r="L5" s="1122" t="str">
        <v>12/28 07:45 早餐；前一天核對 Karaköy 分店開門與供餐。</v>
      </c>
      <c r="M5" s="1122"/>
      <c r="N5" s="1122" t="str">
        <v>https://www.google.com/maps/search/?api=1&amp;query=Naml%C4%B1%20Gurme%20Karak%C3%B6y%20Istanbul</v>
      </c>
      <c r="O5" s="1122" t="str">
        <v>★★★★☆ 很推薦</v>
      </c>
      <c r="P5" s="1125" t="str">
        <v>本次三餐依你指定的五家安排，這家不作主行程或三餐備選。</v>
      </c>
      <c r="Q5" s="1122" t="str">
        <v>本次不安排</v>
      </c>
      <c r="R5" s="256" t="str">
        <v>本次不安排</v>
      </c>
      <c r="S5" s="543" t="str">
        <f>HYPERLINK("https://www.google.com/maps/search/?api=1&amp;query=Naml%C4%B1%20Gurme%20Karak%C3%B6y%20Istanbul","開啟地圖")</f>
        <v>開啟地圖</v>
      </c>
      <c r="T5" s="256"/>
      <c r="U5" s="256"/>
      <c r="V5" s="256"/>
    </row>
    <row r="6" ht="180" customHeight="1">
      <c r="A6" s="1127" t="str">
        <v>早餐</v>
      </c>
      <c r="B6" s="1127" t="str">
        <v>Beyoğlu</v>
      </c>
      <c r="C6" s="1128" t="str">
        <v>Lades Menemen</v>
      </c>
      <c r="D6" s="1128" t="str">
        <v>4.3</v>
      </c>
      <c r="E6" s="1128" t="str">
        <v>○ 參考資料・本次不排三餐</v>
      </c>
      <c r="F6" s="1127"/>
      <c r="G6" s="1127" t="str">
        <v>不是豪華早餐，是老派簡單早餐店；最值得的是 menemen 本身，這種吃法比酒店 buffet 更接近當地人的日常。</v>
      </c>
      <c r="H6" s="1127" t="str">
        <v>兩人按 I 欄列出的特色菜挑 2–3 款分食；避免和前後餐重複。每道菜的中文解釋、味道、圖片與是否已吃，統一看「伊斯坦堡當地特色菜」。</v>
      </c>
      <c r="I6" s="1127" t="str">
        <v>Menemen（番茄青椒炒蛋）／Sucuklu menemen（香腸番茄炒蛋）／Çay（土耳其紅茶）</v>
      </c>
      <c r="J6" s="1127" t="str">
        <v>500–900 TRY</v>
      </c>
      <c r="K6" s="1127" t="str">
        <v>每日約 07:00–21:00</v>
      </c>
      <c r="L6" s="1127" t="str">
        <v>12/30 正常工作日</v>
      </c>
      <c r="M6" s="1127"/>
      <c r="N6" s="1127" t="str">
        <v>店家實拍（以來源頁辨識）
照片來源：https://www.worldofmouth.app/articles/best-casual-restaurants-in-istanbul
來源頁實拍；僅作私人行程辨識。</v>
      </c>
      <c r="O6" s="1127" t="str">
        <v>★★★★★ 必吃</v>
      </c>
      <c r="P6" s="1135" t="str">
        <v>本次三餐依你指定的五家安排，這家不作主行程或三餐備選。</v>
      </c>
      <c r="Q6" s="1127" t="str">
        <v>本次不安排</v>
      </c>
      <c r="R6" s="256" t="str">
        <v>本次不安排</v>
      </c>
      <c r="S6" s="542" t="str">
        <f>HYPERLINK("https://www.google.com/maps/search/?api=1&amp;query=Lades%20Menemen%20Istanbul","開啟地圖")</f>
        <v>開啟地圖</v>
      </c>
      <c r="T6" s="256"/>
      <c r="U6" s="256"/>
      <c r="V6" s="256"/>
    </row>
    <row r="7" ht="180" customHeight="1">
      <c r="A7" s="1122" t="str">
        <v>早餐</v>
      </c>
      <c r="B7" s="1122" t="str">
        <v>Beşiktaş</v>
      </c>
      <c r="C7" s="1123" t="str">
        <v>Çakmak Kahvaltı Salonu</v>
      </c>
      <c r="D7" s="1123" t="str">
        <v>4.4</v>
      </c>
      <c r="E7" s="1123" t="str">
        <v>○ 參考資料・本次不排三餐</v>
      </c>
      <c r="F7" s="1122"/>
      <c r="G7" s="1122" t="str">
        <v>Beşiktaş 早餐文化本來就是當地生活的一部分；這間老派、簡單、沒有『拍照早餐塔』負擔，而且吃完前往 Yıldız Palace。</v>
      </c>
      <c r="H7" s="1122" t="str">
        <v>兩人按 I 欄列出的特色菜挑 2–3 款分食；避免和前後餐重複。每道菜的中文解釋、味道、圖片與是否已吃，統一看「伊斯坦堡當地特色菜」。</v>
      </c>
      <c r="I7" s="1122" t="str">
        <v>Kahvaltı tabağı（土耳其早餐盤）／Sahanda yumurta（小鍋煎蛋）／Bal kaymak（蜂蜜＋凝脂奶油）</v>
      </c>
      <c r="J7" s="1122" t="str">
        <v>700–1200 TRY</v>
      </c>
      <c r="K7" s="1122" t="str">
        <v>每日約 07:00–17:30</v>
      </c>
      <c r="L7" s="1122" t="str">
        <v>12/29 正常工作日</v>
      </c>
      <c r="M7" s="1122"/>
      <c r="N7" s="1122" t="str">
        <v>店家實拍（以來源頁辨識）
照片來源：https://www.cntravellerme.com/story/the-best-places-for-breakfast-in-istanbul
來源頁實拍；僅作私人行程辨識。</v>
      </c>
      <c r="O7" s="1122" t="str">
        <v>★★★★★ 必吃</v>
      </c>
      <c r="P7" s="1124" t="str">
        <v>本次三餐依你指定的五家安排，這家不作主行程或三餐備選。</v>
      </c>
      <c r="Q7" s="1122" t="str">
        <v>本次不安排</v>
      </c>
      <c r="R7" s="256" t="str">
        <v>本次不安排</v>
      </c>
      <c r="S7" s="542" t="str">
        <f>HYPERLINK("https://www.google.com/maps/search/?api=1&amp;query=%C3%87akmak%20Kahvalt%C4%B1%20Salonu%20Be%C5%9Fikta%C5%9F%20Istanbul","開啟地圖")</f>
        <v>開啟地圖</v>
      </c>
      <c r="T7" s="256"/>
      <c r="U7" s="256"/>
      <c r="V7" s="256"/>
    </row>
    <row r="8" ht="180" customHeight="1">
      <c r="A8" s="1127" t="str">
        <v>午餐／köfte</v>
      </c>
      <c r="B8" s="1127" t="str">
        <v>Sultanahmet</v>
      </c>
      <c r="C8" s="1128" t="str">
        <v>Tarihi Sultanahmet Köftecisi Selim Usta</v>
      </c>
      <c r="D8" s="1128" t="str">
        <v>4.1</v>
      </c>
      <c r="E8" s="1128" t="str">
        <v>○ 參考資料・本次不排三餐</v>
      </c>
      <c r="F8" s="1127"/>
      <c r="G8" s="1127" t="str">
        <v>老城裡很多同名或相似 köfte 店，這間的價值是經典、出餐快；Topkapı 後不用把兩小時浪費在景觀餐廳。</v>
      </c>
      <c r="H8" s="1127" t="str">
        <v>兩人按 I 欄列出的特色菜挑 2–3 款分食；避免和前後餐重複。每道菜的中文解釋、味道、圖片與是否已吃，統一看「伊斯坦堡當地特色菜」。</v>
      </c>
      <c r="I8" s="1127" t="str">
        <v>Izgara köfte（烤肉丸）／Piyaz（白豆洋蔥沙律）／İrmik helvası（粗粒小麥甜點）</v>
      </c>
      <c r="J8" s="1127" t="str">
        <v>700–1100 TRY</v>
      </c>
      <c r="K8" s="1127" t="str">
        <v>每日約 10:30–22:30</v>
      </c>
      <c r="L8" s="1127" t="str">
        <v>12/28 正常日</v>
      </c>
      <c r="M8" s="1127"/>
      <c r="N8" s="1127" t="str">
        <v>店家實拍（以來源頁辨識）
照片來源：https://www.yelp.com/biz/tarihi-sultanahmet-k%C3%B6ftecisi-selim-usta-istanbul-2
來源頁實拍；僅作私人行程辨識。</v>
      </c>
      <c r="O8" s="1127" t="str">
        <v>★★★★☆ 很推薦</v>
      </c>
      <c r="P8" s="1130" t="str">
        <v>本次三餐依你指定的五家安排，這家不作主行程或三餐備選。</v>
      </c>
      <c r="Q8" s="1127" t="str">
        <v>本次不安排</v>
      </c>
      <c r="R8" s="256" t="str">
        <v>本次不安排</v>
      </c>
      <c r="S8" s="543" t="str">
        <f>HYPERLINK("https://www.google.com/maps/search/?api=1&amp;query=Tarihi%20Sultanahmet%20K%C3%B6ftecisi%20Selim%20Usta%20Istanbul","開啟地圖")</f>
        <v>開啟地圖</v>
      </c>
      <c r="T8" s="256"/>
      <c r="U8" s="256"/>
      <c r="V8" s="256"/>
    </row>
    <row r="9" ht="180" customHeight="1">
      <c r="A9" s="1127" t="str">
        <v>午餐／döner</v>
      </c>
      <c r="B9" s="1127" t="str">
        <v>Beşiktaş</v>
      </c>
      <c r="C9" s="1128" t="str">
        <v>Karadeniz Döner Asım Usta</v>
      </c>
      <c r="D9" s="1128" t="str">
        <v>4.2</v>
      </c>
      <c r="E9" s="1128" t="str">
        <v>○ 參考資料・本次不排三餐</v>
      </c>
      <c r="F9" s="1127"/>
      <c r="G9" s="1127" t="str">
        <v>這間的核心不是環境，是一支很有名的 döner；午市賣完就收，比景點區任何『全日供應』的 döner 更像真實本地午飯。</v>
      </c>
      <c r="H9" s="1127" t="str">
        <v>兩人按 I 欄列出的特色菜挑 2–3 款分食；避免和前後餐重複。每道菜的中文解釋、味道、圖片與是否已吃，統一看「伊斯坦堡當地特色菜」。</v>
      </c>
      <c r="I9" s="1127" t="str">
        <v>Et döner（牛肉旋轉烤肉）／Ekmek arası döner（麵包夾 döner）／Ayran（鹹乳酪飲）</v>
      </c>
      <c r="J9" s="1127" t="str">
        <v>700–1200 TRY</v>
      </c>
      <c r="K9" s="1127" t="str">
        <v>Mon–Sat 約 10:30–16:30；售完可能提早關</v>
      </c>
      <c r="L9" s="1127" t="str">
        <v>12/29 是星期二，可排；要早到</v>
      </c>
      <c r="M9" s="1127"/>
      <c r="N9" s="1127" t="str">
        <v>https://www.google.com/maps/search/?api=1&amp;query=Karadeniz%20D%C3%B6ner%20As%C4%B1m%20Usta%20Istanbul</v>
      </c>
      <c r="O9" s="1127" t="str">
        <v>★★★★★ 必吃</v>
      </c>
      <c r="P9" s="1135" t="str">
        <v>本次三餐依你指定的五家安排，這家不作主行程或三餐備選。</v>
      </c>
      <c r="Q9" s="1131" t="str">
        <v>本次不安排</v>
      </c>
      <c r="R9" s="256" t="str">
        <v>本次不安排</v>
      </c>
      <c r="S9" s="542" t="str">
        <f>HYPERLINK("https://www.google.com/maps/search/?api=1&amp;query=Karadeniz%20D%C3%B6ner%20As%C4%B1m%20Usta%20Istanbul","開啟地圖")</f>
        <v>開啟地圖</v>
      </c>
      <c r="T9" s="256"/>
      <c r="U9" s="256"/>
      <c r="V9" s="862"/>
    </row>
    <row r="10" ht="180" customHeight="1">
      <c r="A10" s="1122" t="str">
        <v>晚餐／歷史 lokanta</v>
      </c>
      <c r="B10" s="1122" t="str">
        <v>Beyoğlu</v>
      </c>
      <c r="C10" s="1123" t="str">
        <v>Hacı Abdullah Lokantası</v>
      </c>
      <c r="D10" s="1123" t="str">
        <v>4.4</v>
      </c>
      <c r="E10" s="1123" t="str">
        <v>○ 參考資料・本次不排三餐</v>
      </c>
      <c r="F10" s="1126" t="str">
        <v>❗️</v>
      </c>
      <c r="G10" s="1122" t="str">
        <v>歷史老 lokanta 的價值是『看熟食櫃選菜』和大量非 kebab 家常／宮廷菜；能把伊斯坦堡飲食從烤肉擴展到真正的燉菜、冷前菜與米飯系統。</v>
      </c>
      <c r="H10" s="1122" t="str">
        <v>兩人按 I 欄列出的特色菜挑 2–3 款分食；避免和前後餐重複。每道菜的中文解釋、味道、圖片與是否已吃，統一看「伊斯坦堡當地特色菜」。</v>
      </c>
      <c r="I10" s="1122" t="str">
        <v>Kuzu tandır（慢烤羊肉）／Beğendili kebap（烤肉配煙燻茄泥）／Yaprak sarma（葡萄葉包飯）</v>
      </c>
      <c r="J10" s="1122" t="str">
        <v>1200–2200 TRY</v>
      </c>
      <c r="K10" s="1122" t="str">
        <v>每日約 11:00–22:30</v>
      </c>
      <c r="L10" s="1122" t="str">
        <v>❗️晚餐建議訂位</v>
      </c>
      <c r="M10" s="1122"/>
      <c r="N10" s="1122" t="str">
        <v>店家實拍（以來源頁辨識）
照片來源：https://onedio.com/haber/dunyanin-en-efsanevi-150-restorani-ve-ikonik-yemeklerinin-secildigi-listeye-turkiye-den-alti-restoran-girdi-1158910
來源頁實拍；僅作私人行程辨識。</v>
      </c>
      <c r="O10" s="1122" t="str">
        <v>★★★★★ 必吃</v>
      </c>
      <c r="P10" s="1124" t="str">
        <v>本次三餐依你指定的五家安排，這家不作主行程或三餐備選。</v>
      </c>
      <c r="Q10" s="1124" t="str">
        <v>本次不安排</v>
      </c>
      <c r="R10" s="256" t="str">
        <v>本次不安排</v>
      </c>
      <c r="S10" s="542" t="str">
        <f>HYPERLINK("https://www.google.com/maps/search/?api=1&amp;query=Hac%C4%B1%20Abdullah%20Lokantas%C4%B1%20Istanbul","開啟地圖")</f>
        <v>開啟地圖</v>
      </c>
      <c r="T10" s="256"/>
      <c r="U10" s="256"/>
      <c r="V10" s="822"/>
    </row>
    <row r="11" ht="180" customHeight="1">
      <c r="A11" s="1122" t="str">
        <v>晚餐／黑海菜</v>
      </c>
      <c r="B11" s="1122" t="str">
        <v>Beyoğlu</v>
      </c>
      <c r="C11" s="1123" t="str">
        <v>Hayvore</v>
      </c>
      <c r="D11" s="1123" t="str">
        <v>4.2</v>
      </c>
      <c r="E11" s="1123" t="str">
        <v>○ 參考資料・本次不排三餐</v>
      </c>
      <c r="F11" s="1126" t="str">
        <v>❗️</v>
      </c>
      <c r="G11" s="1122" t="str">
        <v>黑海菜讓這趟不會每餐都變 kebab；hamsi、muhlama、karalahana 都有明顯地域個性，比一般觀光餐廳更值得。</v>
      </c>
      <c r="H11" s="1122" t="str">
        <v>兩人按 I 欄列出的特色菜挑 2–3 款分食；避免和前後餐重複。每道菜的中文解釋、味道、圖片與是否已吃，統一看「伊斯坦堡當地特色菜」。</v>
      </c>
      <c r="I11" s="1122" t="str">
        <v>Muhlama（黑海乳酪玉米糊） / Kuymak（黑海乳酪玉米糊）／Hamsili pilav（鯷魚香料飯）／Karalahana yemeği（黑羽衣甘藍燉菜） / çorbası（湯）</v>
      </c>
      <c r="J11" s="1122" t="str">
        <v>1000–1800 TRY</v>
      </c>
      <c r="K11" s="1122" t="str">
        <v>每日約 10:30–23:00</v>
      </c>
      <c r="L11" s="1122" t="str">
        <v>❗️晚餐熱門時段建議先確認／訂位</v>
      </c>
      <c r="M11" s="1122"/>
      <c r="N11" s="1122" t="str">
        <v>https://www.google.com/maps/search/?api=1&amp;query=Hayvore%20Istanbul</v>
      </c>
      <c r="O11" s="1122" t="str">
        <v>★★★★★ 必吃</v>
      </c>
      <c r="P11" s="1124" t="str">
        <v>本次三餐依你指定的五家安排，這家不作主行程或三餐備選。</v>
      </c>
      <c r="Q11" s="1124" t="str">
        <v>本次不安排</v>
      </c>
      <c r="R11" s="256" t="str">
        <v>本次不安排</v>
      </c>
      <c r="S11" s="542" t="str">
        <f>HYPERLINK("https://www.google.com/maps/search/?api=1&amp;query=Hayvore%20Istanbul","開啟地圖")</f>
        <v>開啟地圖</v>
      </c>
      <c r="T11" s="256"/>
      <c r="U11" s="256"/>
      <c r="V11" s="822"/>
    </row>
    <row r="12" ht="180" customHeight="1">
      <c r="A12" s="1127" t="str">
        <v>晚餐／Karaköy</v>
      </c>
      <c r="B12" s="1127" t="str">
        <v>Karaköy</v>
      </c>
      <c r="C12" s="1128" t="str">
        <v>Mahkeme Lokantası</v>
      </c>
      <c r="D12" s="1128" t="str">
        <v>4.5</v>
      </c>
      <c r="E12" s="1128" t="str">
        <v>○ 參考資料・本次不排三餐</v>
      </c>
      <c r="F12" s="1129" t="str">
        <v>❗️</v>
      </c>
      <c r="G12" s="1127" t="str">
        <v>第一晚落機後不應再跨城；這間在 Karaköy，能吃到 meze＋熱菜，又不是酒店餐廳。重點是『落地可行性＋在地晚餐』。</v>
      </c>
      <c r="H12" s="1127" t="str">
        <v>兩人按 I 欄列出的特色菜挑 2–3 款分食；避免和前後餐重複。每道菜的中文解釋、味道、圖片與是否已吃，統一看「伊斯坦堡當地特色菜」。</v>
      </c>
      <c r="I12" s="1127" t="str">
        <v>Meze tabağı（土耳其冷前菜拼盤）／Izgara（炭烤肉／魚）／Günün sıcak yemeği（當日熱菜）</v>
      </c>
      <c r="J12" s="1127" t="str">
        <v>1200–2200 TRY</v>
      </c>
      <c r="K12" s="1127" t="str">
        <v>Mon–Sat 常見午晚分段；Sunday 可能只晚餐</v>
      </c>
      <c r="L12" s="1127" t="str">
        <v>❗️航班延誤時必須先確認最後點餐</v>
      </c>
      <c r="M12" s="1127"/>
      <c r="N12" s="1127" t="str">
        <v>https://www.google.com/maps/search/?api=1&amp;query=Mahkeme%20Lokantas%C4%B1%20Karak%C3%B6y%20Istanbul</v>
      </c>
      <c r="O12" s="1127" t="str">
        <v>★★★★☆ 很推薦</v>
      </c>
      <c r="P12" s="1130" t="str">
        <v>本次三餐依你指定的五家安排，這家不作主行程或三餐備選。</v>
      </c>
      <c r="Q12" s="1127" t="str">
        <v>本次不安排</v>
      </c>
      <c r="R12" s="256" t="str">
        <v>本次不安排</v>
      </c>
      <c r="S12" s="543" t="str">
        <f>HYPERLINK("https://www.google.com/maps/search/?api=1&amp;query=Mahkeme%20Lokantas%C4%B1%20Karak%C3%B6y%20Istanbul","開啟地圖")</f>
        <v>開啟地圖</v>
      </c>
      <c r="T12" s="256"/>
      <c r="U12" s="256"/>
      <c r="V12" s="256"/>
    </row>
    <row r="13" ht="180" customHeight="1">
      <c r="A13" s="1127" t="str">
        <v>午餐／Esnaf lokantası</v>
      </c>
      <c r="B13" s="1127" t="str">
        <v>Karaköy</v>
      </c>
      <c r="C13" s="1132" t="str">
        <v>Emek Restaurant</v>
      </c>
      <c r="D13" s="1133" t="str">
        <v>—</v>
      </c>
      <c r="E13" s="1127" t="str">
        <v>○ 參考資料・本次不排三餐</v>
      </c>
      <c r="F13" s="1127"/>
      <c r="G13" s="1127" t="str">
        <v>1970 年代起的 esnaf lokantası 路線，真正為附近上班族／商販而做；比觀光套餐更適合看『今天有什麼就吃什麼』的日常餐。</v>
      </c>
      <c r="H13" s="1127" t="str">
        <v>兩人按 I 欄列出的特色菜挑 2–3 款分食；避免和前後餐重複。每道菜的中文解釋、味道、圖片與是否已吃，統一看「伊斯坦堡當地特色菜」。</v>
      </c>
      <c r="I13" s="1127" t="str">
        <v>Günün yemeği（當日家常菜）／Pilav（米飯） / bulgur pilavı（布格麥飯）／Zeytinyağlı（橄欖油蔬菜）</v>
      </c>
      <c r="J13" s="1127" t="str">
        <v>700–1200 TRY</v>
      </c>
      <c r="K13" s="1127" t="str">
        <v>以午餐為主</v>
      </c>
      <c r="L13" s="1127" t="str">
        <v>不排主行程，只作 Karaköy 中午備選</v>
      </c>
      <c r="M13" s="1127"/>
      <c r="N13" s="1127" t="str">
        <v>https://www.emekrestaurant.com.tr/en/beyoglu-esnaf-lokantasi</v>
      </c>
      <c r="O13" s="1127" t="str">
        <v>★★★★☆ 很推薦</v>
      </c>
      <c r="P13" s="1130" t="str">
        <v>本次三餐依你指定的五家安排，這家不作主行程或三餐備選。</v>
      </c>
      <c r="Q13" s="1127" t="str">
        <v>本次不安排</v>
      </c>
      <c r="R13" s="256" t="str">
        <v>本次不安排</v>
      </c>
      <c r="S13" s="543" t="str">
        <f>HYPERLINK("https://www.google.com/maps/search/?api=1&amp;query=Emek%20Restaurant%20Karak%C3%B6y%20Istanbul","開啟地圖")</f>
        <v>開啟地圖</v>
      </c>
      <c r="T13" s="256"/>
      <c r="U13" s="256"/>
      <c r="V13" s="256"/>
    </row>
    <row r="14" ht="180" customHeight="1">
      <c r="A14" s="1127" t="str">
        <v>晚餐／安納托利亞</v>
      </c>
      <c r="B14" s="1127" t="str">
        <v>Kadıköy</v>
      </c>
      <c r="C14" s="1132" t="str">
        <v>Çiya Sofrası</v>
      </c>
      <c r="D14" s="1133" t="str">
        <v>4.0</v>
      </c>
      <c r="E14" s="1127" t="str">
        <v>○ 參考資料・本次不排三餐</v>
      </c>
      <c r="F14" s="1129" t="str">
        <v>❗️</v>
      </c>
      <c r="G14" s="1127" t="str">
        <v>它最強的是地域菜廣度，而不是只靠一兩道招牌；如果你們去亞洲岸，這一餐能一次接觸很多安納托利亞地方味道。</v>
      </c>
      <c r="H14" s="1127" t="str">
        <v>兩人按 I 欄列出的特色菜挑 2–3 款分食；避免和前後餐重複。每道菜的中文解釋、味道、圖片與是否已吃，統一看「伊斯坦堡當地特色菜」。</v>
      </c>
      <c r="I14" s="1127" t="str">
        <v>Anadolu yöresel yemekleri（安納托利亞地方菜）／İçli köfte（肉餡小麥球）／Lahmacun（薄脆肉末香草餅）</v>
      </c>
      <c r="J14" s="1127" t="str">
        <v>1300–2300 TRY</v>
      </c>
      <c r="K14" s="1127" t="str">
        <v>每日約 11:30–22:00/22:30</v>
      </c>
      <c r="L14" s="1127" t="str">
        <v>❗️熱門時段可訂位／提早去</v>
      </c>
      <c r="M14" s="1127"/>
      <c r="N14" s="1127" t="str">
        <v>店家實拍（以來源頁辨識）
照片來源：https://wanderon.in/blogs/best-restaurants-in-istanbul-turkey
來源頁實拍；僅作私人行程辨識。</v>
      </c>
      <c r="O14" s="1127" t="str">
        <v>★★☆☆☆ 本次降級</v>
      </c>
      <c r="P14" s="1135" t="str">
        <v>本次三餐依你指定的五家安排，這家不作主行程或三餐備選。</v>
      </c>
      <c r="Q14" s="1131" t="str">
        <v>本次不安排</v>
      </c>
      <c r="R14" s="256" t="str">
        <v>本次不安排</v>
      </c>
      <c r="S14" s="542" t="str">
        <f>HYPERLINK("https://www.google.com/maps/search/?api=1&amp;query=%C3%87iya%20Sofras%C4%B1%20Kad%C4%B1k%C3%B6y%20Istanbul","開啟地圖")</f>
        <v>開啟地圖</v>
      </c>
      <c r="T14" s="256"/>
      <c r="U14" s="256"/>
      <c r="V14" s="862"/>
    </row>
    <row r="15" ht="180" customHeight="1">
      <c r="A15" s="1127" t="str">
        <v>早晚餐／pide</v>
      </c>
      <c r="B15" s="1127" t="str">
        <v>Sirkeci</v>
      </c>
      <c r="C15" s="1128" t="str">
        <v>Hocapaşa Pidecisi</v>
      </c>
      <c r="D15" s="1128" t="str">
        <v>4.5</v>
      </c>
      <c r="E15" s="1128" t="str">
        <v>○ 參考資料・本次不排三餐</v>
      </c>
      <c r="F15" s="1127"/>
      <c r="G15" s="1127" t="str">
        <v>店的核心就是 pide，選擇簡單、出餐快；12/30 走完大巴扎／香料市集後，早一點吃完回去整理行李最實用。</v>
      </c>
      <c r="H15" s="1127" t="str">
        <v>兩人按 I 欄列出的特色菜挑 2–3 款分食；避免和前後餐重複。每道菜的中文解釋、味道、圖片與是否已吃，統一看「伊斯坦堡當地特色菜」。</v>
      </c>
      <c r="I15" s="1127" t="str">
        <v>Kıymalı pide（肉末船形餅）／Kuşbaşılı pide（切粒肉船形餅）／Ayran（鹹乳酪飲）</v>
      </c>
      <c r="J15" s="1127" t="str">
        <v>500–900 TRY</v>
      </c>
      <c r="K15" s="1127" t="str">
        <v>每日約 12:00–18:30，最後點餐偏早</v>
      </c>
      <c r="L15" s="1127" t="str">
        <v>12/30 正常日，但不要拖到 19:00</v>
      </c>
      <c r="M15" s="1127"/>
      <c r="N15" s="1127" t="str">
        <v>店家實拍（以來源頁辨識）
照片來源：https://grablocals.com/listing/tarihi-hocapasa-pidecisi/
來源頁實拍；僅作私人行程辨識。</v>
      </c>
      <c r="O15" s="1127" t="str">
        <v>★★★★☆ 很推薦</v>
      </c>
      <c r="P15" s="1130" t="str">
        <v>本次三餐依你指定的五家安排，這家不作主行程或三餐備選。</v>
      </c>
      <c r="Q15" s="1127" t="str">
        <v>本次不安排</v>
      </c>
      <c r="R15" s="256" t="str">
        <v>本次不安排</v>
      </c>
      <c r="S15" s="543" t="str">
        <f>HYPERLINK("https://www.google.com/maps/search/?api=1&amp;query=Hocapa%C5%9Fa%20Pidecisi%20Istanbul","開啟地圖")</f>
        <v>開啟地圖</v>
      </c>
      <c r="T15" s="256"/>
      <c r="U15" s="256"/>
      <c r="V15" s="824"/>
    </row>
    <row r="16" ht="180" customHeight="1">
      <c r="A16" s="1127" t="str">
        <v>午餐／Esnaf lokantası</v>
      </c>
      <c r="B16" s="1127" t="str">
        <v>Sirkeci</v>
      </c>
      <c r="C16" s="1128" t="str">
        <v>Sirkeci Balkan Lokantası</v>
      </c>
      <c r="D16" s="1128" t="str">
        <v>—</v>
      </c>
      <c r="E16" s="1128" t="str">
        <v>○ 參考資料・本次不排三餐</v>
      </c>
      <c r="F16" s="1127"/>
      <c r="G16" s="1127" t="str">
        <v>自助式／熟食櫃家常店，最適合大巴扎日快速吃『真正在地午飯』；比 Sultanahmet 的景觀餐廳更符合你要的方向。</v>
      </c>
      <c r="H16" s="1127" t="str">
        <v>兩人按 I 欄列出的特色菜挑 2–3 款分食；避免和前後餐重複。每道菜的中文解釋、味道、圖片與是否已吃，統一看「伊斯坦堡當地特色菜」。</v>
      </c>
      <c r="I16" s="1127" t="str">
        <v>Kuru fasulye + pilav（燴白豆＋米飯）／İzmir köfte（伊茲密爾肉丸）／Fırın sütlaç（焗米布丁）</v>
      </c>
      <c r="J16" s="1127" t="str">
        <v>600–1100 TRY</v>
      </c>
      <c r="K16" s="1127" t="str">
        <v>公開時段資料不完整，當日核對</v>
      </c>
      <c r="L16" s="1127" t="str">
        <v>12/30 正常日；午市去最穩</v>
      </c>
      <c r="M16" s="1127"/>
      <c r="N16" s="1127" t="str">
        <v>https://www.sirkecibalkanlokantasi.com.tr/sirkeci-balkan-menu/</v>
      </c>
      <c r="O16" s="1127" t="str">
        <v>★★★★☆ 很推薦</v>
      </c>
      <c r="P16" s="1135" t="str">
        <v>本次三餐依你指定的五家安排，這家不作主行程或三餐備選。</v>
      </c>
      <c r="Q16" s="1127" t="str">
        <v>本次不安排</v>
      </c>
      <c r="R16" s="256" t="str">
        <v>本次不安排</v>
      </c>
      <c r="S16" s="543" t="str">
        <f>HYPERLINK("https://www.google.com/maps/search/?api=1&amp;query=Sirkeci%20Balkan%20Lokantas%C4%B1%20Istanbul","開啟地圖")</f>
        <v>開啟地圖</v>
      </c>
      <c r="T16" s="256"/>
      <c r="U16" s="256"/>
      <c r="V16" s="824"/>
    </row>
    <row r="17" ht="180" customHeight="1">
      <c r="A17" s="1122" t="str">
        <v>魚肉捲專門店</v>
      </c>
      <c r="B17" s="1122" t="str">
        <v>Karaköy</v>
      </c>
      <c r="C17" s="1123" t="str">
        <v>MAFish Wrap</v>
      </c>
      <c r="D17" s="1123" t="str">
        <v>4.9</v>
      </c>
      <c r="E17" s="1123" t="str">
        <v>🎉 12/27 晚、12/28 晚、12/29 午、12/30 午</v>
      </c>
      <c r="F17" s="1122"/>
      <c r="G17" s="1122" t="str">
        <v>這間完全符合你喜歡的方向：小、專一、直接把一種東西做好。更重要是 Karaköy、營業到很晚，剛好解決落機後『不想回酒店吃』的問題。</v>
      </c>
      <c r="H17" s="1122" t="str">
        <v>兩人按 I 欄列出的特色菜挑 2–3 款分食；避免和前後餐重複。每道菜的中文解釋、味道、圖片與是否已吃，統一看「伊斯坦堡當地特色菜」。</v>
      </c>
      <c r="I17" s="1122" t="str">
        <v>Balık dürüm（烤魚捲）／Uskumru dürüm（鯖魚捲） / uskumru kebap（鯖魚烤肉）／Ayran（鹹乳酪飲） / turşu suyu（醃菜汁）</v>
      </c>
      <c r="J17" s="1122" t="str">
        <v>約 500–900 TRY</v>
      </c>
      <c r="K17" s="1122" t="str">
        <v>每日約 10:00–03:00</v>
      </c>
      <c r="L17" s="1122" t="str">
        <v>晚到也比一般 lokanta 更穩；仍建議落地後看當日狀態</v>
      </c>
      <c r="M17" s="1122"/>
      <c r="N17" s="1122" t="str">
        <v>https://www.menu-tr.com/istanbul/beyoglu/balik-restorani/mafish-wrap</v>
      </c>
      <c r="O17" s="1122" t="str">
        <v>★★★★★ 🎉 你的必吃</v>
      </c>
      <c r="P17" s="1125" t="str">
        <v>指定魚捲店；住 Karaköy 時順路重訪，每次可換魚捲／配飲。晚到仍核對營業。</v>
      </c>
      <c r="Q17" s="1122"/>
      <c r="R17" s="256" t="str">
        <v>多日主行程・當日營業待核</v>
      </c>
      <c r="S17" s="542" t="str">
        <f>HYPERLINK("https://www.google.com/maps/search/?api=1&amp;query=MAFish%20Wrap%20Istanbul","開啟地圖")</f>
        <v>開啟地圖</v>
      </c>
      <c r="T17" s="256"/>
      <c r="U17" s="256"/>
      <c r="V17" s="256"/>
    </row>
    <row r="18" ht="180" customHeight="1">
      <c r="A18" s="1122" t="str">
        <v>Dürüm／炭火烤肉專門</v>
      </c>
      <c r="B18" s="1122" t="str">
        <v>Fatih／Grand Bazaar</v>
      </c>
      <c r="C18" s="1123" t="str">
        <v>Dürümcü Raif Usta</v>
      </c>
      <c r="D18" s="1123" t="str">
        <v>4.4</v>
      </c>
      <c r="E18" s="1123" t="str">
        <v>🎉 12/29 早晚餐 17:45</v>
      </c>
      <c r="F18" s="1122"/>
      <c r="G18" s="1122" t="str">
        <v>和你列出的其他店一樣，它不是靠裝潢：小凳子、快節奏、炭火現烤。資料與評論反覆提到 Adana、ciğer、tavuk şiş 以及烤辣椒，專門度很高。</v>
      </c>
      <c r="H18" s="1122" t="str">
        <v>兩人按 I 欄列出的特色菜挑 2–3 款分食；避免和前後餐重複。每道菜的中文解釋、味道、圖片與是否已吃，統一看「伊斯坦堡當地特色菜」。</v>
      </c>
      <c r="I18" s="1122" t="str">
        <v>Adana dürüm（辣味肉末烤串捲）／Ciğer dürüm（烤肝捲）／Tavuk şiş dürüm（雞肉串捲）</v>
      </c>
      <c r="J18" s="1122" t="str">
        <v>約 500–900 TRY</v>
      </c>
      <c r="K18" s="1122" t="str">
        <v>約 11:30–19:30；星期日資料有分歧</v>
      </c>
      <c r="L18" s="1122" t="str">
        <v>12/28/2026 是星期一，可排；不必訂位但午市可能排隊</v>
      </c>
      <c r="M18" s="1122"/>
      <c r="N18" s="1122" t="str">
        <v>https://www.menu-tr.com/istanbul/fatih/fast-food-lokantasi/durumcu-raif-usta</v>
      </c>
      <c r="O18" s="1122" t="str">
        <v>★★★★★ 🎉 你的必吃</v>
      </c>
      <c r="P18" s="1124" t="str">
        <v>改排 12/29 17:45 晚餐；店在 Fatih Vezirhan 街，從 Galata 過去預留交通，19:30 前完成。</v>
      </c>
      <c r="Q18" s="1122"/>
      <c r="R18" s="256" t="str">
        <f>'訂位與待辦'!F24</f>
        <v>營業待確認</v>
      </c>
      <c r="S18" s="542" t="str">
        <f>HYPERLINK("https://www.google.com/maps/search/?api=1&amp;query=D%C3%BCr%C3%BCmc%C3%BC%20Raif%20Usta%20Istanbul","開啟地圖")</f>
        <v>開啟地圖</v>
      </c>
      <c r="T18" s="256"/>
      <c r="U18" s="256"/>
      <c r="V18" s="256"/>
    </row>
    <row r="19" ht="180" customHeight="1">
      <c r="A19" s="1122" t="str">
        <v>百年乳品早餐老店</v>
      </c>
      <c r="B19" s="1122" t="str">
        <v>Beyoğlu／İstiklal</v>
      </c>
      <c r="C19" s="1123" t="str">
        <v>HASAN FEHMİ ÖZSÜT 1915</v>
      </c>
      <c r="D19" s="1123" t="str">
        <v>4.6</v>
      </c>
      <c r="E19" s="1123" t="str">
        <v>🎉 12/29、12/31 早餐</v>
      </c>
      <c r="F19" s="1122"/>
      <c r="G19" s="1122" t="str">
        <v>這間應該以『早餐乳品老店』理解，而不是晚間甜點店。1915 老店的真正特色是 kaymak、蜂蜜、乳製品與蛋類早餐；放早上才能吃到它最有代表性的樣子。</v>
      </c>
      <c r="H19" s="1122" t="str">
        <v>兩人按 I 欄列出的特色菜挑 2–3 款分食；避免和前後餐重複。每道菜的中文解釋、味道、圖片與是否已吃，統一看「伊斯坦堡當地特色菜」。</v>
      </c>
      <c r="I19" s="1122" t="str">
        <v>Bal kaymak（蜂蜜＋凝脂奶油）／Pastırmalı sucuklu yumurta（風乾牛肉＋香腸煎蛋）／Peynir tabağı（乳酪盤） / söğüş tabağı（番茄青瓜冷盤）</v>
      </c>
      <c r="J19" s="1122" t="str">
        <v>約 700–1200 TRY</v>
      </c>
      <c r="K19" s="1122" t="str">
        <v>每日約 08:30–22:00</v>
      </c>
      <c r="L19" s="1122" t="str">
        <v>12/31 建議 08:30 開門附近到，09:10 前吃完；之後回酒店取行李去機場。</v>
      </c>
      <c r="M19" s="1122"/>
      <c r="N19" s="1122" t="str">
        <v>https://www.gurmerehber.com/hasan-fehmi-ozsut-1915/</v>
      </c>
      <c r="O19" s="1122" t="str">
        <v>★★★★★ 🎉 你的必吃</v>
      </c>
      <c r="P19" s="1125" t="str">
        <v>兩天早餐；12/29 08:30 入席後前往 Yıldız，宮殿參觀延後至 10:00。12/31 09:10 離店趕機場。</v>
      </c>
      <c r="Q19" s="1122"/>
      <c r="R19" s="256" t="str">
        <v>多日早餐・指定分店及供餐待核</v>
      </c>
      <c r="S19" s="542" t="str">
        <f>HYPERLINK("https://www.google.com/maps/search/?api=1&amp;query=HASAN%20FEHM%C4%B0%20%C3%96ZS%C3%9CT%201915%20Istanbul","開啟地圖")</f>
        <v>開啟地圖</v>
      </c>
      <c r="T19" s="256"/>
      <c r="U19" s="256"/>
      <c r="V19" s="256"/>
    </row>
    <row r="20" ht="180" customHeight="1">
      <c r="A20" s="1122" t="str">
        <v>1936 老早餐／乳品店</v>
      </c>
      <c r="B20" s="1122" t="str">
        <v>Kumkapı／Fatih</v>
      </c>
      <c r="C20" s="1123" t="str">
        <v>Boris'in Yeri (Boris's Place)</v>
      </c>
      <c r="D20" s="1123" t="str">
        <v>3.9</v>
      </c>
      <c r="E20" s="1123" t="str">
        <v>🎉 12/28、12/30 早餐</v>
      </c>
      <c r="F20" s="1122"/>
      <c r="G20" s="1122" t="str">
        <v>1936 年起的乳品早餐店，評分不是四間裡最高，但你的口味重點顯然不是『Google 排名第一』，而是老店、乳品、早餐專門感。這一點 Boris 很準。</v>
      </c>
      <c r="H20" s="1122" t="str">
        <v>兩人按 I 欄列出的特色菜挑 2–3 款分食；避免和前後餐重複。每道菜的中文解釋、味道、圖片與是否已吃，統一看「伊斯坦堡當地特色菜」。</v>
      </c>
      <c r="I20" s="1122" t="str">
        <v>Bal kaymak（蜂蜜＋凝脂奶油）／Sucuklu pastırmalı yumurta（香腸＋風乾牛肉煎蛋）／Ballı sıcak süt（蜂蜜熱牛奶）</v>
      </c>
      <c r="J20" s="1122" t="str">
        <v>約 700–1200 TRY</v>
      </c>
      <c r="K20" s="1122" t="str">
        <v>每日約 06:30–19:00</v>
      </c>
      <c r="L20" s="1122" t="str">
        <v>早上會忙；12/30 06:45 到可以避開後段人潮</v>
      </c>
      <c r="M20" s="1122"/>
      <c r="N20" s="1122" t="str">
        <v>店家實拍（以來源頁辨識）
照片來源：https://grablocals.com/top-10-breakfast-points-in-istanbul-i-grablocals/
來源頁實拍；僅作私人行程辨識。</v>
      </c>
      <c r="O20" s="1122" t="str">
        <v>★★★★★ 🎉 你的必吃</v>
      </c>
      <c r="P20" s="1141" t="str">
        <v>兩天早餐；Kumkapı 位置較遠，兩天都保留早餐前交通，不把它當酒店旁小店。</v>
      </c>
      <c r="Q20" s="1122"/>
      <c r="R20" s="256" t="str">
        <v>多日早餐・早開門待核</v>
      </c>
      <c r="S20" s="542" t="str">
        <f>HYPERLINK("https://www.google.com/maps/search/?api=1&amp;query=Boris%27in%20Yeri%20Istanbul","開啟地圖")</f>
        <v>開啟地圖</v>
      </c>
      <c r="T20" s="256"/>
      <c r="U20" s="256"/>
      <c r="V20" s="256"/>
    </row>
    <row r="21" ht="180" customHeight="1">
      <c r="A21" s="1127" t="str">
        <v>Esnaf lokantası／午餐</v>
      </c>
      <c r="B21" s="1127" t="str">
        <v>Karaköy</v>
      </c>
      <c r="C21" s="1128" t="str">
        <v>NATO Lokantası 1952</v>
      </c>
      <c r="D21" s="1128" t="str">
        <v>4.7</v>
      </c>
      <c r="E21" s="1128" t="str">
        <v>○ 參考資料・本次不排三餐</v>
      </c>
      <c r="F21" s="1127"/>
      <c r="G21" s="1127" t="str">
        <v>1952 年起、只做平日午餐的 Karaköy 老 lokanta。這種『中午開、賣完回家』的節奏正是你喜歡的類型；比景觀餐廳更有在地日常感。</v>
      </c>
      <c r="H21" s="1127" t="str">
        <v>兩人按 I 欄列出的特色菜挑 2–3 款分食；避免和前後餐重複。每道菜的中文解釋、味道、圖片與是否已吃，統一看「伊斯坦堡當地特色菜」。</v>
      </c>
      <c r="I21" s="1127" t="str">
        <v>Etli kuru fasulye（肉燴白豆）／Et yemeği（肉類燉菜）／Pilav + tatlı</v>
      </c>
      <c r="J21" s="1127" t="str">
        <v>約 800–1400 TRY</v>
      </c>
      <c r="K21" s="1127" t="str">
        <v>Mon–Fri 約 10:30–16:00；週末一般不營業</v>
      </c>
      <c r="L21" s="1127" t="str">
        <v>只適合平日午餐；別排晚餐</v>
      </c>
      <c r="M21" s="1127"/>
      <c r="N21" s="1127" t="str">
        <v>https://www.natolokantasi.com.tr/</v>
      </c>
      <c r="O21" s="1127" t="str">
        <v>★★★★★ 很符合你的口味</v>
      </c>
      <c r="P21" s="1135" t="str">
        <v>本次三餐依你指定的五家安排，這家不作主行程或三餐備選。</v>
      </c>
      <c r="Q21" s="1127" t="str">
        <v>本次不安排</v>
      </c>
      <c r="R21" s="256" t="str">
        <v>本次不安排</v>
      </c>
      <c r="S21" s="542" t="str">
        <f>HYPERLINK("https://www.google.com/maps/search/?api=1&amp;query=Nato%20Lokantas%C4%B1%201952%20Karak%C3%B6y%20Istanbul","開啟地圖")</f>
        <v>開啟地圖</v>
      </c>
      <c r="T21" s="256"/>
      <c r="U21" s="256"/>
      <c r="V21" s="824"/>
    </row>
    <row r="22" ht="180" customHeight="1">
      <c r="A22" s="1127" t="str">
        <v>Esnaf lokantası／家常菜</v>
      </c>
      <c r="B22" s="1127" t="str">
        <v>Asmalımescit／Beyoğlu</v>
      </c>
      <c r="C22" s="1128" t="str">
        <v>Tarihi Şahin Lokantası</v>
      </c>
      <c r="D22" s="1128" t="str">
        <v>4.5</v>
      </c>
      <c r="E22" s="1128" t="str">
        <v>○ 參考資料・本次不排三餐</v>
      </c>
      <c r="F22" s="1127"/>
      <c r="G22" s="1127" t="str">
        <v>這種 tradesman restaurant 的重點是短菜單、午餐時段與每天變化的鍋菜。比『一定要拍什麼』更像居民真正吃飯的地方。</v>
      </c>
      <c r="H22" s="1127" t="str">
        <v>兩人按 I 欄列出的特色菜挑 2–3 款分食；避免和前後餐重複。每道菜的中文解釋、味道、圖片與是否已吃，統一看「伊斯坦堡當地特色菜」。</v>
      </c>
      <c r="I22" s="1127" t="str">
        <v>Günün yemeği（當日家常菜）／Dolma（釀蔬菜） / sarma（葡萄葉包飯）／Sütlü tatlı（奶類甜點）</v>
      </c>
      <c r="J22" s="1127" t="str">
        <v>約 700–1200 TRY</v>
      </c>
      <c r="K22" s="1127" t="str">
        <v>約 11:30–17:30</v>
      </c>
      <c r="L22" s="1127" t="str">
        <v>午餐型；不適合排很晚</v>
      </c>
      <c r="M22" s="1127"/>
      <c r="N22" s="1127" t="str">
        <v>店家實拍（以來源頁辨識）
照片來源：https://t24.com.tr/yazarlar/mehmet-yalcin/lokantam-50-yasinda%2C18296
來源頁實拍；僅作私人行程辨識。</v>
      </c>
      <c r="O22" s="1127" t="str">
        <v>★★★★☆ 很推薦</v>
      </c>
      <c r="P22" s="1127" t="str">
        <v>本次三餐依你指定的五家安排，這家不作主行程或三餐備選。</v>
      </c>
      <c r="Q22" s="1127" t="str">
        <v>本次不安排</v>
      </c>
      <c r="R22" s="256" t="str">
        <v>本次不安排</v>
      </c>
      <c r="S22" s="543" t="str">
        <f>HYPERLINK("https://www.google.com/maps/search/?api=1&amp;query=Tarihi%20%C5%9Eahin%20Lokantas%C4%B1%20Istanbul","開啟地圖")</f>
        <v>開啟地圖</v>
      </c>
      <c r="T22" s="256"/>
      <c r="U22" s="256"/>
      <c r="V22" s="824"/>
    </row>
    <row r="23" ht="180" customHeight="1">
      <c r="A23" s="1127" t="str">
        <v>百年安納托利亞 lokanta</v>
      </c>
      <c r="B23" s="1127" t="str">
        <v>Kadıköy</v>
      </c>
      <c r="C23" s="1127" t="str">
        <v>Yanyalı Fehmi Lokantası</v>
      </c>
      <c r="D23" s="1127" t="str">
        <v>4.1</v>
      </c>
      <c r="E23" s="1127" t="str">
        <v>○ 參考資料・本次不排三餐</v>
      </c>
      <c r="F23" s="1127"/>
      <c r="G23" s="1127" t="str">
        <v>如果加 Kadıköy，這種老 lokanta 比專程追網紅餐廳更符合你。它在市場周邊，適合先看櫃台再決定今天吃什麼。</v>
      </c>
      <c r="H23" s="1127" t="str">
        <v>兩人按 I 欄列出的特色菜挑 2–3 款分食；避免和前後餐重複。每道菜的中文解釋、味道、圖片與是否已吃，統一看「伊斯坦堡當地特色菜」。</v>
      </c>
      <c r="I23" s="1127" t="str">
        <v>Ev yemekleri（土耳其家常菜）／Dolma（釀蔬菜） / sarma（葡萄葉包飯）／Sütlü tatlı（奶類甜點）</v>
      </c>
      <c r="J23" s="1127" t="str">
        <v>約 1200–2000 TRY</v>
      </c>
      <c r="K23" s="1127" t="str">
        <v>每日約 09:00–21:00</v>
      </c>
      <c r="L23" s="1127" t="str">
        <v>亞洲岸備選，不和主行程搶時間</v>
      </c>
      <c r="M23" s="1127"/>
      <c r="N23" s="1127" t="str">
        <v>店家實拍（以來源頁辨識）
照片來源：https://www.viamichelin.com/maps/restaurants/poi/istanbul-34714-fecf9e8e
來源頁實拍；僅作私人行程辨識。</v>
      </c>
      <c r="O23" s="1127" t="str">
        <v>★★★★☆ 很推薦</v>
      </c>
      <c r="P23" s="1127" t="str">
        <v>本次三餐依你指定的五家安排，這家不作主行程或三餐備選。</v>
      </c>
      <c r="Q23" s="1131" t="str">
        <v>本次不安排</v>
      </c>
      <c r="R23" s="256" t="str">
        <v>本次不安排</v>
      </c>
      <c r="S23" s="543" t="str">
        <f>HYPERLINK("https://www.google.com/maps/search/?api=1&amp;query=Yanyal%C4%B1%20Fehmi%20Lokantas%C4%B1%20Istanbul","開啟地圖")</f>
        <v>開啟地圖</v>
      </c>
      <c r="T23" s="256"/>
      <c r="U23" s="256"/>
      <c r="V23" s="862"/>
    </row>
    <row r="24" ht="180" customHeight="1">
      <c r="A24" s="1127" t="str">
        <v>傳統 lokanta</v>
      </c>
      <c r="B24" s="1127" t="str">
        <v>Nişantaşı</v>
      </c>
      <c r="C24" s="1127" t="str">
        <v>Hünkar</v>
      </c>
      <c r="D24" s="1127" t="str">
        <v>4.2</v>
      </c>
      <c r="E24" s="1127" t="str">
        <v>○ 參考資料・本次不排三餐</v>
      </c>
      <c r="F24" s="1129" t="str">
        <v>❗️</v>
      </c>
      <c r="G24" s="1127" t="str">
        <v>不是必去景點區餐廳，而是老派本地 lokanta 代表之一；如果你們逛 Nişantaşı／Şişli，值得用它取代『漂亮但普通』的餐廳。</v>
      </c>
      <c r="H24" s="1127" t="str">
        <v>兩人按 I 欄列出的特色菜挑 2–3 款分食；避免和前後餐重複。每道菜的中文解釋、味道、圖片與是否已吃，統一看「伊斯坦堡當地特色菜」。</v>
      </c>
      <c r="I24" s="1127" t="str">
        <v>Hünkar beğendi（鄂圖曼式肉類配煙燻茄泥）／Dolma（釀蔬菜）／Mevsimlik ev yemekleri（季節家常菜）</v>
      </c>
      <c r="J24" s="1127" t="str">
        <v>約 1400–2400 TRY</v>
      </c>
      <c r="K24" s="1127" t="str">
        <v>每日約 11:30–22:00</v>
      </c>
      <c r="L24" s="1127" t="str">
        <v>❗️晚餐熱門時段可訂</v>
      </c>
      <c r="M24" s="1127"/>
      <c r="N24" s="1127" t="str">
        <v>店家實拍（以來源頁辨識）
照片來源：https://www.tripadvisor.ru/Restaurant_Review-g293974-d740254-Reviews-Hunkar_Restaurant-Istanbul.html
來源頁實拍；僅作私人行程辨識。</v>
      </c>
      <c r="O24" s="1127" t="str">
        <v>★★★★☆ 很推薦</v>
      </c>
      <c r="P24" s="1127" t="str">
        <v>本次三餐依你指定的五家安排，這家不作主行程或三餐備選。</v>
      </c>
      <c r="Q24" s="1127" t="str">
        <v>本次不安排</v>
      </c>
      <c r="R24" s="256" t="str">
        <v>本次不安排</v>
      </c>
      <c r="S24" s="543" t="str">
        <f>HYPERLINK("https://www.google.com/maps/search/?api=1&amp;query=H%C3%BCnkar%20Lokantas%C4%B1%20Ni%C5%9Fanta%C5%9F%C4%B1%20Istanbul","開啟地圖")</f>
        <v>開啟地圖</v>
      </c>
      <c r="T24" s="256"/>
      <c r="U24" s="256"/>
      <c r="V24" s="824"/>
    </row>
    <row r="25" ht="180" customHeight="1">
      <c r="A25" s="1127" t="str">
        <v>Cağ kebap 專門</v>
      </c>
      <c r="B25" s="1127" t="str">
        <v>Sirkeci</v>
      </c>
      <c r="C25" s="1127" t="str">
        <v>Şehzade Cağ Kebap</v>
      </c>
      <c r="D25" s="1127" t="str">
        <v>4.2</v>
      </c>
      <c r="E25" s="1127" t="str">
        <v>○ 參考資料・本次不排三餐</v>
      </c>
      <c r="F25" s="1127"/>
      <c r="G25" s="1127" t="str">
        <v>你喜歡 Raif Usta 代表你對『一種烤肉做得專門』有興趣。Şehzade 的 cağ kebap 是完全不同的烤法，可作同類型比較，但不需要兩天都吃烤肉捲。</v>
      </c>
      <c r="H25" s="1127" t="str">
        <v>兩人按 I 欄列出的特色菜挑 2–3 款分食；避免和前後餐重複。每道菜的中文解釋、味道、圖片與是否已吃，統一看「伊斯坦堡當地特色菜」。</v>
      </c>
      <c r="I25" s="1127" t="str">
        <v>Cağ kebabı（橫式旋轉烤羊肉）／Cağ kebap dürüm（Cağ 烤羊肉捲）／Manda yoğurdu（水牛乳優格）</v>
      </c>
      <c r="J25" s="1127" t="str">
        <v>約 1200–1900 TRY</v>
      </c>
      <c r="K25" s="1127" t="str">
        <v>每日約 10:00–22:30</v>
      </c>
      <c r="L25" s="1127" t="str">
        <v>不用訂位，尖峰可能排隊</v>
      </c>
      <c r="M25" s="1127"/>
      <c r="N25" s="1127" t="str">
        <v>店家實拍（以來源頁辨識）
照片來源：https://grablocals.com/listing/sehzade-cag-kebap/
來源頁實拍；僅作私人行程辨識。</v>
      </c>
      <c r="O25" s="1127" t="str">
        <v>★★★★☆ 很推薦</v>
      </c>
      <c r="P25" s="1127" t="str">
        <v>本次三餐依你指定的五家安排，這家不作主行程或三餐備選。</v>
      </c>
      <c r="Q25" s="1127" t="str">
        <v>本次不安排</v>
      </c>
      <c r="R25" s="256" t="str">
        <v>本次不安排</v>
      </c>
      <c r="S25" s="543" t="str">
        <f>HYPERLINK("https://www.google.com/maps/search/?api=1&amp;query=%C5%9Eehzade%20Ca%C4%9F%20Kebap%20Istanbul","開啟地圖")</f>
        <v>開啟地圖</v>
      </c>
      <c r="T25" s="256"/>
      <c r="U25" s="256"/>
      <c r="V25" s="824"/>
    </row>
    <row r="26" ht="180" customHeight="1">
      <c r="A26" s="1122" t="str">
        <v>Köfte 專門店</v>
      </c>
      <c r="B26" s="1122" t="str">
        <v>Beşiktaş</v>
      </c>
      <c r="C26" s="1123" t="str">
        <v>Şöhretler Beşiktaş Köftecisi</v>
      </c>
      <c r="D26" s="1123" t="str">
        <v>4.5</v>
      </c>
      <c r="E26" s="1123" t="str">
        <v>○ 參考資料・本次不排三餐</v>
      </c>
      <c r="F26" s="1122"/>
      <c r="G26" s="1122" t="str">
        <v>專門度比一般 lokanta 高，而且就在 Yıldız／Beşiktaş 動線；2026 近期評論對 köfte、piyaz 有正面回饋。</v>
      </c>
      <c r="H26" s="1122" t="str">
        <v>兩人按 I 欄列出的特色菜挑 2–3 款分食；避免和前後餐重複。每道菜的中文解釋、味道、圖片與是否已吃，統一看「伊斯坦堡當地特色菜」。</v>
      </c>
      <c r="I26" s="1122" t="str">
        <v>Köfte（烤肉丸）／Piyaz（白豆洋蔥沙律）／Soğan salatası（洋蔥沙律） / irmik helvası（粗粒小麥甜點）</v>
      </c>
      <c r="J26" s="1122" t="str">
        <v>約 900–1400 TRY</v>
      </c>
      <c r="K26" s="1122" t="str">
        <v>Mon–Sat 約 10:00–20:30；Sun closed</v>
      </c>
      <c r="L26" s="1122" t="str">
        <v>12/29 是星期二，可排</v>
      </c>
      <c r="M26" s="1122"/>
      <c r="N26" s="1122" t="str">
        <v>https://www.google.com/maps/search/?api=1&amp;query=%C5%9E%C3%B6hretler%20Be%C5%9Fikta%C5%9F%20K%C3%B6ftecisi%20Istanbul</v>
      </c>
      <c r="O26" s="1122" t="str">
        <v>★★★★★ 很符合你的口味</v>
      </c>
      <c r="P26" s="1122" t="str">
        <v>本次三餐依你指定的五家安排，這家不作主行程或三餐備選。</v>
      </c>
      <c r="Q26" s="1124" t="str">
        <v>本次不安排</v>
      </c>
      <c r="R26" s="207" t="str">
        <v>本次不安排</v>
      </c>
      <c r="S26" s="207" t="str">
        <f>HYPERLINK("https://www.google.com/maps/search/?api=1&amp;query=%C5%9E%C3%B6hretler%20Be%C5%9Fikta%C5%9F%20K%C3%B6ftecisi%20Istanbul","開啟地圖")</f>
        <v>開啟地圖</v>
      </c>
      <c r="T26" s="207"/>
      <c r="U26" s="256"/>
      <c r="V26" s="822"/>
    </row>
    <row r="27" ht="180" customHeight="1">
      <c r="A27" s="1122" t="str">
        <v>Lahmacun／pide 專門</v>
      </c>
      <c r="B27" s="1122" t="str">
        <v>Kadıköy</v>
      </c>
      <c r="C27" s="1123" t="str">
        <v>Borsam Taşfırın Bahariye</v>
      </c>
      <c r="D27" s="1123" t="str">
        <v>4.1</v>
      </c>
      <c r="E27" s="1123" t="str">
        <v>○ 參考資料・本次不排三餐</v>
      </c>
      <c r="F27" s="1122"/>
      <c r="G27" s="1122" t="str">
        <v>你的偏好很適合這種只把麵餅／石爐做好吃的店。2026 多則近期評論提到現烤、脆、新鮮，且 Kadıköy 動線完全吻合。</v>
      </c>
      <c r="H27" s="1122" t="str">
        <v>兩人按 I 欄列出的特色菜挑 2–3 款分食；避免和前後餐重複。每道菜的中文解釋、味道、圖片與是否已吃，統一看「伊斯坦堡當地特色菜」。</v>
      </c>
      <c r="I27" s="1122" t="str">
        <v>Lahmacun（薄脆肉末香草餅）／Kıymalı pide（肉末船形餅）／Ayran（鹹乳酪飲）</v>
      </c>
      <c r="J27" s="1122" t="str">
        <v>約 600–1000 TRY</v>
      </c>
      <c r="K27" s="1122" t="str">
        <v>每日約 11:00–22:00</v>
      </c>
      <c r="L27" s="1122" t="str">
        <v>12/30 星期三正常可排</v>
      </c>
      <c r="M27" s="1122"/>
      <c r="N27" s="1122" t="str">
        <v>https://www.tripadvisor.com/Restaurant_Review-g293974-d2229367-Reviews-Borsam_Tasfirin-Istanbul.html</v>
      </c>
      <c r="O27" s="1122" t="str">
        <v>★★★★★ 專門店推薦</v>
      </c>
      <c r="P27" s="1122" t="str">
        <v>本次三餐依你指定的五家安排，這家不作主行程或三餐備選。</v>
      </c>
      <c r="Q27" s="1124" t="str">
        <v>本次不安排</v>
      </c>
      <c r="R27" s="207" t="str">
        <v>本次不安排</v>
      </c>
      <c r="S27" s="207" t="str">
        <f>HYPERLINK("https://www.google.com/maps/search/?api=1&amp;query=Borsam%20Ta%C5%9Ff%C4%B1r%C4%B1n%20Bahariye%20Istanbul","開啟地圖")</f>
        <v>開啟地圖</v>
      </c>
      <c r="T27" s="207"/>
      <c r="U27" s="256"/>
      <c r="V27" s="822"/>
    </row>
    <row r="28" ht="180" customHeight="1">
      <c r="A28" s="1122" t="str">
        <v>Meze／海鮮 lokanta</v>
      </c>
      <c r="B28" s="1122" t="str">
        <v>Karaköy</v>
      </c>
      <c r="C28" s="1123" t="str">
        <v>Karaköy Lokantası</v>
      </c>
      <c r="D28" s="1123" t="str">
        <v>4.3</v>
      </c>
      <c r="E28" s="1123" t="str">
        <v>○ 參考資料・本次不排三餐</v>
      </c>
      <c r="F28" s="1122" t="str">
        <v>❗️</v>
      </c>
      <c r="G28" s="1122" t="str">
        <v>最後一晚想吃不同於 kebab、pide 的東西，這間用 meze＋海鮮收尾最合理；Google 約 4.3、Michelin Bib Gourmand，但不是便宜小店。</v>
      </c>
      <c r="H28" s="1122" t="str">
        <v>兩人按 I 欄列出的特色菜挑 2–3 款分食；避免和前後餐重複。每道菜的中文解釋、味道、圖片與是否已吃，統一看「伊斯坦堡當地特色菜」。</v>
      </c>
      <c r="I28" s="1122" t="str">
        <v>Tarama ve mezeler（魚卵醬＋冷前菜）／Levrek marin（醃海鱸魚）／Izgara kalamar（烤魷魚） / günlük balık（當日鮮魚）</v>
      </c>
      <c r="J28" s="1122" t="str">
        <v>約 2200–3500 TRY</v>
      </c>
      <c r="K28" s="1122" t="str">
        <v>Mon–Sat 12–16、17:30–23:30；Sun 約 16:00 起</v>
      </c>
      <c r="L28" s="1122" t="str">
        <v>❗️建議訂位；近期服務評價有好有壞</v>
      </c>
      <c r="M28" s="1122"/>
      <c r="N28" s="1122" t="str">
        <v>https://www.karakoylokantasi.com/</v>
      </c>
      <c r="O28" s="1122" t="str">
        <v>★★★★☆ 食物值得</v>
      </c>
      <c r="P28" s="1122" t="str">
        <v>本次三餐依你指定的五家安排，這家不作主行程或三餐備選。</v>
      </c>
      <c r="Q28" s="1124" t="str">
        <v>本次不安排</v>
      </c>
      <c r="R28" s="207" t="str">
        <v>本次不安排</v>
      </c>
      <c r="S28" s="207" t="str">
        <f>HYPERLINK("https://www.google.com/maps/search/?api=1&amp;query=Karak%C3%B6y%20Lokantas%C4%B1%20Istanbul","開啟地圖")</f>
        <v>開啟地圖</v>
      </c>
      <c r="T28" s="207"/>
      <c r="U28" s="256"/>
      <c r="V28" s="822"/>
    </row>
    <row r="30">
      <c r="A30" t="str">
        <f>HYPERLINK("#'每日行程'!A1","返回每日行程")</f>
        <v>返回每日行程</v>
      </c>
    </row>
    <row r="29" ht="240" customHeight="1">
      <c r="A29" t="str" s="1122">
        <v>炭烤肉捲專門</v>
      </c>
      <c r="B29" t="str" s="1122">
        <v>Fatih／Nuruosmaniye</v>
      </c>
      <c r="C29" t="str" s="1123">
        <v>Dürümcü Mustafa（待定）</v>
      </c>
      <c r="D29" t="str" s="1123">
        <v>—</v>
      </c>
      <c r="E29" t="str" s="1123">
        <v>🎉 12/28 午餐、12/30 晚餐候選</v>
      </c>
      <c r="F29" t="str" s="1122">
        <v>❗️</v>
      </c>
      <c r="G29" t="str" s="1122">
        <v>按你指定加入的肉捲店，這版暫採大市集附近 Vezirhan 街的同名店：不是 Üsküdar 的另一家同名餐廳。重點是炭火烤肉配薄餅，適合兩人點不同肉捲交換吃，和 Karaköy 烤魚捲比較。公開資料顯示約 11:30–19:30、週日休息，故放在平日午餐與較早晚餐；當日營業、分店及菜單仍要再核對。</v>
      </c>
      <c r="H29" t="str" s="1122">
        <v>兩人各一份肉捲，先問 Adana／雞肉串當天供應；不想辣先告知。飲品另點，兩餐可換不同餡。</v>
      </c>
      <c r="I29" t="str" s="1122">
        <v>肉捲 dürüm；Adana／雞肉串候選，以現場菜單為準</v>
      </c>
      <c r="J29" t="str" s="1122">
        <v>兩人暫留 1,200–2,000 TRY；規劃額，非餐廳報價</v>
      </c>
      <c r="K29" t="str" s="1122">
        <v>公開資料：Mon–Sat 約 11:30–19:30；Sun 休息，需再確認</v>
      </c>
      <c r="L29" t="str" s="1122">
        <v>12/28、12/30 均為平日；晚餐排 17:45，仍核對最後點餐</v>
      </c>
      <c r="M29" s="1122"/>
      <c r="N29" t="str" s="1122">
        <v>https://restaurantguru.com/Durumcu-Mustafa-Istanbul-2
地址：Vezirhan Cd. No:53, Fatih；同名店較多，採此店作暫定
核對日：2026-10-01</v>
      </c>
      <c r="O29" t="str" s="1122">
        <v>★★★★★ 你指定優先</v>
      </c>
      <c r="P29" t="str" s="1124">
        <v>配合歷史半島午餐／早晚餐，避免 19:30 後才到；未確認分店與供餐前不視為已訂。</v>
      </c>
      <c r="Q29" t="str" s="1122">
        <v>🎉 指定主行程候選</v>
      </c>
      <c r="R29" t="str" s="256">
        <f>'訂位與待辦'!F20</f>
        <v>營業待確認</v>
      </c>
      <c r="S29" t="str" s="542">
        <f>HYPERLINK("https://www.google.com/maps/search/?api=1&amp;query=D%C3%BCr%C3%BCmc%C3%BC%20Mustafa%20Vezirhan%20Cd%20No%2053%20Istanbul","開啟地圖")</f>
        <v>開啟地圖</v>
      </c>
    </row>
  </sheetData>
  <mergeCells>
    <mergeCell ref="A1:Q1"/>
    <mergeCell ref="A2:Q2"/>
    <mergeCell ref="A3:Q3"/>
  </mergeCells>
  <conditionalFormatting sqref="R5:R28">
    <cfRule type="containsText" dxfId="20" priority="1" operator="containsText" text="待"/>
  </conditionalFormatting>
  <pageMargins left="0.7" right="0.7" top="0.75" bottom="0.75" header="0.3" footer="0.3"/>
  <drawing ns1:id="R5566d94ee6c3485a"/>
  <tableParts count="1">
    <tablePart ns1:id="R2f88e2c077cb4c42"/>
  </tableParts>
</worksheet>
</file>

<file path=xl/worksheets/sheet6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4" topLeftCell="B5" activePane="bottomRight" state="frozen"/>
    </sheetView>
  </sheetViews>
  <sheetFormatPr defaultRowHeight="15"/>
  <cols>
    <col min="1" max="1" width="31" hidden="0" customWidth="1"/>
    <col min="2" max="2" width="18" hidden="0" customWidth="1"/>
    <col min="3" max="3" width="16" hidden="0" customWidth="1"/>
    <col min="4" max="4" width="13" hidden="0" customWidth="1"/>
    <col min="5" max="5" width="40" hidden="0" customWidth="1"/>
    <col min="6" max="6" width="42" hidden="0" customWidth="1"/>
    <col min="7" max="7" width="40" hidden="0" customWidth="1"/>
    <col min="8" max="8" width="38" hidden="0" customWidth="1"/>
    <col min="9" max="9" width="25" hidden="0" customWidth="1"/>
    <col min="10" max="10" width="7" hidden="0" customWidth="1"/>
    <col min="11" max="11" width="16" hidden="0" customWidth="1"/>
    <col min="12" max="12" width="38" hidden="0" customWidth="1"/>
    <col min="13" max="13" width="42" hidden="0" customWidth="1"/>
    <col min="14" max="14" width="52" hidden="0" customWidth="1"/>
    <col min="15" max="15" width="18" hidden="0" customWidth="1"/>
    <col min="16" max="16" width="38" hidden="0" customWidth="1"/>
    <col min="17" max="17" width="30" hidden="0" customWidth="1"/>
    <col min="18" max="18" width="28" hidden="0" customWidth="1"/>
    <col min="19" max="19" width="32" hidden="0" customWidth="1"/>
    <col min="20" max="20" width="36" hidden="0" customWidth="1"/>
    <col min="21" max="21" width="62" hidden="0" customWidth="1"/>
    <col min="22" max="22" width="62" hidden="0" customWidth="1"/>
    <col min="23" max="23" width="62" hidden="0" customWidth="1"/>
    <col min="24" max="24" width="62" hidden="0" customWidth="1"/>
    <col min="25" max="25" width="62" hidden="0" customWidth="1"/>
  </cols>
  <sheetData>
    <row r="1">
      <c r="A1" s="1111" t="str">
        <v>華沙｜景點旅遊書｜歷史、建築、街區、拍照、交通、聖誕開放</v>
      </c>
      <c r="B1" s="1100"/>
      <c r="C1" s="1100"/>
      <c r="D1" s="1100"/>
      <c r="E1" s="1100"/>
      <c r="F1" s="1100"/>
      <c r="G1" s="1100"/>
      <c r="H1" s="1100"/>
      <c r="I1" s="1100"/>
      <c r="J1" s="1100"/>
      <c r="K1" s="1100"/>
      <c r="L1" s="1100"/>
      <c r="M1" s="1100"/>
      <c r="N1" s="1100"/>
      <c r="O1" s="1094"/>
      <c r="P1" s="1094"/>
      <c r="Q1" s="1094"/>
      <c r="R1" s="1094"/>
      <c r="S1" s="1094"/>
      <c r="T1" s="1094"/>
      <c r="U1" s="1094"/>
      <c r="V1" s="1094"/>
      <c r="W1" s="1094"/>
      <c r="X1" s="1094"/>
      <c r="Y1" s="1094"/>
    </row>
    <row r="2">
      <c r="A2" s="1146" t="str">
        <v>前半 A–T 是實用資料；後半 U–Y 是旅遊書長介紹。景點頁只放景點，不混餐廳／茶咖啡／當地菜色。照片例子與 Google Maps 實拍仍保留在 L–N。</v>
      </c>
      <c r="B2" s="1146"/>
      <c r="C2" s="1146"/>
      <c r="D2" s="1146"/>
      <c r="E2" s="1146"/>
      <c r="F2" s="1146"/>
      <c r="G2" s="1146"/>
      <c r="H2" s="1146"/>
      <c r="I2" s="1146"/>
      <c r="J2" s="1146"/>
      <c r="K2" s="1146"/>
      <c r="L2" s="1146"/>
      <c r="M2" s="1146"/>
      <c r="N2" s="1146"/>
      <c r="O2" s="1094"/>
      <c r="P2" s="1094"/>
      <c r="Q2" s="1094"/>
      <c r="R2" s="1094"/>
      <c r="S2" s="1094"/>
      <c r="T2" s="1094"/>
      <c r="U2" s="1094"/>
      <c r="V2" s="1094"/>
      <c r="W2" s="1094"/>
      <c r="X2" s="1094"/>
      <c r="Y2" s="1094"/>
    </row>
    <row r="3">
      <c r="A3" s="1094" t="str">
        <v>讀法：先看 A–T 決定去不去，再看 U–Y 理解背景與實際逛法。需要訂票／特別開放仍以 ❗️ 與官方連結為準。</v>
      </c>
      <c r="B3" s="1094"/>
      <c r="C3" s="1094"/>
      <c r="D3" s="1094"/>
      <c r="E3" s="1094"/>
      <c r="F3" s="1094"/>
      <c r="G3" s="1094"/>
      <c r="H3" s="1094"/>
      <c r="I3" s="1094"/>
      <c r="J3" s="1094"/>
      <c r="K3" s="1094"/>
      <c r="L3" s="1094"/>
      <c r="M3" s="1094"/>
      <c r="N3" s="1094"/>
      <c r="O3" s="1094"/>
      <c r="P3" s="1094"/>
      <c r="Q3" s="1094"/>
      <c r="R3" s="1094"/>
      <c r="S3" s="1094"/>
      <c r="T3" s="1094"/>
      <c r="U3" s="1094"/>
      <c r="V3" s="1094"/>
      <c r="W3" s="1094"/>
      <c r="X3" s="1094"/>
      <c r="Y3" s="1094"/>
    </row>
    <row r="4" ht="40" customHeight="1">
      <c r="A4" s="1267" t="str">
        <v>景點</v>
      </c>
      <c r="B4" s="1267" t="str">
        <v>區域</v>
      </c>
      <c r="C4" s="1267" t="str">
        <v>類型</v>
      </c>
      <c r="D4" s="1267" t="str">
        <v>建議停留</v>
      </c>
      <c r="E4" s="1267" t="str">
        <v>為什麼去</v>
      </c>
      <c r="F4" s="1267" t="str">
        <v>必看／細節</v>
      </c>
      <c r="G4" s="1267" t="str">
        <v>怎樣逛比較好</v>
      </c>
      <c r="H4" s="1267" t="str">
        <v>2026 一般／節日開放</v>
      </c>
      <c r="I4" s="1267" t="str">
        <v>門票／預約</v>
      </c>
      <c r="J4" s="1267" t="str">
        <v>❗️</v>
      </c>
      <c r="K4" s="1267" t="str">
        <v>行程日期</v>
      </c>
      <c r="L4" s="1267" t="str">
        <v>實際照片（直接嵌入）</v>
      </c>
      <c r="M4" s="1267" t="str">
        <v>Google Maps 實拍</v>
      </c>
      <c r="N4" s="1267" t="str">
        <v>來源</v>
      </c>
      <c r="O4" s="1271" t="str">
        <v>本行程推薦度</v>
      </c>
      <c r="P4" s="1271" t="str">
        <v>我的安排建議</v>
      </c>
      <c r="Q4" s="1271" t="str">
        <v>內嵌照片來源／授權</v>
      </c>
      <c r="R4" s="1267" t="str">
        <v>交通／最近站</v>
      </c>
      <c r="S4" s="1267" t="str">
        <v>最佳拍照／時段</v>
      </c>
      <c r="T4" s="1267" t="str">
        <v>如果時間不足怎樣取捨</v>
      </c>
      <c r="U4" s="1267" t="str">
        <v>旅遊書完整介紹</v>
      </c>
      <c r="V4" s="1267" t="str">
        <v>歷史／文化背景</v>
      </c>
      <c r="W4" s="1267" t="str">
        <v>現場看甚麼＋怎樣逛</v>
      </c>
      <c r="X4" s="1267" t="str">
        <v>附近路線／交通</v>
      </c>
      <c r="Y4" s="1267" t="str">
        <v>冬季實戰／拍照／取捨</v>
      </c>
    </row>
    <row r="5" ht="280" customHeight="1">
      <c r="A5" s="1146" t="str">
        <v>POLIN Museum of the History of Polish Jews</v>
      </c>
      <c r="B5" s="1146" t="str">
        <v>Muranów</v>
      </c>
      <c r="C5" s="1146" t="str">
        <v>博物館</v>
      </c>
      <c r="D5" s="1146" t="str">
        <v>2.5–3h</v>
      </c>
      <c r="E5" s="1146" t="str">
        <v>理解華沙與波蘭猶太人千年歷史，內容比只看二戰更完整。</v>
      </c>
      <c r="F5" s="1146" t="str">
        <v>彩繪木會堂重建、兩戰間社群、猶太街區與戰後部分。</v>
      </c>
      <c r="G5" s="1146" t="str">
        <v>10:30 入場，先看核心展；最後留 20 分鐘看建築與 Ghetto Heroes Monument。</v>
      </c>
      <c r="H5" s="1146" t="str">
        <v>2026：週二關；12/24–25、12/31 關。12/23 週三正常可排。</v>
      </c>
      <c r="I5" s="1146" t="str">
        <v>官網購票；核心展最後入場提早</v>
      </c>
      <c r="J5" s="1147" t="str">
        <v>❗️</v>
      </c>
      <c r="K5" s="1146" t="str">
        <v>12/23</v>
      </c>
      <c r="L5" s="1146"/>
      <c r="M5" s="1146" t="str">
        <v>https://www.google.com/maps/search/?api=1&amp;query=POLIN%20Museum%20Warsaw</v>
      </c>
      <c r="N5" s="1146" t="str">
        <v>https://www.polin.pl/en/basic-information</v>
      </c>
      <c r="O5" s="1148" t="str">
        <v>★★★★★ 必去</v>
      </c>
      <c r="P5" s="1146" t="str">
        <v>華沙歷史線最重要；12/23 優先保留，至少 2.5 小時。</v>
      </c>
      <c r="Q5" s="1146" t="str">
        <v>景點實拍
照片來源：https://www.orlen.pl/en/about-the-company/our-support/sponsorship/sponsorship-of-culture-and-science/polin-museum-of-the-history-of-polish-jews
來源頁實拍；僅作私人行程辨識。</v>
      </c>
      <c r="R5" s="1146" t="str">
        <v>Tram/Bus Muranów；POLIN 與紀念碑以步行串聯</v>
      </c>
      <c r="S5" s="1146" t="str">
        <v>POLIN 建築外觀上午／藍調；記憶路線白天完成</v>
      </c>
      <c r="T5" s="1146" t="str">
        <v>先保留五星；時間不足刪三星，再刪重複類型四星。</v>
      </c>
      <c r="U5" s="1146" t="str">
        <v>這不是單純的二戰博物館，而是從中世紀一路講到現代，重點是猶太人在波蘭一千年的生活、文化與城市關係。建築本身以裂開、穿透與光線作為記憶隱喻，進館前就值得先看外觀。
為什麼值得：理解華沙與波蘭猶太人千年歷史，內容比只看二戰更完整。
建議停留：2.5–3h。建議先抓主題再看展，不要逐字讀完所有展板。
本次旅行怎樣理解它：理解華沙與波蘭猶太人千年歷史，內容比只看二戰更完整。 建議停留 2.5–3h。不要只完成『到過』，而是先看整體空間，再選 2–3 個真正有興趣的細節深看。</v>
      </c>
      <c r="V5" s="1146" t="str">
        <v>這不是單純的二戰博物館，而是從中世紀一路講到現代，重點是猶太人在波蘭一千年的生活、文化與城市關係。建築本身以裂開、穿透與光線作為記憶隱喻，進館前就值得先看外觀。
這一站最重要的不是『到此一遊』，而是把它和周邊城市歷史、宗教或街區脈絡一起理解。
城市脈絡：它位於 Muranów，屬於 博物館。把它和周邊街區一起看，會比單獨拍一張正面照片更容易理解 華沙 的歷史層次。</v>
      </c>
      <c r="W5" s="1146" t="str">
        <v>必看：彩繪木會堂重建、兩戰間社群、猶太街區與戰後部分。
實際走法：10:30 入場，先看核心展；最後留 20 分鐘看建築與 Ghetto Heroes Monument。
如果只剩 30–45 分鐘，先保留最有代表性的核心空間／視角，不必勉強看完。
現場觀察清單：
① 彩繪木會堂重建、兩戰間社群、猶太街區與戰後部分。
② 走法：10:30 入場，先看核心展；最後留 20 分鐘看建築與 Ghetto Heroes Monument。
③ 如果兩人興趣不同，先一起完成核心看點，再各自自由看 15–20 分鐘。</v>
      </c>
      <c r="X5" s="1146" t="str">
        <v>所在區域：Muranów。
主行程安排：12/23。
交通：Tram/Bus Muranów；POLIN 與紀念碑以步行串聯。
建議和同區餐廳、咖啡／茶館一起安排，減少冬天來回移動。
交通／串聯：Tram/Bus Muranów；POLIN 與紀念碑以步行串聯。同區餐飲不在景點頁重複，請回「華沙餐廳／華沙茶咖啡」查看。</v>
      </c>
      <c r="Y5" s="1146" t="str">
        <v>開放／節日：2026：週二關；12/24–25、12/31 關。12/23 週三正常可排。
門票／預約：官網購票；核心展最後入場提早 ❗️
拍照：POLIN 建築外觀上午／藍調；記憶路線白天完成
取捨：先保留五星；時間不足刪三星，再刪重複類型四星。
冬季實戰：2026：週二關；12/24–25、12/31 關。12/23 週三正常可排。；門票／預約：官網購票；核心展最後入場提早 ❗️
拍照：POLIN 建築外觀上午／藍調；記憶路線白天完成
時間不足：先保留五星；時間不足刪三星，再刪重複類型四星。</v>
      </c>
    </row>
    <row r="6" ht="280" customHeight="1">
      <c r="A6" s="1146" t="str">
        <v>Monument to the Ghetto Heroes</v>
      </c>
      <c r="B6" s="1146" t="str">
        <v>Muranów</v>
      </c>
      <c r="C6" s="1146" t="str">
        <v>戶外歷史</v>
      </c>
      <c r="D6" s="1146" t="str">
        <v>20–30m</v>
      </c>
      <c r="E6" s="1146" t="str">
        <v>就在 POLIN 前方，把博物館敘事落到真實城市位置。</v>
      </c>
      <c r="F6" s="1146" t="str">
        <v>紀念碑正反面浮雕、廣場軸線。</v>
      </c>
      <c r="G6" s="1146" t="str">
        <v>POLIN 出館後順時針走一圈再去奶吧。</v>
      </c>
      <c r="H6" s="1146" t="str">
        <v>戶外全年；冬季天黑早。</v>
      </c>
      <c r="I6" s="1146" t="str">
        <v>免費</v>
      </c>
      <c r="J6" s="1147" t="str"/>
      <c r="K6" s="1146" t="str">
        <v>12/23</v>
      </c>
      <c r="L6" s="1146"/>
      <c r="M6" s="1146" t="str">
        <v>https://www.google.com/maps/search/?api=1&amp;query=Monument%20to%20the%20Ghetto%20Heroes%20Warsaw</v>
      </c>
      <c r="N6" s="1146" t="str">
        <v>https://www.polin.pl/</v>
      </c>
      <c r="O6" s="1149" t="str">
        <v>★★★★☆ 很推薦</v>
      </c>
      <c r="P6" s="1146" t="str">
        <v>若當天體力與時間足夠就保留；時間不足先刪三星，再刪四星。</v>
      </c>
      <c r="Q6" s="1146" t="str">
        <v>景點實拍
照片來源：https://bip.brpo.gov.pl/pl/content/rpo-81-rocznica-powstanie-getto-warszawskie-pomnik-kwiaty
來源頁實拍；僅作私人行程辨識。</v>
      </c>
      <c r="R6" s="1146" t="str">
        <v>Tram/Bus Muranów；POLIN 與紀念碑以步行串聯</v>
      </c>
      <c r="S6" s="1146" t="str">
        <v>POLIN 建築外觀上午／藍調；記憶路線白天完成</v>
      </c>
      <c r="T6" s="1146" t="str">
        <v>先保留五星；時間不足刪三星，再刪重複類型四星。</v>
      </c>
      <c r="U6" s="1146" t="str">
        <v>1948 年落成的隔都英雄紀念碑，位置就是戰時華沙隔都核心區。它和 POLIN 面對面，最適合把館內敘事拉回真實城市空間。
為什麼值得：就在 POLIN 前方，把博物館敘事落到真實城市位置。
建議停留：20–30m。把它放回整條城市動線看，比單獨到此一遊更有意思。
本次旅行怎樣理解它：就在 POLIN 前方，把博物館敘事落到真實城市位置。 建議停留 20–30m。不要只完成『到過』，而是先看整體空間，再選 2–3 個真正有興趣的細節深看。</v>
      </c>
      <c r="V6" s="1146" t="str">
        <v>1948 年落成的隔都英雄紀念碑，位置就是戰時華沙隔都核心區。它和 POLIN 面對面，最適合把館內敘事拉回真實城市空間。
這一站最重要的不是『到此一遊』，而是把它和周邊城市歷史、宗教或街區脈絡一起理解。
城市脈絡：它位於 Muranów，屬於 戶外歷史。把它和周邊街區一起看，會比單獨拍一張正面照片更容易理解 華沙 的歷史層次。</v>
      </c>
      <c r="W6" s="1146" t="str">
        <v>必看：紀念碑正反面浮雕、廣場軸線。
實際走法：POLIN 出館後順時針走一圈再去奶吧。
如果只剩 30–45 分鐘，先保留最有代表性的核心空間／視角，不必勉強看完。
現場觀察清單：
① 紀念碑正反面浮雕、廣場軸線。
② 走法：POLIN 出館後順時針走一圈再去奶吧。
③ 如果兩人興趣不同，先一起完成核心看點，再各自自由看 15–20 分鐘。</v>
      </c>
      <c r="X6" s="1146" t="str">
        <v>所在區域：Muranów。
主行程安排：12/23。
交通：Tram/Bus Muranów；POLIN 與紀念碑以步行串聯。
建議和同區餐廳、咖啡／茶館一起安排，減少冬天來回移動。
交通／串聯：Tram/Bus Muranów；POLIN 與紀念碑以步行串聯。同區餐飲不在景點頁重複，請回「華沙餐廳／華沙茶咖啡」查看。</v>
      </c>
      <c r="Y6" s="1146" t="str">
        <v>開放／節日：戶外全年；冬季天黑早。
門票／預約：免費 
拍照：POLIN 建築外觀上午／藍調；記憶路線白天完成
取捨：先保留五星；時間不足刪三星，再刪重複類型四星。
冬季實戰：戶外全年；冬季天黑早。；門票／預約：免費 
拍照：POLIN 建築外觀上午／藍調；記憶路線白天完成
時間不足：先保留五星；時間不足刪三星，再刪重複類型四星。</v>
      </c>
    </row>
    <row r="7" ht="280" customHeight="1">
      <c r="A7" s="1146" t="str">
        <v>Muranów Memory Walk</v>
      </c>
      <c r="B7" s="1146" t="str">
        <v>Muranów</v>
      </c>
      <c r="C7" s="1146" t="str">
        <v>城市步行</v>
      </c>
      <c r="D7" s="1146" t="str">
        <v>1–1.5h</v>
      </c>
      <c r="E7" s="1146" t="str">
        <v>用街區理解戰前與隔都遺址，不只是單一博物館。</v>
      </c>
      <c r="F7" s="1146" t="str">
        <v>Miła 18 周邊、記憶標記、戰後住宅城市肌理。</v>
      </c>
      <c r="G7" s="1146" t="str">
        <v>POLIN → Miła → Umschlagplatz 方向，視體力縮短。</v>
      </c>
      <c r="H7" s="1146" t="str">
        <v>戶外全年；12 月注意雪／冰。</v>
      </c>
      <c r="I7" s="1146" t="str">
        <v>免費</v>
      </c>
      <c r="J7" s="1147" t="str"/>
      <c r="K7" s="1146" t="str">
        <v>12/23</v>
      </c>
      <c r="L7" s="1146"/>
      <c r="M7" s="1146" t="str">
        <v>https://www.google.com/maps/search/?api=1&amp;query=Muran%C3%B3w%20Warsaw</v>
      </c>
      <c r="N7" s="1146" t="str">
        <v>https://culture.pl/en</v>
      </c>
      <c r="O7" s="1149" t="str">
        <v>★★★★☆ 很推薦</v>
      </c>
      <c r="P7" s="1146" t="str">
        <v>若當天體力與時間足夠就保留；時間不足先刪三星，再刪四星。</v>
      </c>
      <c r="Q7" s="1146" t="str">
        <v>景點實拍
照片來源：https://www.deutschlandfunkkultur.de/warschauer-ghetto-aufstand-102.html
來源頁實拍；僅作私人行程辨識。</v>
      </c>
      <c r="R7" s="1146" t="str">
        <v>Tram/Bus Muranów；POLIN 與紀念碑以步行串聯</v>
      </c>
      <c r="S7" s="1146" t="str">
        <v>POLIN 建築外觀上午／藍調；記憶路線白天完成</v>
      </c>
      <c r="T7" s="1146" t="str">
        <v>先保留五星；時間不足刪三星，再刪重複類型四星。</v>
      </c>
      <c r="U7" s="1146" t="str">
        <v>Muranów 戰後是在隔都廢墟之上重建的住宅區，今天很多記憶點藏在普通街角、地面標線與紀念牌中。走這段路的價值，是理解『城市現在的樣子』如何覆蓋在戰前與戰時地層之上。
為什麼值得：用街區理解戰前與隔都遺址，不只是單一博物館。
建議停留：1–1.5h。這類地方的重點是路線與生活感，不是單一打卡點；預留彈性比卡死分鐘數更好。
本次旅行怎樣理解它：用街區理解戰前與隔都遺址，不只是單一博物館。 建議停留 1–1.5h。不要只完成『到過』，而是先看整體空間，再選 2–3 個真正有興趣的細節深看。</v>
      </c>
      <c r="V7" s="1146" t="str">
        <v>Muranów 戰後是在隔都廢墟之上重建的住宅區，今天很多記憶點藏在普通街角、地面標線與紀念牌中。走這段路的價值，是理解『城市現在的樣子』如何覆蓋在戰前與戰時地層之上。
這一站最重要的不是『到此一遊』，而是把它和周邊城市歷史、宗教或街區脈絡一起理解。
城市脈絡：它位於 Muranów，屬於 城市步行。把它和周邊街區一起看，會比單獨拍一張正面照片更容易理解 華沙 的歷史層次。</v>
      </c>
      <c r="W7" s="1146" t="str">
        <v>必看：Miła 18 周邊、記憶標記、戰後住宅城市肌理。
實際走法：POLIN → Miła → Umschlagplatz 方向，視體力縮短。
如果只剩 30–45 分鐘，先保留最有代表性的核心空間／視角，不必勉強看完。
現場觀察清單：
① Miła 18 周邊、記憶標記、戰後住宅城市肌理。
② 走法：POLIN → Miła → Umschlagplatz 方向，視體力縮短。
③ 如果兩人興趣不同，先一起完成核心看點，再各自自由看 15–20 分鐘。</v>
      </c>
      <c r="X7" s="1146" t="str">
        <v>所在區域：Muranów。
主行程安排：12/23。
交通：Tram/Bus Muranów；POLIN 與紀念碑以步行串聯。
建議和同區餐廳、咖啡／茶館一起安排，減少冬天來回移動。
交通／串聯：Tram/Bus Muranów；POLIN 與紀念碑以步行串聯。同區餐飲不在景點頁重複，請回「華沙餐廳／華沙茶咖啡」查看。</v>
      </c>
      <c r="Y7" s="1146" t="str">
        <v>開放／節日：戶外全年；12 月注意雪／冰。
門票／預約：免費 
拍照：POLIN 建築外觀上午／藍調；記憶路線白天完成
取捨：先保留五星；時間不足刪三星，再刪重複類型四星。
冬季實戰：戶外全年；12 月注意雪／冰。；門票／預約：免費 
拍照：POLIN 建築外觀上午／藍調；記憶路線白天完成
時間不足：先保留五星；時間不足刪三星，再刪重複類型四星。</v>
      </c>
    </row>
    <row r="8" ht="280" customHeight="1">
      <c r="A8" s="1146" t="str">
        <v>Old Town Market Square</v>
      </c>
      <c r="B8" s="1146" t="str">
        <v>Stare Miasto</v>
      </c>
      <c r="C8" s="1146" t="str">
        <v>歷史街區</v>
      </c>
      <c r="D8" s="1146" t="str">
        <v>45–60m</v>
      </c>
      <c r="E8" s="1146" t="str">
        <v>華沙戰後復原最具象徵性的區域，冬季燈飾氣氛最好。</v>
      </c>
      <c r="F8" s="1146" t="str">
        <v>彩色立面、美人魚像、狹窄支巷。</v>
      </c>
      <c r="G8" s="1146" t="str">
        <v>不要只停廣場；從 Świętojańska 轉 Kanonia 再回市場。</v>
      </c>
      <c r="H8" s="1146" t="str">
        <v>戶外全年；商店／市集聖誕時間各自調整。</v>
      </c>
      <c r="I8" s="1146" t="str">
        <v>免費</v>
      </c>
      <c r="J8" s="1147" t="str"/>
      <c r="K8" s="1146" t="str">
        <v>12/24 晨</v>
      </c>
      <c r="L8" s="1146"/>
      <c r="M8" s="1146" t="str">
        <v>https://www.google.com/maps/search/?api=1&amp;query=Old%20Town%20Market%20Square%20Warsaw</v>
      </c>
      <c r="N8" s="1146" t="str">
        <v>https://whc.unesco.org/en/list/30/</v>
      </c>
      <c r="O8" s="1148" t="str">
        <v>★★★★★ 必去</v>
      </c>
      <c r="P8" s="1146" t="str">
        <v>第一次華沙不要刪；和 Castle Square、Royal Route 一起走。</v>
      </c>
      <c r="Q8" s="1146"/>
      <c r="R8" s="1146" t="str">
        <v>Tram/Bus Stare Miasto／Nowy Świat；老城內以步行為主</v>
      </c>
      <c r="S8" s="1146" t="str">
        <v>08:30–10:00 人少；聖誕燈飾則 16:00 後藍調</v>
      </c>
      <c r="T8" s="1146" t="str">
        <v>先保留五星；時間不足刪三星，再刪重複類型四星。</v>
      </c>
      <c r="U8" s="1146" t="str">
        <v>華沙老城在二戰後幾乎從廢墟重建，今天看到的彩色立面既是歷史街區，也是戰後復原工程本身。不要只在中央美人魚像拍照，四面房屋細節與支巷更能看出尺度。
為什麼值得：華沙戰後復原最具象徵性的區域，冬季燈飾氣氛最好。
建議停留：45–60m。這類地方的重點是路線與生活感，不是單一打卡點；預留彈性比卡死分鐘數更好。
本次旅行怎樣理解它：華沙戰後復原最具象徵性的區域，冬季燈飾氣氛最好。 建議停留 45–60m。不要只完成『到過』，而是先看整體空間，再選 2–3 個真正有興趣的細節深看。</v>
      </c>
      <c r="V8" s="1146" t="str">
        <v>華沙老城在二戰後幾乎從廢墟重建，今天看到的彩色立面既是歷史街區，也是戰後復原工程本身。不要只在中央美人魚像拍照，四面房屋細節與支巷更能看出尺度。
這一站最重要的不是『到此一遊』，而是把它和周邊城市歷史、宗教或街區脈絡一起理解。
城市脈絡：它位於 Stare Miasto，屬於 歷史街區。把它和周邊街區一起看，會比單獨拍一張正面照片更容易理解 華沙 的歷史層次。</v>
      </c>
      <c r="W8" s="1146" t="str">
        <v>必看：彩色立面、美人魚像、狹窄支巷。
實際走法：不要只停廣場；從 Świętojańska 轉 Kanonia 再回市場。
如果只剩 30–45 分鐘，先保留最有代表性的核心空間／視角，不必勉強看完。
現場觀察清單：
① 彩色立面、美人魚像、狹窄支巷。
② 走法：不要只停廣場；從 Świętojańska 轉 Kanonia 再回市場。
③ 如果兩人興趣不同，先一起完成核心看點，再各自自由看 15–20 分鐘。</v>
      </c>
      <c r="X8" s="1146" t="str">
        <v>所在區域：Stare Miasto。
主行程安排：12/24 晨。
交通：Tram/Bus Stare Miasto／Nowy Świat；老城內以步行為主。
建議和同區餐廳、咖啡／茶館一起安排，減少冬天來回移動。
交通／串聯：Tram/Bus Stare Miasto／Nowy Świat；老城內以步行為主。同區餐飲不在景點頁重複，請回「華沙餐廳／華沙茶咖啡」查看。</v>
      </c>
      <c r="Y8" s="1146" t="str">
        <v>開放／節日：戶外全年；商店／市集聖誕時間各自調整。
門票／預約：免費 
拍照：08:30–10:00 人少；聖誕燈飾則 16:00 後藍調
取捨：先保留五星；時間不足刪三星，再刪重複類型四星。
冬季實戰：戶外全年；商店／市集聖誕時間各自調整。；門票／預約：免費 
拍照：08:30–10:00 人少；聖誕燈飾則 16:00 後藍調
時間不足：先保留五星；時間不足刪三星，再刪重複類型四星。</v>
      </c>
    </row>
    <row r="9" ht="280" customHeight="1">
      <c r="A9" s="1146" t="str">
        <v>Castle Square &amp; Sigismund's Column</v>
      </c>
      <c r="B9" s="1146" t="str">
        <v>Stare Miasto</v>
      </c>
      <c r="C9" s="1146" t="str">
        <v>廣場／拍照</v>
      </c>
      <c r="D9" s="1146" t="str">
        <v>20–30m</v>
      </c>
      <c r="E9" s="1146" t="str">
        <v>皇家大道與老城入口，適合日景與藍調。</v>
      </c>
      <c r="F9" s="1146" t="str">
        <v>王柱、城堡外牆、斜坡視角。</v>
      </c>
      <c r="G9" s="1146" t="str">
        <v>早上人少先拍廣角；晚上再從皇家大道回看燈飾。</v>
      </c>
      <c r="H9" s="1146" t="str">
        <v>戶外全年。</v>
      </c>
      <c r="I9" s="1146" t="str">
        <v>免費</v>
      </c>
      <c r="J9" s="1147" t="str"/>
      <c r="K9" s="1146" t="str">
        <v>12/24／12/26</v>
      </c>
      <c r="L9" s="1146"/>
      <c r="M9" s="1146" t="str">
        <v>https://www.google.com/maps/search/?api=1&amp;query=Castle%20Square%20Warsaw</v>
      </c>
      <c r="N9" s="1146" t="str">
        <v>https://go2warsaw.pl/</v>
      </c>
      <c r="O9" s="1148" t="str">
        <v>★★★★★ 必去</v>
      </c>
      <c r="P9" s="1146" t="str">
        <v>若當天體力與時間足夠就保留；時間不足先刪三星，再刪四星。</v>
      </c>
      <c r="Q9" s="1146" t="str">
        <v>景點實拍
照片來源：https://www.terrahunt.com/outdoor-games/photo-tour-warsaw
來源頁實拍；僅作私人行程辨識。</v>
      </c>
      <c r="R9" s="1146" t="str">
        <v>Tram/Bus Stare Miasto／Nowy Świat；老城內以步行為主</v>
      </c>
      <c r="S9" s="1146" t="str">
        <v>08:30–10:00 人少；聖誕燈飾則 16:00 後藍調</v>
      </c>
      <c r="T9" s="1146" t="str">
        <v>先保留五星；時間不足刪三星，再刪重複類型四星。</v>
      </c>
      <c r="U9" s="1146" t="str">
        <v>城堡廣場是老城、皇家城堡與皇家大道的交界，也是最容易讀懂華沙城市軸線的地方。Sigismund's Column 是城市最重要的地標之一，日景與聖誕燈飾都值得看。
為什麼值得：皇家大道與老城入口，適合日景與藍調。
建議停留：20–30m。把它放回整條城市動線看，比單獨到此一遊更有意思。
本次旅行怎樣理解它：皇家大道與老城入口，適合日景與藍調。 建議停留 20–30m。不要只完成『到過』，而是先看整體空間，再選 2–3 個真正有興趣的細節深看。</v>
      </c>
      <c r="V9" s="1146" t="str">
        <v>城堡廣場是老城、皇家城堡與皇家大道的交界，也是最容易讀懂華沙城市軸線的地方。Sigismund's Column 是城市最重要的地標之一，日景與聖誕燈飾都值得看。
這一站最重要的不是『到此一遊』，而是把它和周邊城市歷史、宗教或街區脈絡一起理解。
城市脈絡：它位於 Stare Miasto，屬於 廣場／拍照。把它和周邊街區一起看，會比單獨拍一張正面照片更容易理解 華沙 的歷史層次。</v>
      </c>
      <c r="W9" s="1146" t="str">
        <v>必看：王柱、城堡外牆、斜坡視角。
實際走法：早上人少先拍廣角；晚上再從皇家大道回看燈飾。
如果只剩 30–45 分鐘，先保留最有代表性的核心空間／視角，不必勉強看完。
現場觀察清單：
① 王柱、城堡外牆、斜坡視角。
② 走法：早上人少先拍廣角；晚上再從皇家大道回看燈飾。
③ 如果兩人興趣不同，先一起完成核心看點，再各自自由看 15–20 分鐘。</v>
      </c>
      <c r="X9" s="1146" t="str">
        <v>所在區域：Stare Miasto。
主行程安排：12/24／12/26。
交通：Tram/Bus Stare Miasto／Nowy Świat；老城內以步行為主。
建議和同區餐廳、咖啡／茶館一起安排，減少冬天來回移動。
交通／串聯：Tram/Bus Stare Miasto／Nowy Świat；老城內以步行為主。同區餐飲不在景點頁重複，請回「華沙餐廳／華沙茶咖啡」查看。</v>
      </c>
      <c r="Y9" s="1146" t="str">
        <v>開放／節日：戶外全年。
門票／預約：免費 
拍照：08:30–10:00 人少；聖誕燈飾則 16:00 後藍調
取捨：先保留五星；時間不足刪三星，再刪重複類型四星。
冬季實戰：戶外全年。；門票／預約：免費 
拍照：08:30–10:00 人少；聖誕燈飾則 16:00 後藍調
時間不足：先保留五星；時間不足刪三星，再刪重複類型四星。</v>
      </c>
    </row>
    <row r="10" ht="280" customHeight="1">
      <c r="A10" s="1146" t="str">
        <v>Kanonia &amp; Gnojna Góra</v>
      </c>
      <c r="B10" s="1146" t="str">
        <v>Old Town</v>
      </c>
      <c r="C10" s="1146" t="str">
        <v>小巷／觀景</v>
      </c>
      <c r="D10" s="1146" t="str">
        <v>30–40m</v>
      </c>
      <c r="E10" s="1146" t="str">
        <v>老城最適合拍細節、又比主廣場少人的位置。</v>
      </c>
      <c r="F10" s="1146" t="str">
        <v>Kanonia 小廣場的大鐘、紅磚巷、河岸方向視野。</v>
      </c>
      <c r="G10" s="1146" t="str">
        <v>由大教堂旁進 Kanonia，再向 Gnojna Góra 走。</v>
      </c>
      <c r="H10" s="1146" t="str">
        <v>戶外全年。</v>
      </c>
      <c r="I10" s="1146" t="str">
        <v>免費</v>
      </c>
      <c r="J10" s="1147" t="str"/>
      <c r="K10" s="1146" t="str">
        <v>12/24</v>
      </c>
      <c r="L10" s="1146"/>
      <c r="M10" s="1146" t="str">
        <v>https://www.google.com/maps/search/?api=1&amp;query=Kanonia%20Warsaw</v>
      </c>
      <c r="N10" s="1146" t="str">
        <v>https://go2warsaw.pl/</v>
      </c>
      <c r="O10" s="1149" t="str">
        <v>★★★★☆ 很推薦</v>
      </c>
      <c r="P10" s="1146" t="str">
        <v>若當天體力與時間足夠就保留；時間不足先刪三星，再刪四星。</v>
      </c>
      <c r="Q10" s="1146" t="str">
        <v>景點實拍
照片來源：https://mwfc.pl/lokacja/gora-gnojna-warszawa/
來源頁實拍；僅作私人行程辨識。</v>
      </c>
      <c r="R10" s="1146" t="str">
        <v>Google Maps 依當日公共交通；市中心優先步行／電車／Metro</v>
      </c>
      <c r="S10" s="1146" t="str">
        <v>冬季 15:30 後快速變暗；戶外點盡量日照時段，夜景點另排</v>
      </c>
      <c r="T10" s="1146" t="str">
        <v>先保留五星；時間不足刪三星，再刪重複類型四星。</v>
      </c>
      <c r="U10" s="1146" t="str">
        <v>Kanonia 是老城最安靜的小廣場之一，尺度小、紅磚牆和老教堂側面很有層次；Gnojna Góra 則提供向河岸方向的視野。這一帶比主廣場更適合拍細節。
為什麼值得：老城最適合拍細節、又比主廣場少人的位置。
建議停留：30–40m。把它放回整條城市動線看，比單獨到此一遊更有意思。
本次旅行怎樣理解它：老城最適合拍細節、又比主廣場少人的位置。 建議停留 30–40m。不要只完成『到過』，而是先看整體空間，再選 2–3 個真正有興趣的細節深看。</v>
      </c>
      <c r="V10" s="1146" t="str">
        <v>Kanonia 是老城最安靜的小廣場之一，尺度小、紅磚牆和老教堂側面很有層次；Gnojna Góra 則提供向河岸方向的視野。這一帶比主廣場更適合拍細節。
這一站最重要的不是『到此一遊』，而是把它和周邊城市歷史、宗教或街區脈絡一起理解。
城市脈絡：它位於 Old Town，屬於 小巷／觀景。把它和周邊街區一起看，會比單獨拍一張正面照片更容易理解 華沙 的歷史層次。</v>
      </c>
      <c r="W10" s="1146" t="str">
        <v>必看：Kanonia 小廣場的大鐘、紅磚巷、河岸方向視野。
實際走法：由大教堂旁進 Kanonia，再向 Gnojna Góra 走。
如果只剩 30–45 分鐘，先保留最有代表性的核心空間／視角，不必勉強看完。
現場觀察清單：
① Kanonia 小廣場的大鐘、紅磚巷、河岸方向視野。
② 走法：由大教堂旁進 Kanonia，再向 Gnojna Góra 走。
③ 如果兩人興趣不同，先一起完成核心看點，再各自自由看 15–20 分鐘。</v>
      </c>
      <c r="X10" s="1146" t="str">
        <v>所在區域：Old Town。
主行程安排：12/24。
交通：Google Maps 依當日公共交通；市中心優先步行／電車／Metro。
建議和同區餐廳、咖啡／茶館一起安排，減少冬天來回移動。
交通／串聯：Google Maps 依當日公共交通；市中心優先步行／電車／Metro。同區餐飲不在景點頁重複，請回「華沙餐廳／華沙茶咖啡」查看。</v>
      </c>
      <c r="Y10" s="1146" t="str">
        <v>開放／節日：戶外全年。
門票／預約：免費 
拍照：冬季 15:30 後快速變暗；戶外點盡量日照時段，夜景點另排
取捨：先保留五星；時間不足刪三星，再刪重複類型四星。
冬季實戰：戶外全年。；門票／預約：免費 
拍照：冬季 15:30 後快速變暗；戶外點盡量日照時段，夜景點另排
時間不足：先保留五星；時間不足刪三星，再刪重複類型四星。</v>
      </c>
    </row>
    <row r="11" ht="280" customHeight="1">
      <c r="A11" s="1146" t="str">
        <v>Warsaw Barbican &amp; New Town</v>
      </c>
      <c r="B11" s="1146" t="str">
        <v>Old/New Town</v>
      </c>
      <c r="C11" s="1146" t="str">
        <v>城防／街區</v>
      </c>
      <c r="D11" s="1146" t="str">
        <v>45–60m</v>
      </c>
      <c r="E11" s="1146" t="str">
        <v>把老城延伸到新城，不會只在最擠的幾條街打轉。</v>
      </c>
      <c r="F11" s="1146" t="str">
        <v>紅磚城門、Nowomiejska、Freta 街。</v>
      </c>
      <c r="G11" s="1146" t="str">
        <v>從市場向北出 Barbican，沿 Freta 緩慢散步。</v>
      </c>
      <c r="H11" s="1146" t="str">
        <v>戶外全年。</v>
      </c>
      <c r="I11" s="1146" t="str">
        <v>免費</v>
      </c>
      <c r="J11" s="1147" t="str"/>
      <c r="K11" s="1146" t="str">
        <v>12/24</v>
      </c>
      <c r="L11" s="1146"/>
      <c r="M11" s="1146" t="str">
        <v>https://www.google.com/maps/search/?api=1&amp;query=Warsaw%20Barbican</v>
      </c>
      <c r="N11" s="1146" t="str">
        <v>https://go2warsaw.pl/</v>
      </c>
      <c r="O11" s="1149" t="str">
        <v>★★★★☆ 很推薦</v>
      </c>
      <c r="P11" s="1146" t="str">
        <v>若當天體力與時間足夠就保留；時間不足先刪三星，再刪四星。</v>
      </c>
      <c r="Q11" s="1146" t="str">
        <v>景點實拍
照片來源：https://www.komoot.com/it-it/guide/3756857/castelli-nei-dintorni-di-warsaw
來源頁實拍；僅作私人行程辨識。</v>
      </c>
      <c r="R11" s="1146" t="str">
        <v>Google Maps 依當日公共交通；市中心優先步行／電車／Metro</v>
      </c>
      <c r="S11" s="1146" t="str">
        <v>冬季 15:30 後快速變暗；戶外點盡量日照時段，夜景點另排</v>
      </c>
      <c r="T11" s="1146" t="str">
        <v>先保留五星；時間不足刪三星，再刪重複類型四星。</v>
      </c>
      <c r="U11" s="1146" t="str">
        <v>Barbican 是老城北側城防遺構，往北走就進入 New Town。這段不只看紅磚城牆，也能感受觀光最密集的老城如何慢慢過渡到較生活化的 Freta 街。
為什麼值得：把老城延伸到新城，不會只在最擠的幾條街打轉。
建議停留：45–60m。這類地方的重點是路線與生活感，不是單一打卡點；預留彈性比卡死分鐘數更好。
本次旅行怎樣理解它：把老城延伸到新城，不會只在最擠的幾條街打轉。 建議停留 45–60m。不要只完成『到過』，而是先看整體空間，再選 2–3 個真正有興趣的細節深看。</v>
      </c>
      <c r="V11" s="1146" t="str">
        <v>Barbican 是老城北側城防遺構，往北走就進入 New Town。這段不只看紅磚城牆，也能感受觀光最密集的老城如何慢慢過渡到較生活化的 Freta 街。
這一站最重要的不是『到此一遊』，而是把它和周邊城市歷史、宗教或街區脈絡一起理解。
城市脈絡：它位於 Old/New Town，屬於 城防／街區。把它和周邊街區一起看，會比單獨拍一張正面照片更容易理解 華沙 的歷史層次。</v>
      </c>
      <c r="W11" s="1146" t="str">
        <v>必看：紅磚城門、Nowomiejska、Freta 街。
實際走法：從市場向北出 Barbican，沿 Freta 緩慢散步。
如果只剩 30–45 分鐘，先保留最有代表性的核心空間／視角，不必勉強看完。
現場觀察清單：
① 紅磚城門、Nowomiejska、Freta 街。
② 走法：從市場向北出 Barbican，沿 Freta 緩慢散步。
③ 如果兩人興趣不同，先一起完成核心看點，再各自自由看 15–20 分鐘。</v>
      </c>
      <c r="X11" s="1146" t="str">
        <v>所在區域：Old/New Town。
主行程安排：12/24。
交通：Google Maps 依當日公共交通；市中心優先步行／電車／Metro。
建議和同區餐廳、咖啡／茶館一起安排，減少冬天來回移動。
交通／串聯：Google Maps 依當日公共交通；市中心優先步行／電車／Metro。同區餐飲不在景點頁重複，請回「華沙餐廳／華沙茶咖啡」查看。</v>
      </c>
      <c r="Y11" s="1146" t="str">
        <v>開放／節日：戶外全年。
門票／預約：免費 
拍照：冬季 15:30 後快速變暗；戶外點盡量日照時段，夜景點另排
取捨：先保留五星；時間不足刪三星，再刪重複類型四星。
冬季實戰：戶外全年。；門票／預約：免費 
拍照：冬季 15:30 後快速變暗；戶外點盡量日照時段，夜景點另排
時間不足：先保留五星；時間不足刪三星，再刪重複類型四星。</v>
      </c>
    </row>
    <row r="12" ht="280" customHeight="1">
      <c r="A12" s="1146" t="str">
        <v>Royal Route: Krakowskie Przedmieście</v>
      </c>
      <c r="B12" s="1146" t="str">
        <v>Śródmieście</v>
      </c>
      <c r="C12" s="1146" t="str">
        <v>城市步行</v>
      </c>
      <c r="D12" s="1146" t="str">
        <v>1–1.5h</v>
      </c>
      <c r="E12" s="1146" t="str">
        <v>冬季燈飾與華沙代表性軸線，24–25 日博物館關門時仍值得走。</v>
      </c>
      <c r="F12" s="1146" t="str">
        <v>總統府外觀、華沙大學門面、聖十字教堂、沿線宮殿立面。</v>
      </c>
      <c r="G12" s="1146" t="str">
        <v>Castle Square 一路向南，最後接 Nowy Świat／Plac Trzech Krzyży。</v>
      </c>
      <c r="H12" s="1146" t="str">
        <v>街道全年；室內場所另查。</v>
      </c>
      <c r="I12" s="1146" t="str">
        <v>免費</v>
      </c>
      <c r="J12" s="1147" t="str"/>
      <c r="K12" s="1146" t="str">
        <v>12/24 晚</v>
      </c>
      <c r="L12" s="1146"/>
      <c r="M12" s="1146" t="str">
        <v>https://www.google.com/maps/search/?api=1&amp;query=Krakowskie%20Przedmie%C5%9Bcie%20Warsaw</v>
      </c>
      <c r="N12" s="1146" t="str">
        <v>https://go2warsaw.pl/</v>
      </c>
      <c r="O12" s="1148" t="str">
        <v>★★★★★ 必去</v>
      </c>
      <c r="P12" s="1146" t="str">
        <v>當成一路逛的街區主線；聖誕期間尤其值得。</v>
      </c>
      <c r="Q12" s="1146" t="str">
        <v>景點實拍
照片來源：https://nowawarszawa.pl/krakowskie-przedmiescie-zaprasza-na-spacer/
來源頁實拍；僅作私人行程辨識。</v>
      </c>
      <c r="R12" s="1146" t="str">
        <v>Tram/Bus Stare Miasto／Nowy Świat；老城內以步行為主</v>
      </c>
      <c r="S12" s="1146" t="str">
        <v>08:30–10:00 人少；聖誕燈飾則 16:00 後藍調</v>
      </c>
      <c r="T12" s="1146" t="str">
        <v>先保留五星；時間不足刪三星，再刪重複類型四星。</v>
      </c>
      <c r="U12" s="1146" t="str">
        <v>皇家大道串起城堡廣場、總統府、華沙大學、聖十字教堂與 Nowy Świat，是第一次理解華沙最有效的一條步行線。冬季最大亮點是建築立面與聖誕燈飾疊在一起。
為什麼值得：冬季燈飾與華沙代表性軸線，24–25 日博物館關門時仍值得走。
建議停留：1–1.5h。這類地方的重點是路線與生活感，不是單一打卡點；預留彈性比卡死分鐘數更好。
本次旅行怎樣理解它：冬季燈飾與華沙代表性軸線，24–25 日博物館關門時仍值得走。 建議停留 1–1.5h。不要只完成『到過』，而是先看整體空間，再選 2–3 個真正有興趣的細節深看。</v>
      </c>
      <c r="V12" s="1146" t="str">
        <v>皇家大道串起城堡廣場、總統府、華沙大學、聖十字教堂與 Nowy Świat，是第一次理解華沙最有效的一條步行線。冬季最大亮點是建築立面與聖誕燈飾疊在一起。
這一站最重要的不是『到此一遊』，而是把它和周邊城市歷史、宗教或街區脈絡一起理解。
城市脈絡：它位於 Śródmieście，屬於 城市步行。把它和周邊街區一起看，會比單獨拍一張正面照片更容易理解 華沙 的歷史層次。</v>
      </c>
      <c r="W12" s="1146" t="str">
        <v>必看：總統府外觀、華沙大學門面、聖十字教堂、沿線宮殿立面。
實際走法：Castle Square 一路向南，最後接 Nowy Świat／Plac Trzech Krzyży。
如果只剩 30–45 分鐘，先保留最有代表性的核心空間／視角，不必勉強看完。
現場觀察清單：
① 總統府外觀、華沙大學門面、聖十字教堂、沿線宮殿立面。
② 走法：Castle Square 一路向南，最後接 Nowy Świat／Plac Trzech Krzyży。
③ 如果兩人興趣不同，先一起完成核心看點，再各自自由看 15–20 分鐘。</v>
      </c>
      <c r="X12" s="1146" t="str">
        <v>所在區域：Śródmieście。
主行程安排：12/24 晚。
交通：Tram/Bus Stare Miasto／Nowy Świat；老城內以步行為主。
建議和同區餐廳、咖啡／茶館一起安排，減少冬天來回移動。
交通／串聯：Tram/Bus Stare Miasto／Nowy Świat；老城內以步行為主。同區餐飲不在景點頁重複，請回「華沙餐廳／華沙茶咖啡」查看。</v>
      </c>
      <c r="Y12" s="1146" t="str">
        <v>開放／節日：街道全年；室內場所另查。
門票／預約：免費 
拍照：08:30–10:00 人少；聖誕燈飾則 16:00 後藍調
取捨：先保留五星；時間不足刪三星，再刪重複類型四星。
冬季實戰：街道全年；室內場所另查。；門票／預約：免費 
拍照：08:30–10:00 人少；聖誕燈飾則 16:00 後藍調
時間不足：先保留五星；時間不足刪三星，再刪重複類型四星。</v>
      </c>
    </row>
    <row r="13" ht="280" customHeight="1">
      <c r="A13" s="1146" t="str">
        <v>Saxon Garden &amp; Tomb of the Unknown Soldier</v>
      </c>
      <c r="B13" s="1146" t="str">
        <v>Centrum</v>
      </c>
      <c r="C13" s="1146" t="str">
        <v>公園／紀念</v>
      </c>
      <c r="D13" s="1146" t="str">
        <v>45–60m</v>
      </c>
      <c r="E13" s="1146" t="str">
        <v>位置中央、適合串聯皇家大道與市中心。</v>
      </c>
      <c r="F13" s="1146" t="str">
        <v>無名烈士墓換崗、花園軸線。</v>
      </c>
      <c r="G13" s="1146" t="str">
        <v>白天去看紀念設施；天氣差可縮成 20 分鐘。</v>
      </c>
      <c r="H13" s="1146" t="str">
        <v>戶外全年。</v>
      </c>
      <c r="I13" s="1146" t="str">
        <v>免費</v>
      </c>
      <c r="J13" s="1147" t="str"/>
      <c r="K13" s="1146" t="str">
        <v>12/24 下午</v>
      </c>
      <c r="L13" s="1146"/>
      <c r="M13" s="1146" t="str">
        <v>https://www.google.com/maps/search/?api=1&amp;query=Saxon%20Garden%20Warsaw</v>
      </c>
      <c r="N13" s="1146" t="str">
        <v>https://go2warsaw.pl/</v>
      </c>
      <c r="O13" s="1149" t="str">
        <v>★★★★☆ 很推薦</v>
      </c>
      <c r="P13" s="1146" t="str">
        <v>若當天體力與時間足夠就保留；時間不足先刪三星，再刪四星。</v>
      </c>
      <c r="Q13" s="1146"/>
      <c r="R13" s="1146" t="str">
        <v>Google Maps 依當日公共交通；市中心優先步行／電車／Metro</v>
      </c>
      <c r="S13" s="1146" t="str">
        <v>冬季 15:30 後快速變暗；戶外點盡量日照時段，夜景點另排</v>
      </c>
      <c r="T13" s="1146" t="str">
        <v>先保留五星；時間不足刪三星，再刪重複類型四星。</v>
      </c>
      <c r="U13" s="1146" t="str">
        <v>Saxon Garden 是華沙最早的公共花園之一，無名烈士墓保留了昔日 Saxon Palace 的柱廊殘部。這裡適合把城市史、國家記憶與日常公園放在同一個畫面看。
為什麼值得：位置中央、適合串聯皇家大道與市中心。
建議停留：45–60m。把它放回整條城市動線看，比單獨到此一遊更有意思。
本次旅行怎樣理解它：位置中央、適合串聯皇家大道與市中心。 建議停留 45–60m。不要只完成『到過』，而是先看整體空間，再選 2–3 個真正有興趣的細節深看。</v>
      </c>
      <c r="V13" s="1146" t="str">
        <v>Saxon Garden 是華沙最早的公共花園之一，無名烈士墓保留了昔日 Saxon Palace 的柱廊殘部。這裡適合把城市史、國家記憶與日常公園放在同一個畫面看。
這一站最重要的不是『到此一遊』，而是把它和周邊城市歷史、宗教或街區脈絡一起理解。
城市脈絡：它位於 Centrum，屬於 公園／紀念。把它和周邊街區一起看，會比單獨拍一張正面照片更容易理解 華沙 的歷史層次。</v>
      </c>
      <c r="W13" s="1146" t="str">
        <v>必看：無名烈士墓換崗、花園軸線。
實際走法：白天去看紀念設施；天氣差可縮成 20 分鐘。
如果只剩 30–45 分鐘，先保留最有代表性的核心空間／視角，不必勉強看完。
現場觀察清單：
① 無名烈士墓換崗、花園軸線。
② 走法：白天去看紀念設施；天氣差可縮成 20 分鐘。
③ 如果兩人興趣不同，先一起完成核心看點，再各自自由看 15–20 分鐘。</v>
      </c>
      <c r="X13" s="1146" t="str">
        <v>所在區域：Centrum。
主行程安排：12/24 下午。
交通：Google Maps 依當日公共交通；市中心優先步行／電車／Metro。
建議和同區餐廳、咖啡／茶館一起安排，減少冬天來回移動。
交通／串聯：Google Maps 依當日公共交通；市中心優先步行／電車／Metro。同區餐飲不在景點頁重複，請回「華沙餐廳／華沙茶咖啡」查看。</v>
      </c>
      <c r="Y13" s="1146" t="str">
        <v>開放／節日：戶外全年。
門票／預約：免費 
拍照：冬季 15:30 後快速變暗；戶外點盡量日照時段，夜景點另排
取捨：先保留五星；時間不足刪三星，再刪重複類型四星。
冬季實戰：戶外全年。；門票／預約：免費 
拍照：冬季 15:30 後快速變暗；戶外點盡量日照時段，夜景點另排
時間不足：先保留五星；時間不足刪三星，再刪重複類型四星。</v>
      </c>
    </row>
    <row r="14" ht="280" customHeight="1">
      <c r="A14" s="1146" t="str">
        <v>Łazienki Królewskie</v>
      </c>
      <c r="B14" s="1146" t="str">
        <v>Łazienki</v>
      </c>
      <c r="C14" s="1146" t="str">
        <v>皇家園林</v>
      </c>
      <c r="D14" s="1146" t="str">
        <v>1.5–2h</v>
      </c>
      <c r="E14" s="1146" t="str">
        <v>冬日華沙最值得慢走的公園之一，聖誕即使室內有限也有完整戶外體驗。</v>
      </c>
      <c r="F14" s="1146" t="str">
        <v>水上宮外觀、白橋、湖岸、松鼠與孔雀。</v>
      </c>
      <c r="G14" s="1146" t="str">
        <v>從 Chopin Monument 端進，沿湖走到 Palace on the Isle 外圍。</v>
      </c>
      <c r="H14" s="1146" t="str">
        <v>園區戶外通常可進；宮殿室內節日另查。</v>
      </c>
      <c r="I14" s="1146" t="str">
        <v>公園免費；室內另票</v>
      </c>
      <c r="J14" s="1147" t="str"/>
      <c r="K14" s="1146" t="str">
        <v>12/25</v>
      </c>
      <c r="L14" s="1146"/>
      <c r="M14" s="1146" t="str">
        <v>https://www.google.com/maps/search/?api=1&amp;query=%C5%81azienki%20Park%20Warsaw</v>
      </c>
      <c r="N14" s="1146" t="str">
        <v>https://www.lazienki-krolewskie.pl/en</v>
      </c>
      <c r="O14" s="1148" t="str">
        <v>★★★★★ 必去</v>
      </c>
      <c r="P14" s="1146" t="str">
        <v>天氣好必去；冬天仍值得看宮園氛圍。</v>
      </c>
      <c r="Q14" s="1146" t="str">
        <v>景點實拍
照片來源：https://www.hithotel.pl/atrakcje/lazienki-krolewskie
來源頁實拍；僅作私人行程辨識。</v>
      </c>
      <c r="R14" s="1146" t="str">
        <v>Bus/Tram 至 Łazienki／Plac na Rozdrożu 一帶＋步行</v>
      </c>
      <c r="S14" s="1146" t="str">
        <v>09:30–12:00；雪後湖岸與水上宮外觀最好拍</v>
      </c>
      <c r="T14" s="1146" t="str">
        <v>先保留五星；時間不足刪三星，再刪重複類型四星。</v>
      </c>
      <c r="U14" s="1146" t="str">
        <v>Łazienki 是王室園林、宮殿與城市公園的結合，不是只為看一棟 Palace on the Isle。冬天葉子落光後反而更容易看到湖岸、橋、宮殿和樹林的空間關係。
為什麼值得：冬日華沙最值得慢走的公園之一，聖誕即使室內有限也有完整戶外體驗。
建議停留：1.5–2h。把它放回整條城市動線看，比單獨到此一遊更有意思。
本次旅行怎樣理解它：冬日華沙最值得慢走的公園之一，聖誕即使室內有限也有完整戶外體驗。 建議停留 1.5–2h。不要只完成『到過』，而是先看整體空間，再選 2–3 個真正有興趣的細節深看。</v>
      </c>
      <c r="V14" s="1146" t="str">
        <v>Łazienki 是王室園林、宮殿與城市公園的結合，不是只為看一棟 Palace on the Isle。冬天葉子落光後反而更容易看到湖岸、橋、宮殿和樹林的空間關係。
這一站最重要的不是『到此一遊』，而是把它和周邊城市歷史、宗教或街區脈絡一起理解。
城市脈絡：它位於 Łazienki，屬於 皇家園林。把它和周邊街區一起看，會比單獨拍一張正面照片更容易理解 華沙 的歷史層次。</v>
      </c>
      <c r="W14" s="1146" t="str">
        <v>必看：水上宮外觀、白橋、湖岸、松鼠與孔雀。
實際走法：從 Chopin Monument 端進，沿湖走到 Palace on the Isle 外圍。
如果只剩 30–45 分鐘，先保留最有代表性的核心空間／視角，不必勉強看完。
現場觀察清單：
① 水上宮外觀、白橋、湖岸、松鼠與孔雀。
② 走法：從 Chopin Monument 端進，沿湖走到 Palace on the Isle 外圍。
③ 如果兩人興趣不同，先一起完成核心看點，再各自自由看 15–20 分鐘。</v>
      </c>
      <c r="X14" s="1146" t="str">
        <v>所在區域：Łazienki。
主行程安排：12/25。
交通：Bus/Tram 至 Łazienki／Plac na Rozdrożu 一帶＋步行。
建議和同區餐廳、咖啡／茶館一起安排，減少冬天來回移動。
交通／串聯：Bus/Tram 至 Łazienki／Plac na Rozdrożu 一帶＋步行。同區餐飲不在景點頁重複，請回「華沙餐廳／華沙茶咖啡」查看。</v>
      </c>
      <c r="Y14" s="1146" t="str">
        <v>開放／節日：園區戶外通常可進；宮殿室內節日另查。
門票／預約：公園免費；室內另票 
拍照：09:30–12:00；雪後湖岸與水上宮外觀最好拍
取捨：先保留五星；時間不足刪三星，再刪重複類型四星。
冬季實戰：園區戶外通常可進；宮殿室內節日另查。；門票／預約：公園免費；室內另票 
拍照：09:30–12:00；雪後湖岸與水上宮外觀最好拍
時間不足：先保留五星；時間不足刪三星，再刪重複類型四星。</v>
      </c>
    </row>
    <row r="15" ht="280" customHeight="1">
      <c r="A15" s="1146" t="str">
        <v>Chopin Monument</v>
      </c>
      <c r="B15" s="1146" t="str">
        <v>Łazienki</v>
      </c>
      <c r="C15" s="1146" t="str">
        <v>雕塑／拍照</v>
      </c>
      <c r="D15" s="1146" t="str">
        <v>15–20m</v>
      </c>
      <c r="E15" s="1146" t="str">
        <v>最具波蘭文化辨識度之一，和公園一起看最順。</v>
      </c>
      <c r="F15" s="1146" t="str">
        <v>柳樹形銅像、雪景／霧景氛圍。</v>
      </c>
      <c r="G15" s="1146" t="str">
        <v>冬天早上光線柔，拍完再向水上宮方向走。</v>
      </c>
      <c r="H15" s="1146" t="str">
        <v>戶外全年。</v>
      </c>
      <c r="I15" s="1146" t="str">
        <v>免費</v>
      </c>
      <c r="J15" s="1147" t="str"/>
      <c r="K15" s="1146" t="str">
        <v>12/25</v>
      </c>
      <c r="L15" s="1146"/>
      <c r="M15" s="1146" t="str">
        <v>https://www.google.com/maps/search/?api=1&amp;query=Chopin%20Monument%20Warsaw</v>
      </c>
      <c r="N15" s="1146" t="str">
        <v>https://www.lazienki-krolewskie.pl/en</v>
      </c>
      <c r="O15" s="1149" t="str">
        <v>★★★★☆ 很推薦</v>
      </c>
      <c r="P15" s="1146" t="str">
        <v>若當天體力與時間足夠就保留；時間不足先刪三星，再刪四星。</v>
      </c>
      <c r="Q15" s="1146" t="str">
        <v>景點實拍
照片來源：https://www.thediscoverer.com/editions/warsaw-poland/130
來源頁實拍；僅作私人行程辨識。</v>
      </c>
      <c r="R15" s="1146" t="str">
        <v>Bus/Tram 至 Łazienki／Plac na Rozdrożu 一帶＋步行</v>
      </c>
      <c r="S15" s="1146" t="str">
        <v>09:30–12:00；雪後湖岸與水上宮外觀最好拍</v>
      </c>
      <c r="T15" s="1146" t="str">
        <v>先保留五星；時間不足刪三星，再刪重複類型四星。</v>
      </c>
      <c r="U15" s="1146" t="str">
        <v>蕭邦紀念像是華沙最有辨識度的音樂文化地標之一，和 Łazienki 的自然背景一起看才完整。冬季沒有夏日音樂會，但雪景與裸樹線條很適合拍照。
為什麼值得：最具波蘭文化辨識度之一，和公園一起看最順。
建議停留：15–20m。把它放回整條城市動線看，比單獨到此一遊更有意思。
本次旅行怎樣理解它：最具波蘭文化辨識度之一，和公園一起看最順。 建議停留 15–20m。不要只完成『到過』，而是先看整體空間，再選 2–3 個真正有興趣的細節深看。</v>
      </c>
      <c r="V15" s="1146" t="str">
        <v>蕭邦紀念像是華沙最有辨識度的音樂文化地標之一，和 Łazienki 的自然背景一起看才完整。冬季沒有夏日音樂會，但雪景與裸樹線條很適合拍照。
這一站最重要的不是『到此一遊』，而是把它和周邊城市歷史、宗教或街區脈絡一起理解。
城市脈絡：它位於 Łazienki，屬於 雕塑／拍照。把它和周邊街區一起看，會比單獨拍一張正面照片更容易理解 華沙 的歷史層次。</v>
      </c>
      <c r="W15" s="1146" t="str">
        <v>必看：柳樹形銅像、雪景／霧景氛圍。
實際走法：冬天早上光線柔，拍完再向水上宮方向走。
如果只剩 30–45 分鐘，先保留最有代表性的核心空間／視角，不必勉強看完。
現場觀察清單：
① 柳樹形銅像、雪景／霧景氛圍。
② 走法：冬天早上光線柔，拍完再向水上宮方向走。
③ 如果兩人興趣不同，先一起完成核心看點，再各自自由看 15–20 分鐘。</v>
      </c>
      <c r="X15" s="1146" t="str">
        <v>所在區域：Łazienki。
主行程安排：12/25。
交通：Bus/Tram 至 Łazienki／Plac na Rozdrożu 一帶＋步行。
建議和同區餐廳、咖啡／茶館一起安排，減少冬天來回移動。
交通／串聯：Bus/Tram 至 Łazienki／Plac na Rozdrożu 一帶＋步行。同區餐飲不在景點頁重複，請回「華沙餐廳／華沙茶咖啡」查看。</v>
      </c>
      <c r="Y15" s="1146" t="str">
        <v>開放／節日：戶外全年。
門票／預約：免費 
拍照：09:30–12:00；雪後湖岸與水上宮外觀最好拍
取捨：先保留五星；時間不足刪三星，再刪重複類型四星。
冬季實戰：戶外全年。；門票／預約：免費 
拍照：09:30–12:00；雪後湖岸與水上宮外觀最好拍
時間不足：先保留五星；時間不足刪三星，再刪重複類型四星。</v>
      </c>
    </row>
    <row r="16" ht="280" customHeight="1">
      <c r="A16" s="1146" t="str">
        <v>Mokotowska → Plac Zbawiciela → Plac Konstytucji</v>
      </c>
      <c r="B16" s="1146" t="str">
        <v>Śródmieście</v>
      </c>
      <c r="C16" s="1146" t="str">
        <v>街區／逛街</v>
      </c>
      <c r="D16" s="1146" t="str">
        <v>1.5–2h</v>
      </c>
      <c r="E16" s="1146" t="str">
        <v>12/25 多數大型景點關門時，仍可看住宅、街景與咖啡文化。</v>
      </c>
      <c r="F16" s="1146" t="str">
        <v>Mokotowska 店面、救世主廣場、Marszałkowska 社會主義現實主義軸線。</v>
      </c>
      <c r="G16" s="1146" t="str">
        <v>從北往南走，碰到有開的咖啡店就休息；不要設定必逛商店。</v>
      </c>
      <c r="H16" s="1146" t="str">
        <v>戶外全年；商戶聖誕各自調整。</v>
      </c>
      <c r="I16" s="1146" t="str">
        <v>免費</v>
      </c>
      <c r="J16" s="1147" t="str"/>
      <c r="K16" s="1146" t="str">
        <v>12/25 下午</v>
      </c>
      <c r="L16" s="1146"/>
      <c r="M16" s="1146" t="str">
        <v>https://www.google.com/maps/search/?api=1&amp;query=Plac%20Zbawiciela%20Warsaw</v>
      </c>
      <c r="N16" s="1146" t="str">
        <v>https://go2warsaw.pl/</v>
      </c>
      <c r="O16" s="1149" t="str">
        <v>★★★★☆ 很推薦</v>
      </c>
      <c r="P16" s="1146" t="str">
        <v>若當天體力與時間足夠就保留；時間不足先刪三星，再刪四星。</v>
      </c>
      <c r="Q16" s="1146"/>
      <c r="R16" s="1146" t="str">
        <v>Google Maps 依當日公共交通；市中心優先步行／電車／Metro</v>
      </c>
      <c r="S16" s="1146" t="str">
        <v>冬季 15:30 後快速變暗；戶外點盡量日照時段，夜景點另排</v>
      </c>
      <c r="T16" s="1146" t="str">
        <v>先保留五星；時間不足刪三星，再刪重複類型四星。</v>
      </c>
      <c r="U16" s="1146" t="str">
        <v>這不是單一景點，而是一條看『居民日常華沙』的城市路線：Mokotowska 的店舖與住宅、Plac Zbawiciela 的咖啡文化，再接 Plac Konstytucji 的社會主義現實主義城市尺度。
為什麼值得：12/25 多數大型景點關門時，仍可看住宅、街景與咖啡文化。
建議停留：1.5–2h。這類地方的重點是路線與生活感，不是單一打卡點；預留彈性比卡死分鐘數更好。
本次旅行怎樣理解它：12/25 多數大型景點關門時，仍可看住宅、街景與咖啡文化。 建議停留 1.5–2h。不要只完成『到過』，而是先看整體空間，再選 2–3 個真正有興趣的細節深看。</v>
      </c>
      <c r="V16" s="1146" t="str">
        <v>這不是單一景點，而是一條看『居民日常華沙』的城市路線：Mokotowska 的店舖與住宅、Plac Zbawiciela 的咖啡文化，再接 Plac Konstytucji 的社會主義現實主義城市尺度。
這一站最重要的不是『到此一遊』，而是把它和周邊城市歷史、宗教或街區脈絡一起理解。
城市脈絡：它位於 Śródmieście，屬於 街區／逛街。把它和周邊街區一起看，會比單獨拍一張正面照片更容易理解 華沙 的歷史層次。</v>
      </c>
      <c r="W16" s="1146" t="str">
        <v>必看：Mokotowska 店面、救世主廣場、Marszałkowska 社會主義現實主義軸線。
實際走法：從北往南走，碰到有開的咖啡店就休息；不要設定必逛商店。
如果只剩 30–45 分鐘，先保留最有代表性的核心空間／視角，不必勉強看完。
現場觀察清單：
① Mokotowska 店面、救世主廣場、Marszałkowska 社會主義現實主義軸線。
② 走法：從北往南走，碰到有開的咖啡店就休息；不要設定必逛商店。
③ 如果兩人興趣不同，先一起完成核心看點，再各自自由看 15–20 分鐘。</v>
      </c>
      <c r="X16" s="1146" t="str">
        <v>所在區域：Śródmieście。
主行程安排：12/25 下午。
交通：Google Maps 依當日公共交通；市中心優先步行／電車／Metro。
建議和同區餐廳、咖啡／茶館一起安排，減少冬天來回移動。
交通／串聯：Google Maps 依當日公共交通；市中心優先步行／電車／Metro。同區餐飲不在景點頁重複，請回「華沙餐廳／華沙茶咖啡」查看。</v>
      </c>
      <c r="Y16" s="1146" t="str">
        <v>開放／節日：戶外全年；商戶聖誕各自調整。
門票／預約：免費 
拍照：冬季 15:30 後快速變暗；戶外點盡量日照時段，夜景點另排
取捨：先保留五星；時間不足刪三星，再刪重複類型四星。
冬季實戰：戶外全年；商戶聖誕各自調整。；門票／預約：免費 
拍照：冬季 15:30 後快速變暗；戶外點盡量日照時段，夜景點另排
時間不足：先保留五星；時間不足刪三星，再刪重複類型四星。</v>
      </c>
    </row>
    <row r="17" ht="280" customHeight="1">
      <c r="A17" s="1146" t="str">
        <v>Royal Castle in Warsaw</v>
      </c>
      <c r="B17" s="1146" t="str">
        <v>Stare Miasto</v>
      </c>
      <c r="C17" s="1146" t="str">
        <v>皇宮／博物館</v>
      </c>
      <c r="D17" s="1146" t="str">
        <v>2–2.5h</v>
      </c>
      <c r="E17" s="1146" t="str">
        <v>華沙王室與國家史核心景點，內部重建本身就是戰後歷史。</v>
      </c>
      <c r="F17" s="1146" t="str">
        <v>王座廳、大宴會廳、Canaletto 城市畫、皇家公寓。</v>
      </c>
      <c r="G17" s="1146" t="str">
        <v>10:30–12:30 核心參觀；Mariensztat 在城堡後順路短走，超時直接去午餐。</v>
      </c>
      <c r="H17" s="1146" t="str">
        <v>Tue–Sun 10–18；2026 官網明列 12/26 開放，12/24–25/31 關。</v>
      </c>
      <c r="I17" s="1146" t="str">
        <v>票價依路線；音訊導覽可用</v>
      </c>
      <c r="J17" s="1147" t="str">
        <v>❗️</v>
      </c>
      <c r="K17" s="1146" t="str">
        <v>12/26</v>
      </c>
      <c r="L17" s="1146"/>
      <c r="M17" s="1146" t="str">
        <v>https://www.google.com/maps/search/?api=1&amp;query=Royal%20Castle%20Warsaw</v>
      </c>
      <c r="N17" s="1146" t="str">
        <v>https://www.zamek-krolewski.pl/en/godziny-otwarcia-i-ceny-biletow</v>
      </c>
      <c r="O17" s="1148" t="str">
        <v>★★★★★ 必去</v>
      </c>
      <c r="P17" s="1146" t="str">
        <v>12/26 核心室內景點，優先提早入場。</v>
      </c>
      <c r="Q17" s="1146" t="str">
        <v>景點實拍
照片來源：https://www.sestry.eu/statti/istoriya-korolivskogo-zamku-u-varshavi
來源頁實拍；僅作私人行程辨識。</v>
      </c>
      <c r="R17" s="1146" t="str">
        <v>Google Maps 依當日公共交通；市中心優先步行／電車／Metro</v>
      </c>
      <c r="S17" s="1146" t="str">
        <v>冬季 15:30 後快速變暗；戶外點盡量日照時段，夜景點另排</v>
      </c>
      <c r="T17" s="1146" t="str">
        <v>先保留五星；時間不足刪三星，再刪重複類型四星。</v>
      </c>
      <c r="U17" s="1146" t="str">
        <v>皇家城堡既是王室與國家政治史核心，也是戰後重建的象徵。內部很多空間不是『原封不動留下』，而是依歷史資料、藝術品與工藝重新還原，因此看法和一般歐洲古宮殿不同。
為什麼值得：華沙王室與國家史核心景點，內部重建本身就是戰後歷史。
建議停留：2–2.5h。建議先抓主題再看展，不要逐字讀完所有展板。
本次旅行怎樣理解它：華沙王室與國家史核心景點，內部重建本身就是戰後歷史。 建議停留 2–2.5h。不要只完成『到過』，而是先看整體空間，再選 2–3 個真正有興趣的細節深看。</v>
      </c>
      <c r="V17" s="1146" t="str">
        <v>皇家城堡既是王室與國家政治史核心，也是戰後重建的象徵。內部很多空間不是『原封不動留下』，而是依歷史資料、藝術品與工藝重新還原，因此看法和一般歐洲古宮殿不同。
這一站最重要的不是『到此一遊』，而是把它和周邊城市歷史、宗教或街區脈絡一起理解。
城市脈絡：它位於 Stare Miasto，屬於 皇宮／博物館。把它和周邊街區一起看，會比單獨拍一張正面照片更容易理解 華沙 的歷史層次。</v>
      </c>
      <c r="W17" s="1146" t="str">
        <v>必看：王座廳、大宴會廳、Canaletto 城市畫、皇家公寓。
實際走法：10:00 入場，先主線；逛完從 Mariensztat 下坡。
如果只剩 30–45 分鐘，先保留最有代表性的核心空間／視角，不必勉強看完。
現場觀察清單：
① 王座廳、大宴會廳、Canaletto 城市畫、皇家公寓。
② 走法：10:00 入場，先主線；逛完從 Mariensztat 下坡。
③ 如果兩人興趣不同，先一起完成核心看點，再各自自由看 15–20 分鐘。</v>
      </c>
      <c r="X17" s="1146" t="str">
        <v>所在區域：Stare Miasto。
主行程安排：12/26。
交通：Google Maps 依當日公共交通；市中心優先步行／電車／Metro。
建議和同區餐廳、咖啡／茶館一起安排，減少冬天來回移動。
交通／串聯：Google Maps 依當日公共交通；市中心優先步行／電車／Metro。同區餐飲不在景點頁重複，請回「華沙餐廳／華沙茶咖啡」查看。</v>
      </c>
      <c r="Y17" s="1146" t="str">
        <v>開放／節日：Tue–Sun 10–18；2026 官網明列 12/26 開放，12/24–25/31 關。
門票／預約：票價依路線；音訊導覽可用 ❗️
拍照：冬季 15:30 後快速變暗；戶外點盡量日照時段，夜景點另排
取捨：先保留五星；時間不足刪三星，再刪重複類型四星。
冬季實戰：Tue–Sun 10–18；2026 官網明列 12/26 開放，12/24–25/31 關。；門票／預約：票價依路線；音訊導覽可用 ❗️
拍照：冬季 15:30 後快速變暗；戶外點盡量日照時段，夜景點另排
時間不足：先保留五星；時間不足刪三星，再刪重複類型四星。</v>
      </c>
    </row>
    <row r="18" ht="280" customHeight="1">
      <c r="A18" s="1146" t="str">
        <v>Mariensztat</v>
      </c>
      <c r="B18" s="1146" t="str">
        <v>Old Town 下坡</v>
      </c>
      <c r="C18" s="1146" t="str">
        <v>歷史住宅區</v>
      </c>
      <c r="D18" s="1146" t="str">
        <v>30–45m</v>
      </c>
      <c r="E18" s="1146" t="str">
        <v>就在城堡下面卻比老城安靜，適合拍戰後住宅與小廣場。</v>
      </c>
      <c r="F18" s="1146" t="str">
        <v>小廣場、Pastel 外牆、城堡下方視角。</v>
      </c>
      <c r="G18" s="1146" t="str">
        <v>城堡後 12:30–12:50 順路短走；午餐後不折返，雨雪／超時省略。</v>
      </c>
      <c r="H18" s="1146" t="str">
        <v>戶外全年。</v>
      </c>
      <c r="I18" s="1146" t="str">
        <v>免費</v>
      </c>
      <c r="J18" s="1147" t="str"/>
      <c r="K18" s="1146" t="str">
        <v>12/26</v>
      </c>
      <c r="L18" s="1146"/>
      <c r="M18" s="1146" t="str">
        <v>https://www.google.com/maps/search/?api=1&amp;query=Mariensztat%20Warsaw</v>
      </c>
      <c r="N18" s="1146" t="str">
        <v>https://go2warsaw.pl/</v>
      </c>
      <c r="O18" s="1149" t="str">
        <v>★★★★☆ 很推薦</v>
      </c>
      <c r="P18" s="1146" t="str">
        <v>若當天體力與時間足夠就保留；時間不足先刪三星，再刪四星。</v>
      </c>
      <c r="Q18" s="1146" t="str">
        <v>景點實拍
照片來源：https://zyciewarszawy.pl/impreza-plenerowa/art42690491-historie-nieznane-mariensztatu-jeden-z-budynkow-postawiono-w-19-dni-bezplatny-spacer-miejski
來源頁實拍；僅作私人行程辨識。</v>
      </c>
      <c r="R18" s="1146" t="str">
        <v>Google Maps 依當日公共交通；市中心優先步行／電車／Metro</v>
      </c>
      <c r="S18" s="1146" t="str">
        <v>冬季 15:30 後快速變暗；戶外點盡量日照時段，夜景點另排</v>
      </c>
      <c r="T18" s="1146" t="str">
        <v>先保留五星；時間不足刪三星，再刪重複類型四星。</v>
      </c>
      <c r="U18" s="1146" t="str">
        <v>Mariensztat 位在皇家城堡下方，是戰後早期重建的住宅區之一。小廣場、低層住宅與城堡高差形成很強的城市層次，而且遊客遠少於老城主線。
為什麼值得：就在城堡下面卻比老城安靜，適合拍戰後住宅與小廣場。
建議停留：30–45m。把它放回整條城市動線看，比單獨到此一遊更有意思。
本次旅行怎樣理解它：就在城堡下面卻比老城安靜，適合拍戰後住宅與小廣場。 建議停留 30–45m。不要只完成『到過』，而是先看整體空間，再選 2–3 個真正有興趣的細節深看。</v>
      </c>
      <c r="V18" s="1146" t="str">
        <v>Mariensztat 位在皇家城堡下方，是戰後早期重建的住宅區之一。小廣場、低層住宅與城堡高差形成很強的城市層次，而且遊客遠少於老城主線。
這一站最重要的不是『到此一遊』，而是把它和周邊城市歷史、宗教或街區脈絡一起理解。
城市脈絡：它位於 Old Town 下坡，屬於 歷史住宅區。把它和周邊街區一起看，會比單獨拍一張正面照片更容易理解 華沙 的歷史層次。</v>
      </c>
      <c r="W18" s="1146" t="str">
        <v>必看：小廣場、Pastel 外牆、城堡下方視角。
實際走法：城堡出來後一路下坡，之後再回 Nowy Świat 午餐。
如果只剩 30–45 分鐘，先保留最有代表性的核心空間／視角，不必勉強看完。
現場觀察清單：
① 小廣場、Pastel 外牆、城堡下方視角。
② 走法：城堡出來後一路下坡，之後再回 Nowy Świat 午餐。
③ 如果兩人興趣不同，先一起完成核心看點，再各自自由看 15–20 分鐘。</v>
      </c>
      <c r="X18" s="1146" t="str">
        <v>所在區域：Old Town 下坡。
主行程安排：12/26。
交通：Google Maps 依當日公共交通；市中心優先步行／電車／Metro。
建議和同區餐廳、咖啡／茶館一起安排，減少冬天來回移動。
交通／串聯：Google Maps 依當日公共交通；市中心優先步行／電車／Metro。同區餐飲不在景點頁重複，請回「華沙餐廳／華沙茶咖啡」查看。</v>
      </c>
      <c r="Y18" s="1146" t="str">
        <v>開放／節日：戶外全年。
門票／預約：免費 
拍照：冬季 15:30 後快速變暗；戶外點盡量日照時段，夜景點另排
取捨：先保留五星；時間不足刪三星，再刪重複類型四星。
冬季實戰：戶外全年。；門票／預約：免費 
拍照：冬季 15:30 後快速變暗；戶外點盡量日照時段，夜景點另排
時間不足：先保留五星；時間不足刪三星，再刪重複類型四星。</v>
      </c>
    </row>
    <row r="19" ht="280" customHeight="1">
      <c r="A19" s="1146" t="str">
        <v>Museum of Modern Art in Warsaw</v>
      </c>
      <c r="B19" s="1146" t="str">
        <v>Centrum</v>
      </c>
      <c r="C19" s="1146" t="str">
        <v>現代藝術</v>
      </c>
      <c r="D19" s="1146" t="str">
        <v>1.5–2h</v>
      </c>
      <c r="E19" s="1146" t="str">
        <v>新館是 2026 華沙很值得看的建築與展覽節點，也能補足古城／歷史博物館之外的城市面貌。</v>
      </c>
      <c r="F19" s="1146" t="str">
        <v>白色新館、中央樓梯、當期展覽。</v>
      </c>
      <c r="G19" s="1146" t="str">
        <v>14:50–16:20，Marszałkowska 103 新館；午餐後前往，參觀後視體力決定 Praga。</v>
      </c>
      <c r="H19" s="1146" t="str">
        <v>2026 自 7/1：週六 11–19；官網明列 12/24–25 關，12/26 可按週六時段。</v>
      </c>
      <c r="I19" s="1146" t="str">
        <v>展覽票；部分公共區域可自由進</v>
      </c>
      <c r="J19" s="1147" t="str">
        <v>❗️</v>
      </c>
      <c r="K19" s="1146" t="str">
        <v>12/26 下午</v>
      </c>
      <c r="L19" s="1146"/>
      <c r="M19" s="1146" t="str">
        <v>https://www.google.com/maps/search/?api=1&amp;query=Museum%20of%20Modern%20Art%20Warsaw</v>
      </c>
      <c r="N19" s="1146" t="str">
        <v>https://artmuseum.pl/en/visit</v>
      </c>
      <c r="O19" s="1149" t="str">
        <v>★★★★☆ 很推薦</v>
      </c>
      <c r="P19" s="1146" t="str">
        <v>若當天體力與時間足夠就保留；時間不足先刪三星，再刪四星。</v>
      </c>
      <c r="Q19" s="1146" t="str">
        <v>景點實拍
照片來源：https://warbud.pl/en/warbud-news/media-information/museum-of-modern-art-in-warsaw-wins-golden-statuette-in-construction-project-of-the-year-competition
來源頁實拍；僅作私人行程辨識。</v>
      </c>
      <c r="R19" s="1146" t="str">
        <v>Google Maps 依當日公共交通；市中心優先步行／電車／Metro</v>
      </c>
      <c r="S19" s="1146" t="str">
        <v>冬季 15:30 後快速變暗；戶外點盡量日照時段，夜景點另排</v>
      </c>
      <c r="T19" s="1146" t="str">
        <v>先保留五星；時間不足刪三星，再刪重複類型四星。</v>
      </c>
      <c r="U19" s="1146" t="str">
        <v>新館本身就是 2020 年代華沙城市更新的重要作品，適合看古城與王室史之外的當代城市。即使只挑一個展覽，也值得留時間看建築動線與周邊 Central Square。
為什麼值得：新館是 2026 華沙很值得看的建築與展覽節點，也能補足古城／歷史博物館之外的城市面貌。
建議停留：1.5–2h。把它放回整條城市動線看，比單獨到此一遊更有意思。
本次旅行怎樣理解它：新館是 2026 華沙很值得看的建築與展覽節點，也能補足古城／歷史博物館之外的城市面貌。 建議停留 1.5–2h。不要只完成『到過』，而是先看整體空間，再選 2–3 個真正有興趣的細節深看。</v>
      </c>
      <c r="V19" s="1146" t="str">
        <v>新館本身就是 2020 年代華沙城市更新的重要作品，適合看古城與王室史之外的當代城市。即使只挑一個展覽，也值得留時間看建築動線與周邊 Central Square。
這一站最重要的不是『到此一遊』，而是把它和周邊城市歷史、宗教或街區脈絡一起理解。
城市脈絡：它位於 Centrum，屬於 現代藝術。把它和周邊街區一起看，會比單獨拍一張正面照片更容易理解 華沙 的歷史層次。</v>
      </c>
      <c r="W19" s="1146" t="str">
        <v>必看：白色新館、中央樓梯、當期展覽。
實際走法：皇家城堡午餐後搭車過去；只選一個展＋公共空間。
如果只剩 30–45 分鐘，先保留最有代表性的核心空間／視角，不必勉強看完。
現場觀察清單：
① 白色新館、中央樓梯、當期展覽。
② 走法：皇家城堡午餐後搭車過去；只選一個展＋公共空間。
③ 如果兩人興趣不同，先一起完成核心看點，再各自自由看 15–20 分鐘。</v>
      </c>
      <c r="X19" s="1146" t="str">
        <v>所在區域：Centrum。
主行程安排：12/26 下午。
交通：Google Maps 依當日公共交通；市中心優先步行／電車／Metro。
建議和同區餐廳、咖啡／茶館一起安排，減少冬天來回移動。
交通／串聯：Google Maps 依當日公共交通；市中心優先步行／電車／Metro。同區餐飲不在景點頁重複，請回「華沙餐廳／華沙茶咖啡」查看。</v>
      </c>
      <c r="Y19" s="1146" t="str">
        <v>開放／節日：2026 自 7/1：週六 11–19；官網明列 12/24–25 關，12/26 可按週六時段。
門票／預約：展覽票；部分公共區域可自由進 ❗️
拍照：冬季 15:30 後快速變暗；戶外點盡量日照時段，夜景點另排
取捨：先保留五星；時間不足刪三星，再刪重複類型四星。
冬季實戰：2026 自 7/1：週六 11–19；官網明列 12/24–25 關，12/26 可按週六時段。；門票／預約：展覽票；部分公共區域可自由進 ❗️
拍照：冬季 15:30 後快速變暗；戶外點盡量日照時段，夜景點另排
時間不足：先保留五星；時間不足刪三星，再刪重複類型四星。</v>
      </c>
    </row>
    <row r="20" ht="280" customHeight="1">
      <c r="A20" s="1146" t="str">
        <v>Palace of Culture and Science</v>
      </c>
      <c r="B20" s="1146" t="str">
        <v>Centrum</v>
      </c>
      <c r="C20" s="1146" t="str">
        <v>城市地標</v>
      </c>
      <c r="D20" s="1146" t="str">
        <v>30m 外觀</v>
      </c>
      <c r="E20" s="1146" t="str">
        <v>華沙天際線與共產時期城市史的代表。</v>
      </c>
      <c r="F20" s="1146" t="str">
        <v>中央廣場、塔樓外觀、對比新舊城市景觀。</v>
      </c>
      <c r="G20" s="1146" t="str">
        <v>12/26 只看外觀；不用浪費時間等觀景台。</v>
      </c>
      <c r="H20" s="1146" t="str">
        <v>2026 觀景台 12/24–26 關；外觀可看。</v>
      </c>
      <c r="I20" s="1146" t="str">
        <v>外觀免費；觀景台另票</v>
      </c>
      <c r="J20" s="1147" t="str"/>
      <c r="K20" s="1146" t="str">
        <v>12/26</v>
      </c>
      <c r="L20" s="1146"/>
      <c r="M20" s="1146" t="str">
        <v>https://www.google.com/maps/search/?api=1&amp;query=Palace%20of%20Culture%20and%20Science%20Warsaw</v>
      </c>
      <c r="N20" s="1146" t="str">
        <v>https://pkin.pl/en/viewing-terrace/</v>
      </c>
      <c r="O20" s="1150" t="str">
        <v>★★★☆☆ 順路可去</v>
      </c>
      <c r="P20" s="1146" t="str">
        <v>看外觀即可；這趟不需要為觀景台投入太多時間。</v>
      </c>
      <c r="Q20" s="1146" t="str">
        <v>景點實拍
照片來源：https://www.chillizet.pl/podroze/palac-kultury-i-nauki-w-warszawie-jaka-ma-wysokosc-i-jak-go-zwiedzac
來源頁實拍；僅作私人行程辨識。</v>
      </c>
      <c r="R20" s="1146" t="str">
        <v>Google Maps 依當日公共交通；市中心優先步行／電車／Metro</v>
      </c>
      <c r="S20" s="1146" t="str">
        <v>冬季 15:30 後快速變暗；戶外點盡量日照時段，夜景點另排</v>
      </c>
      <c r="T20" s="1146" t="str">
        <v>先保留五星；時間不足刪三星，再刪重複類型四星。</v>
      </c>
      <c r="U20" s="1146" t="str">
        <v>這座高樓是華沙天際線最具爭議也最難忽視的符號，既和蘇聯時代政治有關，也早已融入現代城市生活。這趟不必為觀景台排隊，但值得在地面看它和周邊新高樓的對比。
為什麼值得：華沙天際線與共產時期城市史的代表。
建議停留：30m 外觀。把它放回整條城市動線看，比單獨到此一遊更有意思。
本次旅行怎樣理解它：華沙天際線與共產時期城市史的代表。 建議停留 30m 外觀。不要只完成『到過』，而是先看整體空間，再選 2–3 個真正有興趣的細節深看。</v>
      </c>
      <c r="V20" s="1146" t="str">
        <v>這座高樓是華沙天際線最具爭議也最難忽視的符號，既和蘇聯時代政治有關，也早已融入現代城市生活。這趟不必為觀景台排隊，但值得在地面看它和周邊新高樓的對比。
這一站最重要的不是『到此一遊』，而是把它和周邊城市歷史、宗教或街區脈絡一起理解。
城市脈絡：它位於 Centrum，屬於 城市地標。把它和周邊街區一起看，會比單獨拍一張正面照片更容易理解 華沙 的歷史層次。</v>
      </c>
      <c r="W20" s="1146" t="str">
        <v>必看：中央廣場、塔樓外觀、對比新舊城市景觀。
實際走法：12/26 只看外觀；不用浪費時間等觀景台。
如果只剩 30–45 分鐘，先保留最有代表性的核心空間／視角，不必勉強看完。
現場觀察清單：
① 中央廣場、塔樓外觀、對比新舊城市景觀。
② 走法：12/26 只看外觀；不用浪費時間等觀景台。
③ 如果兩人興趣不同，先一起完成核心看點，再各自自由看 15–20 分鐘。</v>
      </c>
      <c r="X20" s="1146" t="str">
        <v>所在區域：Centrum。
主行程安排：12/26。
交通：Google Maps 依當日公共交通；市中心優先步行／電車／Metro。
建議和同區餐廳、咖啡／茶館一起安排，減少冬天來回移動。
交通／串聯：Google Maps 依當日公共交通；市中心優先步行／電車／Metro。同區餐飲不在景點頁重複，請回「華沙餐廳／華沙茶咖啡」查看。</v>
      </c>
      <c r="Y20" s="1146" t="str">
        <v>開放／節日：2026 觀景台 12/24–26 關；外觀可看。
門票／預約：外觀免費；觀景台另票 
拍照：冬季 15:30 後快速變暗；戶外點盡量日照時段，夜景點另排
取捨：先保留五星；時間不足刪三星，再刪重複類型四星。
冬季實戰：2026 觀景台 12/24–26 關；外觀可看。；門票／預約：外觀免費；觀景台另票 
拍照：冬季 15:30 後快速變暗；戶外點盡量日照時段，夜景點另排
時間不足：先保留五星；時間不足刪三星，再刪重複類型四星。</v>
      </c>
    </row>
    <row r="21" ht="280" customHeight="1">
      <c r="A21" s="1127" t="str">
        <v>Praga: Ząbkowska &amp; Koneser</v>
      </c>
      <c r="B21" s="1127" t="str">
        <v>Praga</v>
      </c>
      <c r="C21" s="1127" t="str">
        <v>街區／工業改造</v>
      </c>
      <c r="D21" s="1127" t="str">
        <v>2–3h</v>
      </c>
      <c r="E21" s="1127" t="str">
        <v>看未被戰爭完全摧毀的街景與近年創意改造，比老城更『真城市』。</v>
      </c>
      <c r="F21" s="1127" t="str">
        <v>Ząbkowska 老樓、Koneser 工業建築、街頭細節。</v>
      </c>
      <c r="G21" s="1127" t="str">
        <v>搭電車過河，先街區再 Koneser；冬天早點回。</v>
      </c>
      <c r="H21" s="1127" t="str">
        <v>戶外可走；店舖聖誕各自調整。</v>
      </c>
      <c r="I21" s="1127" t="str">
        <v>戶外免費</v>
      </c>
      <c r="J21" s="1133" t="str"/>
      <c r="K21" s="1127" t="str">
        <v>備選</v>
      </c>
      <c r="L21" s="1127"/>
      <c r="M21" s="1127" t="str">
        <v>https://www.google.com/maps/search/?api=1&amp;query=Koneser%20Warsaw</v>
      </c>
      <c r="N21" s="1127" t="str">
        <v>https://www.reuters.com/city-memo/warsaw-like-local-2026-04-25/</v>
      </c>
      <c r="O21" s="1130" t="str">
        <v>★★★★☆ 很推薦</v>
      </c>
      <c r="P21" s="1127" t="str">
        <v>若當天體力與時間足夠就保留；時間不足先刪三星，再刪四星。</v>
      </c>
      <c r="Q21" s="1127" t="str">
        <v>景點實拍
照片來源：https://ekompas.pl/polskie-muzeum-wodki-na-zabkowskiej-odkryj-historie-i-smak-narodowego-trunku/
來源頁實拍；僅作私人行程辨識。</v>
      </c>
      <c r="R21" s="1127" t="str">
        <v>Google Maps 依當日公共交通；市中心優先步行／電車／Metro</v>
      </c>
      <c r="S21" s="1127" t="str">
        <v>冬季 15:30 後快速變暗；戶外點盡量日照時段，夜景點另排</v>
      </c>
      <c r="T21" s="1127" t="str">
        <v>先保留五星；時間不足刪三星，再刪重複類型四星。</v>
      </c>
      <c r="U21" s="1127" t="str">
        <v>Praga 在二戰中保存下來的老建築比左岸多，因此街景有不同的真實感。Ząbkowska 的住宅、舊市場文化與 Koneser 工業改造放在一起，最能看出華沙從舊工人區到創意街區的轉變。
為什麼值得：看未被戰爭完全摧毀的街景與近年創意改造，比老城更『真城市』。
建議停留：2–3h。這類地方的重點是路線與生活感，不是單一打卡點；預留彈性比卡死分鐘數更好。
本次旅行怎樣理解它：看未被戰爭完全摧毀的街景與近年創意改造，比老城更『真城市』。 建議停留 2–3h。不要只完成『到過』，而是先看整體空間，再選 2–3 個真正有興趣的細節深看。</v>
      </c>
      <c r="V21" s="1127" t="str">
        <v>Praga 在二戰中保存下來的老建築比左岸多，因此街景有不同的真實感。Ząbkowska 的住宅、舊市場文化與 Koneser 工業改造放在一起，最能看出華沙從舊工人區到創意街區的轉變。
這一站最重要的不是『到此一遊』，而是把它和周邊城市歷史、宗教或街區脈絡一起理解。
城市脈絡：它位於 Praga，屬於 街區／工業改造。把它和周邊街區一起看，會比單獨拍一張正面照片更容易理解 華沙 的歷史層次。</v>
      </c>
      <c r="W21" s="1127" t="str">
        <v>必看：Ząbkowska 老樓、Koneser 工業建築、街頭細節。
實際走法：搭電車過河，先街區再 Koneser；冬天早點回。
如果只剩 30–45 分鐘，先保留最有代表性的核心空間／視角，不必勉強看完。
現場觀察清單：
① Ząbkowska 老樓、Koneser 工業建築、街頭細節。
② 走法：搭電車過河，先街區再 Koneser；冬天早點回。
③ 如果兩人興趣不同，先一起完成核心看點，再各自自由看 15–20 分鐘。</v>
      </c>
      <c r="X21" s="1127" t="str">
        <v>所在區域：Praga。
主行程安排：備選。
交通：Google Maps 依當日公共交通；市中心優先步行／電車／Metro。
建議和同區餐廳、咖啡／茶館一起安排，減少冬天來回移動。
交通／串聯：Google Maps 依當日公共交通；市中心優先步行／電車／Metro。同區餐飲不在景點頁重複，請回「華沙餐廳／華沙茶咖啡」查看。</v>
      </c>
      <c r="Y21" s="1127" t="str">
        <v>開放／節日：戶外可走；店舖聖誕各自調整。
門票／預約：戶外免費 
拍照：冬季 15:30 後快速變暗；戶外點盡量日照時段，夜景點另排
取捨：先保留五星；時間不足刪三星，再刪重複類型四星。
冬季實戰：戶外可走；店舖聖誕各自調整。；門票／預約：戶外免費 
拍照：冬季 15:30 後快速變暗；戶外點盡量日照時段，夜景點另排
時間不足：先保留五星；時間不足刪三星，再刪重複類型四星。</v>
      </c>
    </row>
    <row r="22" ht="280" customHeight="1">
      <c r="A22" s="1127" t="str">
        <v>Wilanów Palace Park</v>
      </c>
      <c r="B22" s="1127" t="str">
        <v>Wilanów</v>
      </c>
      <c r="C22" s="1127" t="str">
        <v>宮苑／備選</v>
      </c>
      <c r="D22" s="1127" t="str">
        <v>2h</v>
      </c>
      <c r="E22" s="1127" t="str">
        <v>若想多一個皇家景觀，可看冬季花園與宮殿外觀。</v>
      </c>
      <c r="F22" s="1127" t="str">
        <v>宮殿正立面、法式花園軸線。</v>
      </c>
      <c r="G22" s="1127" t="str">
        <v>只當半日備選，不塞入四天主行程。</v>
      </c>
      <c r="H22" s="1127" t="str">
        <v>2026 宮殿 12/14–31 關；公園 12/2–31 約 09–15。</v>
      </c>
      <c r="I22" s="1127" t="str">
        <v>公園票／依官方</v>
      </c>
      <c r="J22" s="1133" t="str">
        <v>❗️</v>
      </c>
      <c r="K22" s="1127" t="str">
        <v>備選</v>
      </c>
      <c r="L22" s="1127"/>
      <c r="M22" s="1127" t="str">
        <v>https://www.google.com/maps/search/?api=1&amp;query=Wilan%C3%B3w%20Palace%20Warsaw</v>
      </c>
      <c r="N22" s="1127" t="str">
        <v>https://wilanow-palac.pl/en/opening-hours</v>
      </c>
      <c r="O22" s="1134" t="str">
        <v>★★★☆☆ 順路可去</v>
      </c>
      <c r="P22" s="1127" t="str">
        <v>這趟時間有限，若動線不順可以先刪。</v>
      </c>
      <c r="Q22" s="1127" t="str">
        <v>景點實拍
照片來源：https://e-sklet.wilanow-palac.pl/pl/change/budowa-podpory-pod-winorosl
來源頁實拍；僅作私人行程辨識。</v>
      </c>
      <c r="R22" s="1127" t="str">
        <v>Google Maps 依當日公共交通；市中心優先步行／電車／Metro</v>
      </c>
      <c r="S22" s="1127" t="str">
        <v>冬季 15:30 後快速變暗；戶外點盡量日照時段，夜景點另排</v>
      </c>
      <c r="T22" s="1127" t="str">
        <v>先保留五星；時間不足刪三星，再刪重複類型四星。</v>
      </c>
      <c r="U22" s="1127" t="str">
        <v>Wilanów 是巴洛克王室宮苑，與市中心戰後重建的景點不同，它更偏向郊外宮廷與花園體驗。這趟聖誕期間宮殿開放受限，所以更適合作備選而非核心。
為什麼值得：若想多一個皇家景觀，可看冬季花園與宮殿外觀。
建議停留：2h。先抓主要宮殿／代表空間，再決定是否加支線房間，否則很容易看疲勞。
本次旅行怎樣理解它：若想多一個皇家景觀，可看冬季花園與宮殿外觀。 建議停留 2h。不要只完成『到過』，而是先看整體空間，再選 2–3 個真正有興趣的細節深看。</v>
      </c>
      <c r="V22" s="1127" t="str">
        <v>Wilanów 是巴洛克王室宮苑，與市中心戰後重建的景點不同，它更偏向郊外宮廷與花園體驗。這趟聖誕期間宮殿開放受限，所以更適合作備選而非核心。
這一站最重要的不是『到此一遊』，而是把它和周邊城市歷史、宗教或街區脈絡一起理解。
城市脈絡：它位於 Wilanów，屬於 宮苑／備選。把它和周邊街區一起看，會比單獨拍一張正面照片更容易理解 華沙 的歷史層次。</v>
      </c>
      <c r="W22" s="1127" t="str">
        <v>必看：宮殿正立面、法式花園軸線。
實際走法：只當半日備選，不塞入四天主行程。
如果只剩 30–45 分鐘，先保留最有代表性的核心空間／視角，不必勉強看完。
現場觀察清單：
① 宮殿正立面、法式花園軸線。
② 走法：只當半日備選，不塞入四天主行程。
③ 如果兩人興趣不同，先一起完成核心看點，再各自自由看 15–20 分鐘。</v>
      </c>
      <c r="X22" s="1127" t="str">
        <v>所在區域：Wilanów。
主行程安排：備選。
交通：Google Maps 依當日公共交通；市中心優先步行／電車／Metro。
建議和同區餐廳、咖啡／茶館一起安排，減少冬天來回移動。
交通／串聯：Google Maps 依當日公共交通；市中心優先步行／電車／Metro。同區餐飲不在景點頁重複，請回「華沙餐廳／華沙茶咖啡」查看。</v>
      </c>
      <c r="Y22" s="1127" t="str">
        <v>開放／節日：2026 宮殿 12/14–31 關；公園 12/2–31 約 09–15。
門票／預約：公園票／依官方 ❗️
拍照：冬季 15:30 後快速變暗；戶外點盡量日照時段，夜景點另排
取捨：先保留五星；時間不足刪三星，再刪重複類型四星。
冬季實戰：2026 宮殿 12/14–31 關；公園 12/2–31 約 09–15。；門票／預約：公園票／依官方 ❗️
拍照：冬季 15:30 後快速變暗；戶外點盡量日照時段，夜景點另排
時間不足：先保留五星；時間不足刪三星，再刪重複類型四星。</v>
      </c>
    </row>
    <row r="23" ht="280" customHeight="1">
      <c r="A23" s="1127" t="str">
        <v>Vistula Boulevards / Powiśle</v>
      </c>
      <c r="B23" s="1127" t="str">
        <v>Powiśle</v>
      </c>
      <c r="C23" s="1127" t="str">
        <v>河岸／散步</v>
      </c>
      <c r="D23" s="1127" t="str">
        <v>45–90m</v>
      </c>
      <c r="E23" s="1127" t="str">
        <v>天氣好時看河與城市層次，適合把室內景點之間留白變成有方向的散步。</v>
      </c>
      <c r="F23" s="1127" t="str">
        <v>河岸、橋梁、老城遠景。</v>
      </c>
      <c r="G23" s="1127" t="str">
        <v>冬季只選日照時段，不在強風中硬走。</v>
      </c>
      <c r="H23" s="1127" t="str">
        <v>戶外全年；冬天視結冰／風勢。</v>
      </c>
      <c r="I23" s="1127" t="str">
        <v>免費</v>
      </c>
      <c r="J23" s="1133" t="str"/>
      <c r="K23" s="1127" t="str">
        <v>備選</v>
      </c>
      <c r="L23" s="1127"/>
      <c r="M23" s="1127" t="str">
        <v>https://www.google.com/maps/search/?api=1&amp;query=Vistula%20Boulevards%20Warsaw</v>
      </c>
      <c r="N23" s="1127" t="str">
        <v>https://go2warsaw.pl/</v>
      </c>
      <c r="O23" s="1134" t="str">
        <v>★★★☆☆ 順路可去</v>
      </c>
      <c r="P23" s="1127" t="str">
        <v>若當天體力與時間足夠就保留；時間不足先刪三星，再刪四星。</v>
      </c>
      <c r="Q23" s="1127" t="str">
        <v>景點實拍
照片來源：https://www.poland.travel/ru/glavnye-goroda/varshava-stolitca-polshi
來源頁實拍；僅作私人行程辨識。</v>
      </c>
      <c r="R23" s="1127" t="str">
        <v>Google Maps 依當日公共交通；市中心優先步行／電車／Metro</v>
      </c>
      <c r="S23" s="1127" t="str">
        <v>冬季 15:30 後快速變暗；戶外點盡量日照時段，夜景點另排</v>
      </c>
      <c r="T23" s="1127" t="str">
        <v>先保留五星；時間不足刪三星，再刪重複類型四星。</v>
      </c>
      <c r="U23" s="1127" t="str">
        <v>Vistula 河岸是看華沙『不像傳統中歐古城』的一面：寬河、橋、現代建築與居民散步空間。冬天風大，要把它當天氣好時的短散步，不要硬走。
為什麼值得：天氣好時看河與城市層次，適合把室內景點之間留白變成有方向的散步。
建議停留：45–90m。把它放回整條城市動線看，比單獨到此一遊更有意思。
本次旅行怎樣理解它：天氣好時看河與城市層次，適合把室內景點之間留白變成有方向的散步。 建議停留 45–90m。不要只完成『到過』，而是先看整體空間，再選 2–3 個真正有興趣的細節深看。</v>
      </c>
      <c r="V23" s="1127" t="str">
        <v>Vistula 河岸是看華沙『不像傳統中歐古城』的一面：寬河、橋、現代建築與居民散步空間。冬天風大，要把它當天氣好時的短散步，不要硬走。
這一站最重要的不是『到此一遊』，而是把它和周邊城市歷史、宗教或街區脈絡一起理解。
城市脈絡：它位於 Powiśle，屬於 河岸／散步。把它和周邊街區一起看，會比單獨拍一張正面照片更容易理解 華沙 的歷史層次。</v>
      </c>
      <c r="W23" s="1127" t="str">
        <v>必看：河岸、橋梁、老城遠景。
實際走法：冬季只選日照時段，不在強風中硬走。
如果只剩 30–45 分鐘，先保留最有代表性的核心空間／視角，不必勉強看完。
現場觀察清單：
① 河岸、橋梁、老城遠景。
② 走法：冬季只選日照時段，不在強風中硬走。
③ 如果兩人興趣不同，先一起完成核心看點，再各自自由看 15–20 分鐘。</v>
      </c>
      <c r="X23" s="1127" t="str">
        <v>所在區域：Powiśle。
主行程安排：備選。
交通：Google Maps 依當日公共交通；市中心優先步行／電車／Metro。
建議和同區餐廳、咖啡／茶館一起安排，減少冬天來回移動。
交通／串聯：Google Maps 依當日公共交通；市中心優先步行／電車／Metro。同區餐飲不在景點頁重複，請回「華沙餐廳／華沙茶咖啡」查看。</v>
      </c>
      <c r="Y23" s="1127" t="str">
        <v>開放／節日：戶外全年；冬天視結冰／風勢。
門票／預約：免費 
拍照：冬季 15:30 後快速變暗；戶外點盡量日照時段，夜景點另排
取捨：先保留五星；時間不足刪三星，再刪重複類型四星。
冬季實戰：戶外全年；冬天視結冰／風勢。；門票／預約：免費 
拍照：冬季 15:30 後快速變暗；戶外點盡量日照時段，夜景點另排
時間不足：先保留五星；時間不足刪三星，再刪重複類型四星。</v>
      </c>
    </row>
    <row r="24" ht="280" customHeight="1">
      <c r="A24" s="1146" t="str">
        <v>2026 Christmas Illumination Route</v>
      </c>
      <c r="B24" s="1146" t="str">
        <v>Old Town → New Centre</v>
      </c>
      <c r="C24" s="1146" t="str">
        <v>冬季燈飾／夜拍</v>
      </c>
      <c r="D24" s="1146" t="str">
        <v>1.5–2h</v>
      </c>
      <c r="E24" s="1146" t="str">
        <v>2026 年官方已宣布換成全新燈飾，路線比以往更長，正好填滿 12/24 晚上不適合跑博物館的時段。</v>
      </c>
      <c r="F24" s="1146" t="str">
        <v>Castle Square、Old Town／New Town、Royal Route；官方旅遊組織亦提到延伸至 Chmielna、Złota、Zgoda、Plac Bankowy、Plac Centralny。</v>
      </c>
      <c r="G24" s="1146" t="str">
        <v>晚餐後由 Castle Square 開始，沿 Krakowskie Przedmieście 向南；體力夠再接 Chmielna／Plac Centralny，不必全部走完。</v>
      </c>
      <c r="H24" s="1146" t="str">
        <v>官方 2026-09 已確認 12 月會有全新燈飾；實際亮燈日期／每日時段待更近出發再核對。</v>
      </c>
      <c r="I24" s="1146" t="str">
        <v>免費</v>
      </c>
      <c r="J24" s="1146" t="str"/>
      <c r="K24" s="1146" t="str">
        <v>12/24 晚</v>
      </c>
      <c r="L24" s="1146"/>
      <c r="M24" s="1146" t="str">
        <v>https://www.google.com/maps/search/?api=1&amp;query=Warsaw%20Christmas%20illumination%20Royal%20Route</v>
      </c>
      <c r="N24" s="1146" t="str">
        <v>https://zdm.waw.pl/aktualnosci/takiej-jeszcze-nie-bylo-iluminacja-swiateczna-rozswietli-warszawe/</v>
      </c>
      <c r="O24" s="1148" t="str">
        <v>★★★★★ 必去</v>
      </c>
      <c r="P24" s="1146" t="str">
        <v>12/24 晚優先保留，當作聖誕夜主活動。</v>
      </c>
      <c r="Q24" s="1146" t="str">
        <v>歷年華沙聖誕燈飾實拍（非 2026 活動確認）
照片來源：https://www.werandaweekend.pl/dzieje-sie/zimowe-spacery-w-warszawie-najladniejsze-iluminacje-i-trasy-po-zmroku-20252026
來源頁實拍；僅作私人行程辨識。</v>
      </c>
      <c r="R24" s="1146" t="str">
        <v>Google Maps 依當日公共交通；市中心優先步行／電車／Metro</v>
      </c>
      <c r="S24" s="1146" t="str">
        <v>冬季 15:30 後快速變暗；戶外點盡量日照時段，夜景點另排</v>
      </c>
      <c r="T24" s="1146" t="str">
        <v>先保留五星；時間不足刪三星，再刪重複類型四星。</v>
      </c>
      <c r="U24" s="1146" t="str">
        <v>這條路線本質上是把 Old Town、Royal Route 與新市中心用冬季燈飾重新串起來。平安夜很多室內景點關門，反而最適合用它感受城市節日氣氛。
為什麼值得：2026 年官方已宣布換成全新燈飾，路線比以往更長，正好填滿 12/24 晚上不適合跑博物館的時段。
建議停留：1.5–2h。把它放回整條城市動線看，比單獨到此一遊更有意思。
本次旅行怎樣理解它：2026 年官方已宣布換成全新燈飾，路線比以往更長，正好填滿 12/24 晚上不適合跑博物館的時段。 建議停留 1.5–2h。不要只完成『到過』，而是先看整體空間，再選 2–3 個真正有興趣的細節深看。</v>
      </c>
      <c r="V24" s="1146" t="str">
        <v>這條路線本質上是把 Old Town、Royal Route 與新市中心用冬季燈飾重新串起來。平安夜很多室內景點關門，反而最適合用它感受城市節日氣氛。
這一站最重要的不是『到此一遊』，而是把它和周邊城市歷史、宗教或街區脈絡一起理解。
城市脈絡：它位於 Old Town → New Centre，屬於 冬季燈飾／夜拍。把它和周邊街區一起看，會比單獨拍一張正面照片更容易理解 華沙 的歷史層次。</v>
      </c>
      <c r="W24" s="1146" t="str">
        <v>必看：Castle Square、Old Town／New Town、Royal Route；官方旅遊組織亦提到延伸至 Chmielna、Złota、Zgoda、Plac Bankowy、Plac Centralny。
實際走法：晚餐後由 Castle Square 開始，沿 Krakowskie Przedmieście 向南；體力夠再接 Chmielna／Plac Centralny，不必全部走完。
如果只剩 30–45 分鐘，先保留最有代表性的核心空間／視角，不必勉強看完。
現場觀察清單：
① Castle Square、Old Town／New Town、Royal Route；官方旅遊組織亦提到延伸至 Chmielna、Złota、Zgoda、Plac Bankowy、Plac Centralny。
② 走法：晚餐後由 Castle Square 開始，沿 Krakowskie Przedmieście 向南；體力夠再接 Chmielna／Plac Centralny，不必全部走完。
③ 如果兩人興趣不同，先一起完成核心看點，再各自自由看 15–20 分鐘。</v>
      </c>
      <c r="X24" s="1146" t="str">
        <v>所在區域：Old Town → New Centre。
主行程安排：12/24 晚。
交通：Google Maps 依當日公共交通；市中心優先步行／電車／Metro。
建議和同區餐廳、咖啡／茶館一起安排，減少冬天來回移動。
交通／串聯：Google Maps 依當日公共交通；市中心優先步行／電車／Metro。同區餐飲不在景點頁重複，請回「華沙餐廳／華沙茶咖啡」查看。</v>
      </c>
      <c r="Y24" s="1146" t="str">
        <v>開放／節日：官方 2026-09 已確認 12 月會有全新燈飾；實際亮燈日期／每日時段待更近出發再核對。
門票／預約：免費 
拍照：冬季 15:30 後快速變暗；戶外點盡量日照時段，夜景點另排
取捨：先保留五星；時間不足刪三星，再刪重複類型四星。
冬季實戰：官方 2026-09 已確認 12 月會有全新燈飾；實際亮燈日期／每日時段待更近出發再核對。；門票／預約：免費 
拍照：冬季 15:30 後快速變暗；戶外點盡量日照時段，夜景點另排
時間不足：先保留五星；時間不足刪三星，再刪重複類型四星。</v>
      </c>
    </row>
    <row r="25" ht="280" customHeight="1">
      <c r="A25" s="1127" t="str">
        <v>Warsaw Rising Museum</v>
      </c>
      <c r="B25" s="1127" t="str">
        <v>Wola</v>
      </c>
      <c r="C25" s="1127" t="str">
        <v>博物館／二戰城市史</v>
      </c>
      <c r="D25" s="1127" t="str">
        <v>2–2.5h</v>
      </c>
      <c r="E25" s="1127" t="str">
        <v>如果你想理解『華沙為何在戰後幾乎重建』，這是最直接的城市史博物館之一；與 POLIN 的視角不同。</v>
      </c>
      <c r="F25" s="1127" t="str">
        <v>1944 起義時間線、地下印刷、城市毀壞與平民經驗；展覽密度很高。</v>
      </c>
      <c r="G25" s="1127" t="str">
        <v>不要逐字讀完；先跟主時間線，再挑 3–4 個空間深看，否則容易超過 3 小時。</v>
      </c>
      <c r="H25" s="1127" t="str">
        <v>一般 Mon 08–18；Tue 關；Wed–Fri 08–18；Sat–Sun 10–18。官方 FAQ 表示第一個聖誕日關閉；2026 12/24–26 仍以臨近公告為準。</v>
      </c>
      <c r="I25" s="1127" t="str">
        <v>正常票約 35 PLN；可網購</v>
      </c>
      <c r="J25" s="1129" t="str">
        <v>❗️</v>
      </c>
      <c r="K25" s="1127" t="str">
        <v>備選</v>
      </c>
      <c r="L25" s="1127"/>
      <c r="M25" s="1127" t="str">
        <v>https://www.google.com/maps/search/?api=1&amp;query=Warsaw%20Rising%20Museum%20Warsaw</v>
      </c>
      <c r="N25" s="1127" t="str">
        <v>https://www.1944.pl/en/article/visit-us%2C4993.html</v>
      </c>
      <c r="O25" s="1130" t="str">
        <v>★★★★☆ 很推薦</v>
      </c>
      <c r="P25" s="1127" t="str">
        <v>有歷史興趣非常值得，但這趟 12/23 已有 POLIN；除非加長華沙，不硬塞。</v>
      </c>
      <c r="Q25" s="1127"/>
      <c r="R25" s="1127" t="str">
        <v>M2 Rondo Daszyńskiego＋步行</v>
      </c>
      <c r="S25" s="1127" t="str">
        <v>開館後 1 小時內；室內拍攝注意標示</v>
      </c>
      <c r="T25" s="1127" t="str">
        <v>時間不夠先保留 POLIN；這間放下次或把 Praga 換掉。</v>
      </c>
      <c r="U25" s="1127" t="str">
        <v>這館聚焦 1944 年華沙起義，用大量聲音、影像、日記與城市模型把軍事事件和平民生活放在一起。展覽很密，最好帶著『理解城市為何被毀與如何記憶』的主題去看。
為什麼值得：如果你想理解『華沙為何在戰後幾乎重建』，這是最直接的城市史博物館之一；與 POLIN 的視角不同。
建議停留：2–2.5h。建議先抓主題再看展，不要逐字讀完所有展板。
本次旅行怎樣理解它：如果你想理解『華沙為何在戰後幾乎重建』，這是最直接的城市史博物館之一；與 POLIN 的視角不同。 建議停留 2–2.5h。不要只完成『到過』，而是先看整體空間，再選 2–3 個真正有興趣的細節深看。</v>
      </c>
      <c r="V25" s="1127" t="str">
        <v>這館聚焦 1944 年華沙起義，用大量聲音、影像、日記與城市模型把軍事事件和平民生活放在一起。展覽很密，最好帶著『理解城市為何被毀與如何記憶』的主題去看。
這一站最重要的不是『到此一遊』，而是把它和周邊城市歷史、宗教或街區脈絡一起理解。
城市脈絡：它位於 Wola，屬於 博物館／二戰城市史。把它和周邊街區一起看，會比單獨拍一張正面照片更容易理解 華沙 的歷史層次。</v>
      </c>
      <c r="W25" s="1127" t="str">
        <v>必看：1944 起義時間線、地下印刷、城市毀壞與平民經驗；展覽密度很高。
實際走法：不要逐字讀完；先跟主時間線，再挑 3–4 個空間深看，否則容易超過 3 小時。
如果只剩 30–45 分鐘，先保留最有代表性的核心空間／視角，不必勉強看完。
現場觀察清單：
① 1944 起義時間線、地下印刷、城市毀壞與平民經驗；展覽密度很高。
② 走法：不要逐字讀完；先跟主時間線，再挑 3–4 個空間深看，否則容易超過 3 小時。
③ 如果兩人興趣不同，先一起完成核心看點，再各自自由看 15–20 分鐘。</v>
      </c>
      <c r="X25" s="1127" t="str">
        <v>所在區域：Wola。
主行程安排：備選。
交通：M2 Rondo Daszyńskiego＋步行。
建議和同區餐廳、咖啡／茶館一起安排，減少冬天來回移動。
交通／串聯：M2 Rondo Daszyńskiego＋步行。同區餐飲不在景點頁重複，請回「華沙餐廳／華沙茶咖啡」查看。</v>
      </c>
      <c r="Y25" s="1127" t="str">
        <v>開放／節日：一般 Mon 08–18；Tue 關；Wed–Fri 08–18；Sat–Sun 10–18。官方 FAQ 表示第一個聖誕日關閉；2026 12/24–26 仍以臨近公告為準。
門票／預約：正常票約 35 PLN；可網購 ❗️
拍照：開館後 1 小時內；室內拍攝注意標示
取捨：時間不夠先保留 POLIN；這間放下次或把 Praga 換掉。
冬季實戰：一般 Mon 08–18；Tue 關；Wed–Fri 08–18；Sat–Sun 10–18。官方 FAQ 表示第一個聖誕日關閉；2026 12/24–26 仍以臨近公告為準。；門票／預約：正常票約 35 PLN；可網購 ❗️
拍照：開館後 1 小時內；室內拍攝注意標示
時間不足：時間不夠先保留 POLIN；這間放下次或把 Praga 換掉。</v>
      </c>
    </row>
    <row r="26" ht="280" customHeight="1">
      <c r="A26" s="1127" t="str">
        <v>Museum of Warsaw</v>
      </c>
      <c r="B26" s="1127" t="str">
        <v>Old Town Market Square</v>
      </c>
      <c r="C26" s="1127" t="str">
        <v>城市史博物館</v>
      </c>
      <c r="D26" s="1127" t="str">
        <v>1.5–2.5h</v>
      </c>
      <c r="E26" s="1127" t="str">
        <v>不是只看『漂亮老城』，而是從物件、房屋與市民生活理解華沙怎樣形成。</v>
      </c>
      <c r="F26" s="1127" t="str">
        <v>Old Town 市民物件、城市模型、觀景／建築細節；適合已在市場廣場時順路進。</v>
      </c>
      <c r="G26" s="1127" t="str">
        <v>只挑核心展，不需要把所有樓層逐件看；和老城市場一起排。</v>
      </c>
      <c r="H26" s="1127" t="str">
        <v>2026 官方：Tue/Wed/Fri 09–17；Thu 09–19；Sat/Sun 11–18；12/24–26、12/31 關。</v>
      </c>
      <c r="I26" s="1127" t="str">
        <v>核心展普通票約 25 PLN</v>
      </c>
      <c r="J26" s="1129" t="str">
        <v>❗️</v>
      </c>
      <c r="K26" s="1127" t="str">
        <v>12/23 備選</v>
      </c>
      <c r="L26" s="1127"/>
      <c r="M26" s="1127" t="str">
        <v>https://www.google.com/maps/search/?api=1&amp;query=Museum%20of%20Warsaw%20Old%20Town%20Market%20Square%20Warsaw</v>
      </c>
      <c r="N26" s="1127" t="str">
        <v>https://muzeumwarszawy.pl/en/visit/</v>
      </c>
      <c r="O26" s="1130" t="str">
        <v>★★★★☆ 很推薦</v>
      </c>
      <c r="P26" s="1127" t="str">
        <v>如果 12/23 POLIN 看完仍有精神，可換走部分散步；12/24–26 不能用作雨天備案。</v>
      </c>
      <c r="Q26" s="1127"/>
      <c r="R26" s="1127" t="str">
        <v>Tram/Bus Stare Miasto</v>
      </c>
      <c r="S26" s="1127" t="str">
        <v>市場廣場早上人少；館內最後 1 小時別趕</v>
      </c>
      <c r="T26" s="1127" t="str">
        <v>聖誕三天關門，所以主行程不依賴它。</v>
      </c>
      <c r="U26" s="1127" t="str">
        <v>博物館就在 Old Town Market Square 的歷史房屋內，核心不是大事件，而是透過日常物件、城市碎片和居民故事講華沙。適合已經看過 POLIN、Royal Castle 後補足『普通人的城市』。
為什麼值得：不是只看『漂亮老城』，而是從物件、房屋與市民生活理解華沙怎樣形成。
建議停留：1.5–2.5h。建議先抓主題再看展，不要逐字讀完所有展板。
本次旅行怎樣理解它：不是只看『漂亮老城』，而是從物件、房屋與市民生活理解華沙怎樣形成。 建議停留 1.5–2.5h。不要只完成『到過』，而是先看整體空間，再選 2–3 個真正有興趣的細節深看。</v>
      </c>
      <c r="V26" s="1127" t="str">
        <v>博物館就在 Old Town Market Square 的歷史房屋內，核心不是大事件，而是透過日常物件、城市碎片和居民故事講華沙。適合已經看過 POLIN、Royal Castle 後補足『普通人的城市』。
這一站最重要的不是『到此一遊』，而是把它和周邊城市歷史、宗教或街區脈絡一起理解。
城市脈絡：它位於 Old Town Market Square，屬於 城市史博物館。把它和周邊街區一起看，會比單獨拍一張正面照片更容易理解 華沙 的歷史層次。</v>
      </c>
      <c r="W26" s="1127" t="str">
        <v>必看：Old Town 市民物件、城市模型、觀景／建築細節；適合已在市場廣場時順路進。
實際走法：只挑核心展，不需要把所有樓層逐件看；和老城市場一起排。
如果只剩 30–45 分鐘，先保留最有代表性的核心空間／視角，不必勉強看完。
現場觀察清單：
① Old Town 市民物件、城市模型、觀景／建築細節；適合已在市場廣場時順路進。
② 走法：只挑核心展，不需要把所有樓層逐件看；和老城市場一起排。
③ 如果兩人興趣不同，先一起完成核心看點，再各自自由看 15–20 分鐘。</v>
      </c>
      <c r="X26" s="1127" t="str">
        <v>所在區域：Old Town Market Square。
主行程安排：12/23 備選。
交通：Tram/Bus Stare Miasto。
建議和同區餐廳、咖啡／茶館一起安排，減少冬天來回移動。
交通／串聯：Tram/Bus Stare Miasto。同區餐飲不在景點頁重複，請回「華沙餐廳／華沙茶咖啡」查看。</v>
      </c>
      <c r="Y26" s="1127" t="str">
        <v>開放／節日：2026 官方：Tue/Wed/Fri 09–17；Thu 09–19；Sat/Sun 11–18；12/24–26、12/31 關。
門票／預約：核心展普通票約 25 PLN ❗️
拍照：市場廣場早上人少；館內最後 1 小時別趕
取捨：聖誕三天關門，所以主行程不依賴它。
冬季實戰：2026 官方：Tue/Wed/Fri 09–17；Thu 09–19；Sat/Sun 11–18；12/24–26、12/31 關。；門票／預約：核心展普通票約 25 PLN ❗️
拍照：市場廣場早上人少；館內最後 1 小時別趕
時間不足：聖誕三天關門，所以主行程不依賴它。</v>
      </c>
    </row>
    <row r="27" ht="280" customHeight="1">
      <c r="A27" s="1127" t="str">
        <v>Fryderyk Chopin Museum</v>
      </c>
      <c r="B27" s="1127" t="str">
        <v>Powiśle</v>
      </c>
      <c r="C27" s="1127" t="str">
        <v>音樂／人物博物館</v>
      </c>
      <c r="D27" s="1127" t="str">
        <v>1.25–1.75h</v>
      </c>
      <c r="E27" s="1127" t="str">
        <v>想把『蕭邦＝華沙文化記憶』從一座公園雕像變成完整故事，這館最有效。</v>
      </c>
      <c r="F27" s="1127" t="str">
        <v>手稿、書信、鋼琴／音樂互動、作曲家生平與華沙連結。</v>
      </c>
      <c r="G27" s="1127" t="str">
        <v>如果不是古典樂迷，不要停太久；選出生、華沙、巴黎三段看。</v>
      </c>
      <c r="H27" s="1127" t="str">
        <v>常規開放與節日時段會調整；2026 聖誕最終安排需近出發再核對。</v>
      </c>
      <c r="I27" s="1127" t="str">
        <v>需票；熱門時段可先買</v>
      </c>
      <c r="J27" s="1129" t="str">
        <v>❗️</v>
      </c>
      <c r="K27" s="1127" t="str">
        <v>備選</v>
      </c>
      <c r="L27" s="1127"/>
      <c r="M27" s="1127" t="str">
        <v>https://www.google.com/maps/search/?api=1&amp;query=Fryderyk%20Chopin%20Museum%20Warsaw</v>
      </c>
      <c r="N27" s="1127" t="str">
        <v>https://muzeum.nifc.pl/en/</v>
      </c>
      <c r="O27" s="1130" t="str">
        <v>★★★★☆ 很推薦</v>
      </c>
      <c r="P27" s="1127" t="str">
        <v>喜歡音樂就比 MSN 更值得；不是樂迷則保留戶外 Chopin Monument 即可。</v>
      </c>
      <c r="Q27" s="1127" t="str">
        <v>景點實拍
照片來源：https://www.lonelyplanet.com/destinations/poland/warsaw
來源頁實拍；僅作私人行程辨識。</v>
      </c>
      <c r="R27" s="1127" t="str">
        <v>Nowy Świat-Uniwersytet／Powiśle 一帶</v>
      </c>
      <c r="S27" s="1127" t="str">
        <v>冬天下午進館最舒服；外觀可順路拍</v>
      </c>
      <c r="T27" s="1127" t="str">
        <v>時間不足：只去 Holy Cross Church＋Łazienki Chopin Monument。</v>
      </c>
      <c r="U27" s="1127" t="str">
        <v>蕭邦博物館把作曲家的手稿、書信、樂器與城市記憶放在一起，對音樂迷很有價值。不是樂迷也能用一小時理解他與華沙的關係。
為什麼值得：想把『蕭邦＝華沙文化記憶』從一座公園雕像變成完整故事，這館最有效。
建議停留：1.25–1.75h。建議先抓主題再看展，不要逐字讀完所有展板。
本次旅行怎樣理解它：想把『蕭邦＝華沙文化記憶』從一座公園雕像變成完整故事，這館最有效。 建議停留 1.25–1.75h。不要只完成『到過』，而是先看整體空間，再選 2–3 個真正有興趣的細節深看。</v>
      </c>
      <c r="V27" s="1127" t="str">
        <v>蕭邦博物館把作曲家的手稿、書信、樂器與城市記憶放在一起，對音樂迷很有價值。不是樂迷也能用一小時理解他與華沙的關係。
這一站最重要的不是『到此一遊』，而是把它和周邊城市歷史、宗教或街區脈絡一起理解。
城市脈絡：它位於 Powiśle，屬於 音樂／人物博物館。把它和周邊街區一起看，會比單獨拍一張正面照片更容易理解 華沙 的歷史層次。</v>
      </c>
      <c r="W27" s="1127" t="str">
        <v>必看：手稿、書信、鋼琴／音樂互動、作曲家生平與華沙連結。
實際走法：如果不是古典樂迷，不要停太久；選出生、華沙、巴黎三段看。
如果只剩 30–45 分鐘，先保留最有代表性的核心空間／視角，不必勉強看完。
現場觀察清單：
① 手稿、書信、鋼琴／音樂互動、作曲家生平與華沙連結。
② 走法：如果不是古典樂迷，不要停太久；選出生、華沙、巴黎三段看。
③ 如果兩人興趣不同，先一起完成核心看點，再各自自由看 15–20 分鐘。</v>
      </c>
      <c r="X27" s="1127" t="str">
        <v>所在區域：Powiśle。
主行程安排：備選。
交通：Nowy Świat-Uniwersytet／Powiśle 一帶。
建議和同區餐廳、咖啡／茶館一起安排，減少冬天來回移動。
交通／串聯：Nowy Świat-Uniwersytet／Powiśle 一帶。同區餐飲不在景點頁重複，請回「華沙餐廳／華沙茶咖啡」查看。</v>
      </c>
      <c r="Y27" s="1127" t="str">
        <v>開放／節日：常規開放與節日時段會調整；2026 聖誕最終安排需近出發再核對。
門票／預約：需票；熱門時段可先買 ❗️
拍照：冬天下午進館最舒服；外觀可順路拍
取捨：時間不足：只去 Holy Cross Church＋Łazienki Chopin Monument。
冬季實戰：常規開放與節日時段會調整；2026 聖誕最終安排需近出發再核對。；門票／預約：需票；熱門時段可先買 ❗️
拍照：冬天下午進館最舒服；外觀可順路拍
時間不足：時間不足：只去 Holy Cross Church＋Łazienki Chopin Monument。</v>
      </c>
    </row>
    <row r="28" ht="280" customHeight="1">
      <c r="A28" s="1146" t="str">
        <v>Holy Cross Church</v>
      </c>
      <c r="B28" s="1146" t="str">
        <v>Royal Route</v>
      </c>
      <c r="C28" s="1146" t="str">
        <v>教堂／蕭邦故事</v>
      </c>
      <c r="D28" s="1146" t="str">
        <v>20–30m</v>
      </c>
      <c r="E28" s="1146" t="str">
        <v>教堂本身就在皇家大道，最特別是蕭邦心臟安放於柱內；不必繞路就能補足文化故事。</v>
      </c>
      <c r="F28" s="1146" t="str">
        <v>Chopin heart pillar、巴洛克內部、教堂外立面。</v>
      </c>
      <c r="G28" s="1146" t="str">
        <v>皇家大道一路向南時進去 15–20 分鐘即可；遇彌撒就安靜縮短參觀。</v>
      </c>
      <c r="H28" s="1146" t="str">
        <v>宗教場所依彌撒與節日調整；一般免費進入。</v>
      </c>
      <c r="I28" s="1146" t="str">
        <v>免費；禮拜時間尊重宗教活動</v>
      </c>
      <c r="J28" s="1146"/>
      <c r="K28" s="1146" t="str">
        <v>12/24 皇家大道</v>
      </c>
      <c r="L28" s="1146"/>
      <c r="M28" s="1146" t="str">
        <v>https://www.google.com/maps/search/?api=1&amp;query=Holy%20Cross%20Church%20Krakowskie%20Przedmie%C5%9Bcie%20Warsaw</v>
      </c>
      <c r="N28" s="1146" t="str">
        <v>https://go2warsaw.pl/</v>
      </c>
      <c r="O28" s="1149" t="str">
        <v>★★★★☆ 很推薦</v>
      </c>
      <c r="P28" s="1146" t="str">
        <v>幾乎零額外交通成本，值得加進皇家大道，不用另排半天。</v>
      </c>
      <c r="Q28" s="1146"/>
      <c r="R28" s="1146" t="str">
        <v>Nowy Świat-Uniwersytet M2</v>
      </c>
      <c r="S28" s="1146" t="str">
        <v>上午／藍調前；室內勿干擾禮拜</v>
      </c>
      <c r="T28" s="1146" t="str">
        <v>只有 10 分鐘也值得進去找蕭邦心臟紀念柱。</v>
      </c>
      <c r="U28" s="1146" t="str">
        <v>聖十字教堂是皇家大道上的重要宗教建築，也因蕭邦心臟安放在教堂柱內而成為音樂旅行的重要節點。它不需要專程排半天，順路進去反而最好。
為什麼值得：教堂本身就在皇家大道，最特別是蕭邦心臟安放於柱內；不必繞路就能補足文化故事。
建議停留：20–30m。屬於仍有宗教功能的空間，衣著、禮拜與安靜參觀比拍照優先。
本次旅行怎樣理解它：教堂本身就在皇家大道，最特別是蕭邦心臟安放於柱內；不必繞路就能補足文化故事。 建議停留 20–30m。不要只完成『到過』，而是先看整體空間，再選 2–3 個真正有興趣的細節深看。</v>
      </c>
      <c r="V28" s="1146" t="str">
        <v>聖十字教堂是皇家大道上的重要宗教建築，也因蕭邦心臟安放在教堂柱內而成為音樂旅行的重要節點。它不需要專程排半天，順路進去反而最好。
這一站最重要的不是『到此一遊』，而是把它和周邊城市歷史、宗教或街區脈絡一起理解。
城市脈絡：它位於 Royal Route，屬於 教堂／蕭邦故事。把它和周邊街區一起看，會比單獨拍一張正面照片更容易理解 華沙 的歷史層次。</v>
      </c>
      <c r="W28" s="1146" t="str">
        <v>必看：Chopin heart pillar、巴洛克內部、教堂外立面。
實際走法：皇家大道一路向南時進去 15–20 分鐘即可；遇彌撒就安靜縮短參觀。
如果只剩 30–45 分鐘，先保留最有代表性的核心空間／視角，不必勉強看完。
現場觀察清單：
① Chopin heart pillar、巴洛克內部、教堂外立面。
② 走法：皇家大道一路向南時進去 15–20 分鐘即可；遇彌撒就安靜縮短參觀。
③ 如果兩人興趣不同，先一起完成核心看點，再各自自由看 15–20 分鐘。</v>
      </c>
      <c r="X28" s="1146" t="str">
        <v>所在區域：Royal Route。
主行程安排：12/24 皇家大道。
交通：Nowy Świat-Uniwersytet M2。
建議和同區餐廳、咖啡／茶館一起安排，減少冬天來回移動。
交通／串聯：Nowy Świat-Uniwersytet M2。同區餐飲不在景點頁重複，請回「華沙餐廳／華沙茶咖啡」查看。</v>
      </c>
      <c r="Y28" s="1146" t="str">
        <v>開放／節日：宗教場所依彌撒與節日調整；一般免費進入。
門票／預約：免費；禮拜時間尊重宗教活動 
拍照：上午／藍調前；室內勿干擾禮拜
取捨：只有 10 分鐘也值得進去找蕭邦心臟紀念柱。
冬季實戰：宗教場所依彌撒與節日調整；一般免費進入。；門票／預約：免費；禮拜時間尊重宗教活動 
拍照：上午／藍調前；室內勿干擾禮拜
時間不足：只有 10 分鐘也值得進去找蕭邦心臟紀念柱。</v>
      </c>
    </row>
    <row r="29" ht="280" customHeight="1">
      <c r="A29" s="1127" t="str">
        <v>Nożyk Synagogue</v>
      </c>
      <c r="B29" s="1127" t="str">
        <v>Śródmieście</v>
      </c>
      <c r="C29" s="1127" t="str">
        <v>宗教／猶太歷史</v>
      </c>
      <c r="D29" s="1127" t="str">
        <v>30–45m</v>
      </c>
      <c r="E29" s="1127" t="str">
        <v>華沙戰前猶太城市生活少數仍存的重要宗教建築，能和 POLIN／Muranów 形成不同層次。</v>
      </c>
      <c r="F29" s="1127" t="str">
        <v>內部禱告空間、歷史建築、Grzybowski Square 周邊猶太記憶。</v>
      </c>
      <c r="G29" s="1127" t="str">
        <v>不要把它當純拍照景點；先核對訪客時段與宗教活動，再配 Próżna／Grzybowski Square。</v>
      </c>
      <c r="H29" s="1127" t="str">
        <v>訪客時段、安息日與節日限制會變動；出發前再核對。</v>
      </c>
      <c r="I29" s="1127" t="str">
        <v>可能需門票／安檢；視當日規定</v>
      </c>
      <c r="J29" s="1129" t="str">
        <v>❗️</v>
      </c>
      <c r="K29" s="1127" t="str">
        <v>12/23 備選</v>
      </c>
      <c r="L29" s="1127"/>
      <c r="M29" s="1127" t="str">
        <v>https://www.google.com/maps/search/?api=1&amp;query=No%C5%BCyk%20Synagogue%20Warsaw</v>
      </c>
      <c r="N29" s="1127" t="str">
        <v>https://warszawa.jewish.org.pl/</v>
      </c>
      <c r="O29" s="1130" t="str">
        <v>★★★★☆ 很推薦</v>
      </c>
      <c r="P29" s="1127" t="str">
        <v>POLIN 後如果還想看『活著的宗教空間』，比再加一個博物館更有層次。</v>
      </c>
      <c r="Q29" s="1127"/>
      <c r="R29" s="1127" t="str">
        <v>Rondo ONZ M2／Centrum</v>
      </c>
      <c r="S29" s="1127" t="str">
        <v>白天；尊重服裝與禮拜規定</v>
      </c>
      <c r="T29" s="1127" t="str">
        <v>時間不足就只走 Próżna＋Grzybowski Square。</v>
      </c>
      <c r="U29" s="1127" t="str">
        <v>Nożyk 是華沙少數保存下來並延續宗教功能的戰前猶太會堂之一。和 POLIN 的博物館敘事不同，這裡更接近仍在使用的宗教空間與社群記憶。
為什麼值得：華沙戰前猶太城市生活少數仍存的重要宗教建築，能和 POLIN／Muranów 形成不同層次。
建議停留：30–45m。屬於仍有宗教功能的空間，衣著、禮拜與安靜參觀比拍照優先。
本次旅行怎樣理解它：華沙戰前猶太城市生活少數仍存的重要宗教建築，能和 POLIN／Muranów 形成不同層次。 建議停留 30–45m。不要只完成『到過』，而是先看整體空間，再選 2–3 個真正有興趣的細節深看。</v>
      </c>
      <c r="V29" s="1127" t="str">
        <v>Nożyk 是華沙少數保存下來並延續宗教功能的戰前猶太會堂之一。和 POLIN 的博物館敘事不同，這裡更接近仍在使用的宗教空間與社群記憶。
這一站最重要的不是『到此一遊』，而是把它和周邊城市歷史、宗教或街區脈絡一起理解。
城市脈絡：它位於 Śródmieście，屬於 宗教／猶太歷史。把它和周邊街區一起看，會比單獨拍一張正面照片更容易理解 華沙 的歷史層次。</v>
      </c>
      <c r="W29" s="1127" t="str">
        <v>必看：內部禱告空間、歷史建築、Grzybowski Square 周邊猶太記憶。
實際走法：不要把它當純拍照景點；先核對訪客時段與宗教活動，再配 Próżna／Grzybowski Square。
如果只剩 30–45 分鐘，先保留最有代表性的核心空間／視角，不必勉強看完。
現場觀察清單：
① 內部禱告空間、歷史建築、Grzybowski Square 周邊猶太記憶。
② 走法：不要把它當純拍照景點；先核對訪客時段與宗教活動，再配 Próżna／Grzybowski Square。
③ 如果兩人興趣不同，先一起完成核心看點，再各自自由看 15–20 分鐘。</v>
      </c>
      <c r="X29" s="1127" t="str">
        <v>所在區域：Śródmieście。
主行程安排：12/23 備選。
交通：Rondo ONZ M2／Centrum。
建議和同區餐廳、咖啡／茶館一起安排，減少冬天來回移動。
交通／串聯：Rondo ONZ M2／Centrum。同區餐飲不在景點頁重複，請回「華沙餐廳／華沙茶咖啡」查看。</v>
      </c>
      <c r="Y29" s="1127" t="str">
        <v>開放／節日：訪客時段、安息日與節日限制會變動；出發前再核對。
門票／預約：可能需門票／安檢；視當日規定 ❗️
拍照：白天；尊重服裝與禮拜規定
取捨：時間不足就只走 Próżna＋Grzybowski Square。
冬季實戰：訪客時段、安息日與節日限制會變動；出發前再核對。；門票／預約：可能需門票／安檢；視當日規定 ❗️
拍照：白天；尊重服裝與禮拜規定
時間不足：時間不足就只走 Próżna＋Grzybowski Square。</v>
      </c>
    </row>
    <row r="30" ht="280" customHeight="1">
      <c r="A30" s="1127" t="str">
        <v>Copernicus Science Centre</v>
      </c>
      <c r="B30" s="1127" t="str">
        <v>Powiśle</v>
      </c>
      <c r="C30" s="1127" t="str">
        <v>互動科學館</v>
      </c>
      <c r="D30" s="1127" t="str">
        <v>2.5–3.5h</v>
      </c>
      <c r="E30" s="1127" t="str">
        <v>超大型互動科學中心，雨雪天很好用，但它不是第一次華沙最有城市特色的景點。</v>
      </c>
      <c r="F30" s="1127" t="str">
        <v>400+ 互動展項、高壓劇場、機器人劇場；天台花園冬季 11–4 月關閉。</v>
      </c>
      <c r="G30" s="1127" t="str">
        <v>預約時間票後只挑 2–3 個主題區；不建議和老城同日硬塞。</v>
      </c>
      <c r="H30" s="1127" t="str">
        <v>2026 官方：Mon–Thu 09–18、Fri 09–20、Sat–Sun 09–19；12/24–26 關。</v>
      </c>
      <c r="I30" s="1127" t="str">
        <v>時間票；官網建議網購</v>
      </c>
      <c r="J30" s="1129" t="str">
        <v>❗️</v>
      </c>
      <c r="K30" s="1127" t="str">
        <v>備選</v>
      </c>
      <c r="L30" s="1127"/>
      <c r="M30" s="1127" t="str">
        <v>https://www.google.com/maps/search/?api=1&amp;query=Copernicus%20Science%20Centre%20Warsaw</v>
      </c>
      <c r="N30" s="1127" t="str">
        <v>https://www.kopernik.org.pl/en/visit/opening-hours</v>
      </c>
      <c r="O30" s="1134" t="str">
        <v>★★★☆☆ 順路可去</v>
      </c>
      <c r="P30" s="1127" t="str">
        <v>很好玩但 12/24–26 官方關門，這次旅行可用性低，除非 12/23 改行程。</v>
      </c>
      <c r="Q30" s="1127" t="str">
        <v>景點實拍
照片來源：https://culturalheritageonline.com/places/copernicus-science-centre/
來源頁實拍；僅作私人行程辨識。</v>
      </c>
      <c r="R30" s="1127" t="str">
        <v>M2 Centrum Nauki Kopernik</v>
      </c>
      <c r="S30" s="1127" t="str">
        <v>冬天只看室內；天台花園不用安排</v>
      </c>
      <c r="T30" s="1127" t="str">
        <v>時間不足直接刪，不影響第一次華沙完整度。</v>
      </c>
      <c r="U30" s="1127" t="str">
        <v>這是一座大型互動科學中心，重點是動手玩而不是看展板。它很適合家庭或雨雪天，但對第一次短住華沙而言，城市歷史與街區優先級更高。
為什麼值得：超大型互動科學中心，雨雪天很好用，但它不是第一次華沙最有城市特色的景點。
建議停留：2.5–3.5h。把它放回整條城市動線看，比單獨到此一遊更有意思。
本次旅行怎樣理解它：超大型互動科學中心，雨雪天很好用，但它不是第一次華沙最有城市特色的景點。 建議停留 2.5–3.5h。不要只完成『到過』，而是先看整體空間，再選 2–3 個真正有興趣的細節深看。</v>
      </c>
      <c r="V30" s="1127" t="str">
        <v>這是一座大型互動科學中心，重點是動手玩而不是看展板。它很適合家庭或雨雪天，但對第一次短住華沙而言，城市歷史與街區優先級更高。
這一站最重要的不是『到此一遊』，而是把它和周邊城市歷史、宗教或街區脈絡一起理解。
城市脈絡：它位於 Powiśle，屬於 互動科學館。把它和周邊街區一起看，會比單獨拍一張正面照片更容易理解 華沙 的歷史層次。</v>
      </c>
      <c r="W30" s="1127" t="str">
        <v>必看：400+ 互動展項、高壓劇場、機器人劇場；天台花園冬季 11–4 月關閉。
實際走法：預約時間票後只挑 2–3 個主題區；不建議和老城同日硬塞。
如果只剩 30–45 分鐘，先保留最有代表性的核心空間／視角，不必勉強看完。
現場觀察清單：
① 400+ 互動展項、高壓劇場、機器人劇場；天台花園冬季 11–4 月關閉。
② 走法：預約時間票後只挑 2–3 個主題區；不建議和老城同日硬塞。
③ 如果兩人興趣不同，先一起完成核心看點，再各自自由看 15–20 分鐘。</v>
      </c>
      <c r="X30" s="1127" t="str">
        <v>所在區域：Powiśle。
主行程安排：備選。
交通：M2 Centrum Nauki Kopernik。
建議和同區餐廳、咖啡／茶館一起安排，減少冬天來回移動。
交通／串聯：M2 Centrum Nauki Kopernik。同區餐飲不在景點頁重複，請回「華沙餐廳／華沙茶咖啡」查看。</v>
      </c>
      <c r="Y30" s="1127" t="str">
        <v>開放／節日：2026 官方：Mon–Thu 09–18、Fri 09–20、Sat–Sun 09–19；12/24–26 關。
門票／預約：時間票；官網建議網購 ❗️
拍照：冬天只看室內；天台花園不用安排
取捨：時間不足直接刪，不影響第一次華沙完整度。
冬季實戰：2026 官方：Mon–Thu 09–18、Fri 09–20、Sat–Sun 09–19；12/24–26 關。；門票／預約：時間票；官網建議網購 ❗️
拍照：冬天只看室內；天台花園不用安排
時間不足：時間不足直接刪，不影響第一次華沙完整度。</v>
      </c>
    </row>
    <row r="31" ht="280" customHeight="1">
      <c r="A31" s="1127" t="str">
        <v>Warsaw University Library &amp; Powiśle</v>
      </c>
      <c r="B31" s="1127" t="str">
        <v>Powiśle</v>
      </c>
      <c r="C31" s="1127" t="str">
        <v>建築／街區</v>
      </c>
      <c r="D31" s="1127" t="str">
        <v>45–75m</v>
      </c>
      <c r="E31" s="1127" t="str">
        <v>現代華沙建築與 Powiśle 氣氛的輕鬆補充，適合不想再進博物館時。</v>
      </c>
      <c r="F31" s="1127" t="str">
        <v>圖書館綠色立面、Vistula／Powiśle 街景；屋頂花園冬季部分／通常關閉。</v>
      </c>
      <c r="G31" s="1127" t="str">
        <v>只走外部與周邊，不把冬季屋頂花園當主目標。</v>
      </c>
      <c r="H31" s="1127" t="str">
        <v>建築與周邊可看；屋頂花園冬季限制／關閉。</v>
      </c>
      <c r="I31" s="1127" t="str">
        <v>外部免費</v>
      </c>
      <c r="J31" s="1127"/>
      <c r="K31" s="1127" t="str">
        <v>備選</v>
      </c>
      <c r="L31" s="1127"/>
      <c r="M31" s="1127" t="str">
        <v>https://www.google.com/maps/search/?api=1&amp;query=Warsaw%20University%20Library%20Warsaw</v>
      </c>
      <c r="N31" s="1127" t="str">
        <v>https://go2warsaw.pl/</v>
      </c>
      <c r="O31" s="1134" t="str">
        <v>★★★☆☆ 順路可去</v>
      </c>
      <c r="P31" s="1127" t="str">
        <v>和 STOR／河岸／Copernicus 同區時順路；不值得專程。</v>
      </c>
      <c r="Q31" s="1127" t="str">
        <v>景點實拍
照片來源：https://www.wit.edu.pl/miejsca/buw
來源頁實拍；僅作私人行程辨識。</v>
      </c>
      <c r="R31" s="1127" t="str">
        <v>M2 Centrum Nauki Kopernik</v>
      </c>
      <c r="S31" s="1127" t="str">
        <v>日照時段最好；冬季不要等天黑才到</v>
      </c>
      <c r="T31" s="1127" t="str">
        <v>只有 20 分鐘就看外立面＋Powiśle 街景。</v>
      </c>
      <c r="U31" s="1127" t="str">
        <v>華沙大學圖書館以綠色立面與屋頂花園聞名，冬季屋頂限制多，但建築外觀和 Powiśle 街區仍值得順路看。最適合和河岸、Copernicus、STOR 咖啡一起串。
為什麼值得：現代華沙建築與 Powiśle 氣氛的輕鬆補充，適合不想再進博物館時。
建議停留：45–75m。這類地方的重點是路線與生活感，不是單一打卡點；預留彈性比卡死分鐘數更好。
本次旅行怎樣理解它：現代華沙建築與 Powiśle 氣氛的輕鬆補充，適合不想再進博物館時。 建議停留 45–75m。不要只完成『到過』，而是先看整體空間，再選 2–3 個真正有興趣的細節深看。</v>
      </c>
      <c r="V31" s="1127" t="str">
        <v>華沙大學圖書館以綠色立面與屋頂花園聞名，冬季屋頂限制多，但建築外觀和 Powiśle 街區仍值得順路看。最適合和河岸、Copernicus、STOR 咖啡一起串。
這一站最重要的不是『到此一遊』，而是把它和周邊城市歷史、宗教或街區脈絡一起理解。
城市脈絡：它位於 Powiśle，屬於 建築／街區。把它和周邊街區一起看，會比單獨拍一張正面照片更容易理解 華沙 的歷史層次。</v>
      </c>
      <c r="W31" s="1127" t="str">
        <v>必看：圖書館綠色立面、Vistula／Powiśle 街景；屋頂花園冬季部分／通常關閉。
實際走法：只走外部與周邊，不把冬季屋頂花園當主目標。
如果只剩 30–45 分鐘，先保留最有代表性的核心空間／視角，不必勉強看完。
現場觀察清單：
① 圖書館綠色立面、Vistula／Powiśle 街景；屋頂花園冬季部分／通常關閉。
② 走法：只走外部與周邊，不把冬季屋頂花園當主目標。
③ 如果兩人興趣不同，先一起完成核心看點，再各自自由看 15–20 分鐘。</v>
      </c>
      <c r="X31" s="1127" t="str">
        <v>所在區域：Powiśle。
主行程安排：備選。
交通：M2 Centrum Nauki Kopernik。
建議和同區餐廳、咖啡／茶館一起安排，減少冬天來回移動。
交通／串聯：M2 Centrum Nauki Kopernik。同區餐飲不在景點頁重複，請回「華沙餐廳／華沙茶咖啡」查看。</v>
      </c>
      <c r="Y31" s="1127" t="str">
        <v>開放／節日：建築與周邊可看；屋頂花園冬季限制／關閉。
門票／預約：外部免費 
拍照：日照時段最好；冬季不要等天黑才到
取捨：只有 20 分鐘就看外立面＋Powiśle 街景。
冬季實戰：建築與周邊可看；屋頂花園冬季限制／關閉。；門票／預約：外部免費 
拍照：日照時段最好；冬季不要等天黑才到
時間不足：只有 20 分鐘就看外立面＋Powiśle 街景。</v>
      </c>
    </row>
    <row r="32" ht="280" customHeight="1">
      <c r="A32" s="1127" t="str">
        <v>Hala Koszyki</v>
      </c>
      <c r="B32" s="1127" t="str">
        <v>Śródmieście</v>
      </c>
      <c r="C32" s="1127" t="str">
        <v>歷史市場／逛街</v>
      </c>
      <c r="D32" s="1127" t="str">
        <v>45–75m</v>
      </c>
      <c r="E32" s="1127" t="str">
        <v>修復後的市場大廳把舊建築和現代餐飲結合，適合聖誕期間找室內暖身、逛店。</v>
      </c>
      <c r="F32" s="1127" t="str">
        <v>鋼構市場空間、小店／餐飲、周邊住宅街景。</v>
      </c>
      <c r="G32" s="1127" t="str">
        <v>把它當雨雪／關門時段的室內逛街點，不把這裡當『必吃餐廳』。</v>
      </c>
      <c r="H32" s="1127" t="str">
        <v>商戶各自營業；聖誕節時段需逐店確認。</v>
      </c>
      <c r="I32" s="1127" t="str">
        <v>免費進入；消費另計</v>
      </c>
      <c r="J32" s="1127"/>
      <c r="K32" s="1127" t="str">
        <v>備選</v>
      </c>
      <c r="L32" s="1127"/>
      <c r="M32" s="1127" t="str">
        <v>https://www.google.com/maps/search/?api=1&amp;query=Hala%20Koszyki%20Warsaw</v>
      </c>
      <c r="N32" s="1127" t="str">
        <v>https://koszyki.com/</v>
      </c>
      <c r="O32" s="1134" t="str">
        <v>★★★☆☆ 順路可去</v>
      </c>
      <c r="P32" s="1127" t="str">
        <v>12/25 若天氣太差、街上太冷，可以來這類室內場所暖身，但先看節日時段。</v>
      </c>
      <c r="Q32" s="1127" t="str">
        <v>景點實拍
照片來源：https://www.holidaycheck.de/urlaub/polen/masowien/warschau/inspiration/bucket-list
來源頁實拍；僅作私人行程辨識。</v>
      </c>
      <c r="R32" s="1127" t="str">
        <v>Centrum／Politechnika 附近</v>
      </c>
      <c r="S32" s="1127" t="str">
        <v>傍晚建築燈光好看</v>
      </c>
      <c r="T32" s="1127" t="str">
        <v>時間不足直接刪。</v>
      </c>
      <c r="U32" s="1127" t="str">
        <v>Hala Koszyki 是歷史市場大廳改造的現代餐飲空間，適合看華沙如何把舊工業／商業建築轉成當代生活場所。它不是必去古蹟，但天冷時非常實用。
為什麼值得：修復後的市場大廳把舊建築和現代餐飲結合，適合聖誕期間找室內暖身、逛店。
建議停留：45–75m。這類地方的重點是路線與生活感，不是單一打卡點；預留彈性比卡死分鐘數更好。
本次旅行怎樣理解它：修復後的市場大廳把舊建築和現代餐飲結合，適合聖誕期間找室內暖身、逛店。 建議停留 45–75m。不要只完成『到過』，而是先看整體空間，再選 2–3 個真正有興趣的細節深看。</v>
      </c>
      <c r="V32" s="1127" t="str">
        <v>Hala Koszyki 是歷史市場大廳改造的現代餐飲空間，適合看華沙如何把舊工業／商業建築轉成當代生活場所。它不是必去古蹟，但天冷時非常實用。
這一站最重要的不是『到此一遊』，而是把它和周邊城市歷史、宗教或街區脈絡一起理解。
城市脈絡：它位於 Śródmieście，屬於 歷史市場／逛街。把它和周邊街區一起看，會比單獨拍一張正面照片更容易理解 華沙 的歷史層次。</v>
      </c>
      <c r="W32" s="1127" t="str">
        <v>必看：鋼構市場空間、小店／餐飲、周邊住宅街景。
實際走法：把它當雨雪／關門時段的室內逛街點，不把這裡當『必吃餐廳』。
如果只剩 30–45 分鐘，先保留最有代表性的核心空間／視角，不必勉強看完。
現場觀察清單：
① 鋼構市場空間、小店／餐飲、周邊住宅街景。
② 走法：把它當雨雪／關門時段的室內逛街點，不把這裡當『必吃餐廳』。
③ 如果兩人興趣不同，先一起完成核心看點，再各自自由看 15–20 分鐘。</v>
      </c>
      <c r="X32" s="1127" t="str">
        <v>所在區域：Śródmieście。
主行程安排：備選。
交通：Centrum／Politechnika 附近。
建議和同區餐廳、咖啡／茶館一起安排，減少冬天來回移動。
交通／串聯：Centrum／Politechnika 附近。同區餐飲不在景點頁重複，請回「華沙餐廳／華沙茶咖啡」查看。</v>
      </c>
      <c r="Y32" s="1127" t="str">
        <v>開放／節日：商戶各自營業；聖誕節時段需逐店確認。
門票／預約：免費進入；消費另計 
拍照：傍晚建築燈光好看
取捨：時間不足直接刪。
冬季實戰：商戶各自營業；聖誕節時段需逐店確認。；門票／預約：免費進入；消費另計 
拍照：傍晚建築燈光好看
時間不足：時間不足直接刪。</v>
      </c>
    </row>
    <row r="33">
      <c r="L33"/>
    </row>
    <row r="34">
      <c r="A34" t="str">
        <f>HYPERLINK("#'每日行程'!A1","返回每日行程")</f>
        <v>返回每日行程</v>
      </c>
      <c r="L34"/>
    </row>
    <row r="35">
      <c r="L35"/>
    </row>
    <row r="36">
      <c r="L36"/>
    </row>
    <row r="37">
      <c r="L37"/>
    </row>
    <row r="38">
      <c r="L38"/>
    </row>
    <row r="39">
      <c r="L39"/>
    </row>
    <row r="40">
      <c r="L40"/>
    </row>
    <row r="41">
      <c r="L41"/>
    </row>
    <row r="42">
      <c r="L42"/>
    </row>
    <row r="43">
      <c r="L43"/>
    </row>
    <row r="44">
      <c r="L44"/>
    </row>
    <row r="45">
      <c r="L45"/>
    </row>
    <row r="46">
      <c r="L46"/>
    </row>
    <row r="47">
      <c r="L47"/>
    </row>
    <row r="48">
      <c r="L48"/>
    </row>
    <row r="49">
      <c r="L49"/>
    </row>
    <row r="50">
      <c r="L50"/>
    </row>
  </sheetData>
  <mergeCells>
    <mergeCell ref="A1:Y1"/>
    <mergeCell ref="A2:Y2"/>
    <mergeCell ref="A3:Y3"/>
  </mergeCells>
  <pageMargins left="0.7" right="0.7" top="0.75" bottom="0.75" header="0.3" footer="0.3"/>
  <drawing ns1:id="R84e999f8292045b6"/>
  <tableParts count="1">
    <tablePart ns1:id="R679c67f25cd541e3"/>
  </tableParts>
</worksheet>
</file>

<file path=xl/worksheets/sheet7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4" topLeftCell="B5" activePane="bottomRight" state="frozen"/>
    </sheetView>
  </sheetViews>
  <sheetFormatPr defaultRowHeight="15"/>
  <cols>
    <col min="1" max="1" width="32" hidden="0" customWidth="1"/>
    <col min="2" max="2" width="18" hidden="0" customWidth="1"/>
    <col min="3" max="3" width="17" hidden="0" customWidth="1"/>
    <col min="4" max="4" width="13" hidden="0" customWidth="1"/>
    <col min="5" max="5" width="40" hidden="0" customWidth="1"/>
    <col min="6" max="6" width="42" hidden="0" customWidth="1"/>
    <col min="7" max="7" width="40" hidden="0" customWidth="1"/>
    <col min="8" max="8" width="40" hidden="0" customWidth="1"/>
    <col min="9" max="9" width="28" hidden="0" customWidth="1"/>
    <col min="10" max="10" width="7" hidden="0" customWidth="1"/>
    <col min="11" max="11" width="18" hidden="0" customWidth="1"/>
    <col min="12" max="12" width="38" hidden="0" customWidth="1"/>
    <col min="13" max="13" width="42" hidden="0" customWidth="1"/>
    <col min="14" max="14" width="52" hidden="0" customWidth="1"/>
    <col min="15" max="15" width="18" hidden="0" customWidth="1"/>
    <col min="16" max="16" width="38" hidden="0" customWidth="1"/>
    <col min="17" max="17" width="30" hidden="0" customWidth="1"/>
    <col min="18" max="18" width="28" hidden="0" customWidth="1"/>
    <col min="19" max="19" width="32" hidden="0" customWidth="1"/>
    <col min="20" max="20" width="36" hidden="0" customWidth="1"/>
    <col min="21" max="21" width="62" hidden="0" customWidth="1"/>
    <col min="22" max="22" width="62" hidden="0" customWidth="1"/>
    <col min="23" max="23" width="62" hidden="0" customWidth="1"/>
    <col min="24" max="24" width="62" hidden="0" customWidth="1"/>
    <col min="25" max="25" width="62" hidden="0" customWidth="1"/>
  </cols>
  <sheetData>
    <row r="1">
      <c r="A1" s="1111" t="str">
        <v>伊斯坦堡｜第二次旅行・小眾景點旅遊書｜避開已去過的大路景點</v>
      </c>
      <c r="B1" s="1100"/>
      <c r="C1" s="1100"/>
      <c r="D1" s="1100"/>
      <c r="E1" s="1100"/>
      <c r="F1" s="1100"/>
      <c r="G1" s="1100"/>
      <c r="H1" s="1100"/>
      <c r="I1" s="1100"/>
      <c r="J1" s="1100"/>
      <c r="K1" s="1100"/>
      <c r="L1" s="1100"/>
      <c r="M1" s="1100"/>
      <c r="N1" s="1100"/>
      <c r="O1" s="1094"/>
      <c r="P1" s="1094"/>
      <c r="Q1" s="1094"/>
      <c r="R1" s="1094"/>
      <c r="S1" s="1094"/>
      <c r="T1" s="1094"/>
      <c r="U1" s="1094"/>
      <c r="V1" s="1094"/>
      <c r="W1" s="1094"/>
      <c r="X1" s="1094"/>
      <c r="Y1" s="1094"/>
    </row>
    <row r="2">
      <c r="A2" s="1164" t="str">
        <v>前半 A–T 是實用資料；後半 U–Y 是旅遊書長介紹。景點頁只放景點，不混餐廳／茶咖啡／當地菜色。照片例子與 Google Maps 實拍仍保留在 L–N。</v>
      </c>
      <c r="B2" s="1164"/>
      <c r="C2" s="1164"/>
      <c r="D2" s="1164"/>
      <c r="E2" s="1164"/>
      <c r="F2" s="1164"/>
      <c r="G2" s="1164"/>
      <c r="H2" s="1164"/>
      <c r="I2" s="1164"/>
      <c r="J2" s="1164"/>
      <c r="K2" s="1164" t="str">
        <v>已去過｜本次不排</v>
      </c>
      <c r="L2" s="1164"/>
      <c r="M2" s="1164"/>
      <c r="N2" s="1164"/>
      <c r="O2" s="1165" t="str">
        <v>★★☆☆☆ 本次不重複</v>
      </c>
      <c r="P2" s="1094" t="str">
        <v>經典本身仍值得，但你已經去過；這次時間讓給小眾景點。</v>
      </c>
      <c r="Q2" s="1094"/>
      <c r="R2" s="1094"/>
      <c r="S2" s="1094"/>
      <c r="T2" s="1094"/>
      <c r="U2" s="1094"/>
      <c r="V2" s="1094"/>
      <c r="W2" s="1094"/>
      <c r="X2" s="1094"/>
      <c r="Y2" s="1094"/>
    </row>
    <row r="3">
      <c r="A3" s="1094" t="str">
        <v>讀法：先看 A–T 決定去不去，再看 U–Y 理解背景與實際逛法。需要訂票／特別開放仍以 ❗️ 與官方連結為準。</v>
      </c>
      <c r="B3" s="1094"/>
      <c r="C3" s="1094"/>
      <c r="D3" s="1094"/>
      <c r="E3" s="1094"/>
      <c r="F3" s="1094"/>
      <c r="G3" s="1094"/>
      <c r="H3" s="1094"/>
      <c r="I3" s="1094"/>
      <c r="J3" s="1094"/>
      <c r="K3" s="1094"/>
      <c r="L3" s="1094"/>
      <c r="M3" s="1094"/>
      <c r="N3" s="1094"/>
      <c r="O3" s="1094"/>
      <c r="P3" s="1094"/>
      <c r="Q3" s="1094"/>
      <c r="R3" s="1094"/>
      <c r="S3" s="1094"/>
      <c r="T3" s="1094"/>
      <c r="U3" s="1094"/>
      <c r="V3" s="1094"/>
      <c r="W3" s="1094"/>
      <c r="X3" s="1094"/>
      <c r="Y3" s="1094"/>
    </row>
    <row r="4" ht="40" customHeight="1">
      <c r="A4" s="1267" t="str">
        <v>景點</v>
      </c>
      <c r="B4" s="1267" t="str">
        <v>區域</v>
      </c>
      <c r="C4" s="1267" t="str">
        <v>類型</v>
      </c>
      <c r="D4" s="1267" t="str">
        <v>建議停留</v>
      </c>
      <c r="E4" s="1267" t="str">
        <v>為什麼去</v>
      </c>
      <c r="F4" s="1267" t="str">
        <v>必看／細節</v>
      </c>
      <c r="G4" s="1267" t="str">
        <v>怎樣逛比較好</v>
      </c>
      <c r="H4" s="1267" t="str">
        <v>2026 一般／節日開放</v>
      </c>
      <c r="I4" s="1267" t="str">
        <v>門票／預約</v>
      </c>
      <c r="J4" s="1267" t="str">
        <v>❗️</v>
      </c>
      <c r="K4" s="1267" t="str">
        <v>行程日期</v>
      </c>
      <c r="L4" s="1267" t="str">
        <v>實際照片（直接嵌入）</v>
      </c>
      <c r="M4" s="1267" t="str">
        <v>Google Maps 實拍</v>
      </c>
      <c r="N4" s="1267" t="str">
        <v>來源</v>
      </c>
      <c r="O4" s="1271" t="str">
        <v>本行程推薦度</v>
      </c>
      <c r="P4" s="1271" t="str">
        <v>我的安排建議</v>
      </c>
      <c r="Q4" s="1271" t="str">
        <v>內嵌照片來源／授權</v>
      </c>
      <c r="R4" s="1267" t="str">
        <v>交通／最近站</v>
      </c>
      <c r="S4" s="1267" t="str">
        <v>最佳拍照／時段</v>
      </c>
      <c r="T4" s="1267" t="str">
        <v>如果時間不足怎樣取捨</v>
      </c>
      <c r="U4" s="1267" t="str">
        <v>旅遊書完整介紹</v>
      </c>
      <c r="V4" s="1267" t="str">
        <v>歷史／文化背景</v>
      </c>
      <c r="W4" s="1267" t="str">
        <v>現場看甚麼＋怎樣逛</v>
      </c>
      <c r="X4" s="1267" t="str">
        <v>附近路線／交通</v>
      </c>
      <c r="Y4" s="1267" t="str">
        <v>冬季實戰／拍照／取捨</v>
      </c>
    </row>
    <row r="5" ht="280" customHeight="1">
      <c r="A5" s="1156" t="str">
        <v>Topkapı Palace &amp; Harem</v>
      </c>
      <c r="B5" s="1156" t="str">
        <v>Sultanahmet</v>
      </c>
      <c r="C5" s="1156" t="str">
        <v>皇宮</v>
      </c>
      <c r="D5" s="1156" t="str">
        <v>3–3.5h</v>
      </c>
      <c r="E5" s="1156" t="str">
        <v>鄂圖曼帝國最核心的宮廷空間；第一次到伊斯坦堡非常值得。</v>
      </c>
      <c r="F5" s="1156" t="str">
        <v>帝國議會、寶庫、聖物、庭院、後宮瓷磚與窗景。</v>
      </c>
      <c r="G5" s="1156" t="str">
        <v>09:00 一開門進；後宮放在前半段，避免下午團客。</v>
      </c>
      <c r="H5" s="1156" t="str">
        <v>一般約 09–17；星期二關。12/28 2026 是星期一，可排；臨近日期再確認特別公告。</v>
      </c>
      <c r="I5" s="1156" t="str">
        <v>門票＋Harem 常分項；提早網購較省排隊</v>
      </c>
      <c r="J5" s="1157" t="str">
        <v>❗️</v>
      </c>
      <c r="K5" s="1156" t="str">
        <v>已去過｜本次不排</v>
      </c>
      <c r="L5" s="1156"/>
      <c r="M5" s="1156" t="str">
        <v>https://www.google.com/maps/search/?api=1&amp;query=Topkapi%20Palace%20Istanbul</v>
      </c>
      <c r="N5" s="1156" t="str">
        <v>https://topkapipalacemuseum.org/en/visit</v>
      </c>
      <c r="O5" s="1158" t="str">
        <v>★★☆☆☆ 本次不重複</v>
      </c>
      <c r="P5" s="1156" t="str">
        <v>經典本身仍值得，但你已經去過；這次時間讓給小眾景點。</v>
      </c>
      <c r="Q5" s="1156" t="str">
        <v>景點實拍
照片來源：https://www.ekonomim.com/foto-galeri/gundem/topkapi-sarayi-hareminde-bir-ilk-ilk-kez-ziyarete-acildi-galeri-747714
來源頁實拍；僅作私人行程辨識。</v>
      </c>
      <c r="R5" s="1156" t="str">
        <v>T1 Sultanahmet／Gülhane；Historic Peninsula 以步行串聯</v>
      </c>
      <c r="S5" s="1156" t="str">
        <v>08:30–10:00 人較少；清真寺避禮拜；Cistern 早上最好</v>
      </c>
      <c r="T5" s="1156" t="str">
        <v>先保留五星；時間不足刪三星，再刪重複類型四星。</v>
      </c>
      <c r="U5" s="1156" t="str">
        <v>Topkapı 不是一棟單體宮殿，而是由層層庭院、行政空間、寶庫、聖物與後宮組成的鄂圖曼權力城市。走法要像穿過一個縮小的帝國，而不是只看幾個金光閃閃的房間。
為什麼值得：鄂圖曼帝國最核心的宮廷空間；第一次到伊斯坦堡非常值得。
建議停留：3–3.5h。先抓主要宮殿／代表空間，再決定是否加支線房間，否則很容易看疲勞。
本次旅行怎樣理解它：鄂圖曼帝國最核心的宮廷空間；第一次到伊斯坦堡非常值得。 建議停留 3–3.5h。不要只完成『到過』，而是先看整體空間，再選 2–3 個真正有興趣的細節深看。</v>
      </c>
      <c r="V5" s="1156" t="str">
        <v>Topkapı 不是一棟單體宮殿，而是由層層庭院、行政空間、寶庫、聖物與後宮組成的鄂圖曼權力城市。走法要像穿過一個縮小的帝國，而不是只看幾個金光閃閃的房間。
這一站最重要的不是『到此一遊』，而是把它和周邊城市歷史、宗教或街區脈絡一起理解。
城市脈絡：它位於 Sultanahmet，屬於 皇宮。把它和周邊街區一起看，會比單獨拍一張正面照片更容易理解 伊斯坦堡 的歷史層次。</v>
      </c>
      <c r="W5" s="1156" t="str">
        <v>必看：帝國議會、寶庫、聖物、庭院、後宮瓷磚與窗景。
實際走法：09:00 一開門進；後宮放在前半段，避免下午團客。
如果只剩 30–45 分鐘，先保留最有代表性的核心空間／視角，不必勉強看完。
現場觀察清單：
① 帝國議會、寶庫、聖物、庭院、後宮瓷磚與窗景。
② 走法：09:00 一開門進；後宮放在前半段，避免下午團客。
③ 如果兩人興趣不同，先一起完成核心看點，再各自自由看 15–20 分鐘。</v>
      </c>
      <c r="X5" s="1156" t="str">
        <v>所在區域：Sultanahmet。
主行程安排：已去過，本次不排。
交通：T1 Sultanahmet／Gülhane；Historic Peninsula 以步行串聯。
建議和同區餐廳、咖啡／茶館一起安排，減少冬天來回移動。
交通／串聯：T1 Sultanahmet／Gülhane；Historic Peninsula 以步行串聯。同區餐飲不在景點頁重複，請回「伊斯坦堡餐廳／伊斯坦堡茶咖啡」查看。</v>
      </c>
      <c r="Y5" s="1156" t="str">
        <v>開放／節日：一般約 09–17；星期二關。12/28 2026 是星期一，可排；臨近日期再確認特別公告。
門票／預約：門票＋Harem 常分項；提早網購較省排隊 ❗️
拍照：08:30–10:00 人較少；清真寺避禮拜；Cistern 早上最好
取捨：先保留五星；時間不足刪三星，再刪重複類型四星。
冬季實戰：一般約 09–17；星期二關。12/28 2026 是星期一，可排；臨近日期再確認特別公告。；門票／預約：門票＋Harem 常分項；提早網購較省排隊 ❗️
拍照：08:30–10:00 人較少；清真寺避禮拜；Cistern 早上最好
時間不足：先保留五星；時間不足刪三星，再刪重複類型四星。</v>
      </c>
    </row>
    <row r="6" ht="280" customHeight="1">
      <c r="A6" s="1156" t="str">
        <v>Blue Mosque / Sultan Ahmed Mosque</v>
      </c>
      <c r="B6" s="1156" t="str">
        <v>Sultanahmet</v>
      </c>
      <c r="C6" s="1156" t="str">
        <v>清真寺</v>
      </c>
      <c r="D6" s="1156" t="str">
        <v>45–60m</v>
      </c>
      <c r="E6" s="1156" t="str">
        <v>看鄂圖曼藍色瓷磚、巨型穹頂與仍在使用的宗教空間。</v>
      </c>
      <c r="F6" s="1156" t="str">
        <v>內部瓷磚、主穹頂、庭院與六宣禮塔視角。</v>
      </c>
      <c r="G6" s="1156" t="str">
        <v>避開禮拜時間；衣著按清真寺規定。</v>
      </c>
      <c r="H6" s="1156" t="str">
        <v>每日依禮拜暫停旅客參觀。</v>
      </c>
      <c r="I6" s="1156" t="str">
        <v>免費；現場安檢／服裝要求</v>
      </c>
      <c r="J6" s="1157" t="str"/>
      <c r="K6" s="1156" t="str">
        <v>已去過｜本次不排</v>
      </c>
      <c r="L6" s="1156"/>
      <c r="M6" s="1156" t="str">
        <v>https://www.google.com/maps/search/?api=1&amp;query=Blue%20Mosque%20Istanbul</v>
      </c>
      <c r="N6" s="1156" t="str">
        <v>https://muftuluk.gov.tr/</v>
      </c>
      <c r="O6" s="1158" t="str">
        <v>★★☆☆☆ 本次不重複</v>
      </c>
      <c r="P6" s="1156" t="str">
        <v>經典本身仍值得，但你已經去過；這次時間讓給小眾景點。</v>
      </c>
      <c r="Q6" s="1156" t="str">
        <v>Julian Lupyan｜CC0 1.0</v>
      </c>
      <c r="R6" s="1156" t="str">
        <v>T1 Sultanahmet／Gülhane；Historic Peninsula 以步行串聯</v>
      </c>
      <c r="S6" s="1156" t="str">
        <v>08:30–10:00 人較少；清真寺避禮拜；Cistern 早上最好</v>
      </c>
      <c r="T6" s="1156" t="str">
        <v>先保留五星；時間不足刪三星，再刪重複類型四星。</v>
      </c>
      <c r="U6" s="1156" t="str">
        <v>藍色清真寺仍是活躍宗教場所，價值不只在藍色 İznik 瓷磚，也在於六座宣禮塔、庭院與巨大穹頂所形成的完整空間。參觀時把禮拜節奏一起考慮，體驗會比純打卡完整。
為什麼值得：看鄂圖曼藍色瓷磚、巨型穹頂與仍在使用的宗教空間。
建議停留：45–60m。屬於仍有宗教功能的空間，衣著、禮拜與安靜參觀比拍照優先。
本次旅行怎樣理解它：看鄂圖曼藍色瓷磚、巨型穹頂與仍在使用的宗教空間。 建議停留 45–60m。不要只完成『到過』，而是先看整體空間，再選 2–3 個真正有興趣的細節深看。</v>
      </c>
      <c r="V6" s="1156" t="str">
        <v>藍色清真寺仍是活躍宗教場所，價值不只在藍色 İznik 瓷磚，也在於六座宣禮塔、庭院與巨大穹頂所形成的完整空間。參觀時把禮拜節奏一起考慮，體驗會比純打卡完整。
這一站最重要的不是『到此一遊』，而是把它和周邊城市歷史、宗教或街區脈絡一起理解。
城市脈絡：它位於 Sultanahmet，屬於 清真寺。把它和周邊街區一起看，會比單獨拍一張正面照片更容易理解 伊斯坦堡 的歷史層次。</v>
      </c>
      <c r="W6" s="1156" t="str">
        <v>必看：內部瓷磚、主穹頂、庭院與六宣禮塔視角。
實際走法：避開禮拜時間；衣著按清真寺規定。
如果只剩 30–45 分鐘，先保留最有代表性的核心空間／視角，不必勉強看完。
現場觀察清單：
① 內部瓷磚、主穹頂、庭院與六宣禮塔視角。
② 走法：避開禮拜時間；衣著按清真寺規定。
③ 如果兩人興趣不同，先一起完成核心看點，再各自自由看 15–20 分鐘。</v>
      </c>
      <c r="X6" s="1156" t="str">
        <v>所在區域：Sultanahmet。
主行程安排：已去過，本次不排。
交通：T1 Sultanahmet／Gülhane；Historic Peninsula 以步行串聯。
建議和同區餐廳、咖啡／茶館一起安排，減少冬天來回移動。
交通／串聯：T1 Sultanahmet／Gülhane；Historic Peninsula 以步行串聯。同區餐飲不在景點頁重複，請回「伊斯坦堡餐廳／伊斯坦堡茶咖啡」查看。</v>
      </c>
      <c r="Y6" s="1156" t="str">
        <v>開放／節日：每日依禮拜暫停旅客參觀。
門票／預約：免費；現場安檢／服裝要求 
拍照：08:30–10:00 人較少；清真寺避禮拜；Cistern 早上最好
取捨：先保留五星；時間不足刪三星，再刪重複類型四星。
冬季實戰：每日依禮拜暫停旅客參觀。；門票／預約：免費；現場安檢／服裝要求 
拍照：08:30–10:00 人較少；清真寺避禮拜；Cistern 早上最好
時間不足：先保留五星；時間不足刪三星，再刪重複類型四星。</v>
      </c>
    </row>
    <row r="7" ht="280" customHeight="1">
      <c r="A7" s="1156" t="str">
        <v>Hippodrome of Constantinople</v>
      </c>
      <c r="B7" s="1156" t="str">
        <v>Sultanahmet</v>
      </c>
      <c r="C7" s="1156" t="str">
        <v>戶外古蹟</v>
      </c>
      <c r="D7" s="1156" t="str">
        <v>30–40m</v>
      </c>
      <c r="E7" s="1156" t="str">
        <v>把拜占庭首都的公共空間放回地圖中。</v>
      </c>
      <c r="F7" s="1156" t="str">
        <v>埃及方尖碑、蛇柱、Walled Obelisk。</v>
      </c>
      <c r="G7" s="1156" t="str">
        <v>藍色清真寺出來沿長軸慢走即可。</v>
      </c>
      <c r="H7" s="1156" t="str">
        <v>戶外全年。</v>
      </c>
      <c r="I7" s="1156" t="str">
        <v>免費</v>
      </c>
      <c r="J7" s="1157" t="str"/>
      <c r="K7" s="1156" t="str">
        <v>已去過｜本次不排</v>
      </c>
      <c r="L7" s="1156"/>
      <c r="M7" s="1156" t="str">
        <v>https://www.google.com/maps/search/?api=1&amp;query=Sultanahmet%20Square%20Istanbul</v>
      </c>
      <c r="N7" s="1156" t="str">
        <v>https://istanbul.ktb.gov.tr/</v>
      </c>
      <c r="O7" s="1158" t="str">
        <v>★★☆☆☆ 本次不重複</v>
      </c>
      <c r="P7" s="1156" t="str">
        <v>經典本身仍值得，但你已經去過；這次時間讓給小眾景點。</v>
      </c>
      <c r="Q7" s="1156"/>
      <c r="R7" s="1156" t="str">
        <v>T1 Sultanahmet／Gülhane；Historic Peninsula 以步行串聯</v>
      </c>
      <c r="S7" s="1156" t="str">
        <v>08:30–10:00 人較少；清真寺避禮拜；Cistern 早上最好</v>
      </c>
      <c r="T7" s="1156" t="str">
        <v>先保留五星；時間不足刪三星，再刪重複類型四星。</v>
      </c>
      <c r="U7" s="1156" t="str">
        <v>今天看似普通長廣場，其實是拜占庭首都最重要的公共競技與政治空間之一。方尖碑、蛇柱等古蹟都在原 Hippodrome 軸線上，最好用『想像古代城市尺度』的方式來看。
為什麼值得：把拜占庭首都的公共空間放回地圖中。
建議停留：30–40m。把它放回整條城市動線看，比單獨到此一遊更有意思。
本次旅行怎樣理解它：把拜占庭首都的公共空間放回地圖中。 建議停留 30–40m。不要只完成『到過』，而是先看整體空間，再選 2–3 個真正有興趣的細節深看。</v>
      </c>
      <c r="V7" s="1156" t="str">
        <v>今天看似普通長廣場，其實是拜占庭首都最重要的公共競技與政治空間之一。方尖碑、蛇柱等古蹟都在原 Hippodrome 軸線上，最好用『想像古代城市尺度』的方式來看。
這一站最重要的不是『到此一遊』，而是把它和周邊城市歷史、宗教或街區脈絡一起理解。
城市脈絡：它位於 Sultanahmet，屬於 戶外古蹟。把它和周邊街區一起看，會比單獨拍一張正面照片更容易理解 伊斯坦堡 的歷史層次。</v>
      </c>
      <c r="W7" s="1156" t="str">
        <v>必看：埃及方尖碑、蛇柱、Walled Obelisk。
實際走法：藍色清真寺出來沿長軸慢走即可。
如果只剩 30–45 分鐘，先保留最有代表性的核心空間／視角，不必勉強看完。
現場觀察清單：
① 埃及方尖碑、蛇柱、Walled Obelisk。
② 走法：藍色清真寺出來沿長軸慢走即可。
③ 如果兩人興趣不同，先一起完成核心看點，再各自自由看 15–20 分鐘。</v>
      </c>
      <c r="X7" s="1156" t="str">
        <v>所在區域：Sultanahmet。
主行程安排：已去過，本次不排。
交通：T1 Sultanahmet／Gülhane；Historic Peninsula 以步行串聯。
建議和同區餐廳、咖啡／茶館一起安排，減少冬天來回移動。
交通／串聯：T1 Sultanahmet／Gülhane；Historic Peninsula 以步行串聯。同區餐飲不在景點頁重複，請回「伊斯坦堡餐廳／伊斯坦堡茶咖啡」查看。</v>
      </c>
      <c r="Y7" s="1156" t="str">
        <v>開放／節日：戶外全年。
門票／預約：免費 
拍照：08:30–10:00 人較少；清真寺避禮拜；Cistern 早上最好
取捨：先保留五星；時間不足刪三星，再刪重複類型四星。
冬季實戰：戶外全年。；門票／預約：免費 
拍照：08:30–10:00 人較少；清真寺避禮拜；Cistern 早上最好
時間不足：先保留五星；時間不足刪三星，再刪重複類型四星。</v>
      </c>
    </row>
    <row r="8" ht="280" customHeight="1">
      <c r="A8" s="1156" t="str">
        <v>Süleymaniye Mosque</v>
      </c>
      <c r="B8" s="1156" t="str">
        <v>Fatih</v>
      </c>
      <c r="C8" s="1156" t="str">
        <v>清真寺／觀景</v>
      </c>
      <c r="D8" s="1156" t="str">
        <v>60–75m</v>
      </c>
      <c r="E8" s="1156" t="str">
        <v>Mimar Sinan 代表作，空間與城市景觀比人潮更舒服。</v>
      </c>
      <c r="F8" s="1156" t="str">
        <v>中央穹頂、庭院、金角灣視野、周邊墓園。</v>
      </c>
      <c r="G8" s="1156" t="str">
        <v>從 Beyazıt／茶館一路上坡，日落前到最好。</v>
      </c>
      <c r="H8" s="1156" t="str">
        <v>每日依禮拜暫停旅客參觀。</v>
      </c>
      <c r="I8" s="1156" t="str">
        <v>免費</v>
      </c>
      <c r="J8" s="1157" t="str"/>
      <c r="K8" s="1156" t="str">
        <v>已去過｜本次不排</v>
      </c>
      <c r="L8" s="1156"/>
      <c r="M8" s="1156" t="str">
        <v>https://www.google.com/maps/search/?api=1&amp;query=Suleymaniye%20Mosque%20Istanbul</v>
      </c>
      <c r="N8" s="1156" t="str">
        <v>https://istanbul.ktb.gov.tr/</v>
      </c>
      <c r="O8" s="1159" t="str">
        <v>★★☆☆☆ 本次不重複</v>
      </c>
      <c r="P8" s="1156" t="str">
        <v>Süleymaniye 是經典，但這次把時間讓給 Vefa/Kalenderhane/Fener 小眾線。</v>
      </c>
      <c r="Q8" s="1156"/>
      <c r="R8" s="1156" t="str">
        <v>Google Maps 依當日公共交通；市中心優先步行／電車／Metro</v>
      </c>
      <c r="S8" s="1156" t="str">
        <v>冬季 15:30 後快速變暗；戶外點盡量日照時段，夜景點另排</v>
      </c>
      <c r="T8" s="1156" t="str">
        <v>先保留五星；時間不足刪三星，再刪重複類型四星。</v>
      </c>
      <c r="U8" s="1156" t="str">
        <v>Süleymaniye 是 Mimar Sinan 最重要的作品之一，除了內部穹頂與比例，真正強的是它在山脊上俯瞰金角灣的城市位置。人潮通常比 Sultanahmet 舒服，更適合慢慢看。
為什麼值得：Mimar Sinan 代表作，空間與城市景觀比人潮更舒服。
建議停留：60–75m。屬於仍有宗教功能的空間，衣著、禮拜與安靜參觀比拍照優先。
本次旅行怎樣理解它：Mimar Sinan 代表作，空間與城市景觀比人潮更舒服。 建議停留 60–75m。不要只完成『到過』，而是先看整體空間，再選 2–3 個真正有興趣的細節深看。</v>
      </c>
      <c r="V8" s="1156" t="str">
        <v>Süleymaniye 是 Mimar Sinan 最重要的作品之一，除了內部穹頂與比例，真正強的是它在山脊上俯瞰金角灣的城市位置。人潮通常比 Sultanahmet 舒服，更適合慢慢看。
這一站最重要的不是『到此一遊』，而是把它和周邊城市歷史、宗教或街區脈絡一起理解。
城市脈絡：它位於 Fatih，屬於 清真寺／觀景。把它和周邊街區一起看，會比單獨拍一張正面照片更容易理解 伊斯坦堡 的歷史層次。</v>
      </c>
      <c r="W8" s="1156" t="str">
        <v>必看：中央穹頂、庭院、金角灣視野、周邊墓園。
實際走法：從 Beyazıt／茶館一路上坡，日落前到最好。
如果只剩 30–45 分鐘，先保留最有代表性的核心空間／視角，不必勉強看完。
現場觀察清單：
① 中央穹頂、庭院、金角灣視野、周邊墓園。
② 走法：從 Beyazıt／茶館一路上坡，日落前到最好。
③ 如果兩人興趣不同，先一起完成核心看點，再各自自由看 15–20 分鐘。</v>
      </c>
      <c r="X8" s="1156" t="str">
        <v>所在區域：Fatih。
主行程安排：已去過，本次不排。
交通：Google Maps 依當日公共交通；市中心優先步行／電車／Metro。
建議和同區餐廳、咖啡／茶館一起安排，減少冬天來回移動。
交通／串聯：Google Maps 依當日公共交通；市中心優先步行／電車／Metro。同區餐飲不在景點頁重複，請回「伊斯坦堡餐廳／伊斯坦堡茶咖啡」查看。</v>
      </c>
      <c r="Y8" s="1156" t="str">
        <v>開放／節日：每日依禮拜暫停旅客參觀。
門票／預約：免費 
拍照：冬季 15:30 後快速變暗；戶外點盡量日照時段，夜景點另排
取捨：先保留五星；時間不足刪三星，再刪重複類型四星。
冬季實戰：每日依禮拜暫停旅客參觀。；門票／預約：免費 
拍照：冬季 15:30 後快速變暗；戶外點盡量日照時段，夜景點另排
時間不足：先保留五星；時間不足刪三星，再刪重複類型四星。</v>
      </c>
    </row>
    <row r="9" ht="280" customHeight="1">
      <c r="A9" s="1156" t="str">
        <v>Spice Bazaar</v>
      </c>
      <c r="B9" s="1156" t="str">
        <v>Eminönü</v>
      </c>
      <c r="C9" s="1156" t="str">
        <v>市場</v>
      </c>
      <c r="D9" s="1156" t="str">
        <v>45–60m</v>
      </c>
      <c r="E9" s="1156" t="str">
        <v>香料、茶、土耳其軟糖與日常商業混在一起，比只逛 Grand Bazaar 更有食物感。</v>
      </c>
      <c r="F9" s="1156" t="str">
        <v>香料櫃、乾果、lokum、周邊本地食材街。</v>
      </c>
      <c r="G9" s="1156" t="str">
        <v>不要只走主拱廊，出口後看周邊 Tahtakale 小街。</v>
      </c>
      <c r="H9" s="1156" t="str">
        <v>多數資料為 Mon–Sat 08–19、Sun 稍晚；公假可能調整。</v>
      </c>
      <c r="I9" s="1156" t="str">
        <v>免費</v>
      </c>
      <c r="J9" s="1157" t="str"/>
      <c r="K9" s="1156" t="str">
        <v>已去過｜本次不排</v>
      </c>
      <c r="L9" s="1156"/>
      <c r="M9" s="1156" t="str">
        <v>https://www.google.com/maps/search/?api=1&amp;query=Spice%20Bazaar%20Istanbul</v>
      </c>
      <c r="N9" s="1156" t="str">
        <v>https://istanbul.com/things-to-do/spice-bazaar-audio-guide</v>
      </c>
      <c r="O9" s="1158" t="str">
        <v>★★☆☆☆ 本次不重複</v>
      </c>
      <c r="P9" s="1156" t="str">
        <v>經典本身仍值得，但你已經去過；這次時間讓給小眾景點。</v>
      </c>
      <c r="Q9" s="1156"/>
      <c r="R9" s="1156" t="str">
        <v>Google Maps 依當日公共交通；市中心優先步行／電車／Metro</v>
      </c>
      <c r="S9" s="1156" t="str">
        <v>冬季 15:30 後快速變暗；戶外點盡量日照時段，夜景點另排</v>
      </c>
      <c r="T9" s="1156" t="str">
        <v>先保留五星；時間不足刪三星，再刪重複類型四星。</v>
      </c>
      <c r="U9" s="1156" t="str">
        <v>香料市集是伊斯坦堡食物文化最容易進入的一站，但不要只停在主拱廊。真正有趣的是周邊 Tahtakale 的乾果、茶、香料與生活型商店。
為什麼值得：香料、茶、土耳其軟糖與日常商業混在一起，比只逛 Grand Bazaar 更有食物感。
建議停留：45–60m。這類地方的重點是路線與生活感，不是單一打卡點；預留彈性比卡死分鐘數更好。
本次旅行怎樣理解它：香料、茶、土耳其軟糖與日常商業混在一起，比只逛 Grand Bazaar 更有食物感。 建議停留 45–60m。不要只完成『到過』，而是先看整體空間，再選 2–3 個真正有興趣的細節深看。</v>
      </c>
      <c r="V9" s="1156" t="str">
        <v>香料市集是伊斯坦堡食物文化最容易進入的一站，但不要只停在主拱廊。真正有趣的是周邊 Tahtakale 的乾果、茶、香料與生活型商店。
這一站最重要的不是『到此一遊』，而是把它和周邊城市歷史、宗教或街區脈絡一起理解。
城市脈絡：它位於 Eminönü，屬於 市場。把它和周邊街區一起看，會比單獨拍一張正面照片更容易理解 伊斯坦堡 的歷史層次。</v>
      </c>
      <c r="W9" s="1156" t="str">
        <v>必看：香料櫃、乾果、lokum、周邊本地食材街。
實際走法：不要只走主拱廊，出口後看周邊 Tahtakale 小街。
如果只剩 30–45 分鐘，先保留最有代表性的核心空間／視角，不必勉強看完。
現場觀察清單：
① 香料櫃、乾果、lokum、周邊本地食材街。
② 走法：不要只走主拱廊，出口後看周邊 Tahtakale 小街。
③ 如果兩人興趣不同，先一起完成核心看點，再各自自由看 15–20 分鐘。</v>
      </c>
      <c r="X9" s="1156" t="str">
        <v>所在區域：Eminönü。
主行程安排：已去過，本次不排。
交通：Google Maps 依當日公共交通；市中心優先步行／電車／Metro。
建議和同區餐廳、咖啡／茶館一起安排，減少冬天來回移動。
交通／串聯：Google Maps 依當日公共交通；市中心優先步行／電車／Metro。同區餐飲不在景點頁重複，請回「伊斯坦堡餐廳／伊斯坦堡茶咖啡」查看。</v>
      </c>
      <c r="Y9" s="1156" t="str">
        <v>開放／節日：多數資料為 Mon–Sat 08–19、Sun 稍晚；公假可能調整。
門票／預約：免費 
拍照：冬季 15:30 後快速變暗；戶外點盡量日照時段，夜景點另排
取捨：先保留五星；時間不足刪三星，再刪重複類型四星。
冬季實戰：多數資料為 Mon–Sat 08–19、Sun 稍晚；公假可能調整。；門票／預約：免費 
拍照：冬季 15:30 後快速變暗；戶外點盡量日照時段，夜景點另排
時間不足：先保留五星；時間不足刪三星，再刪重複類型四星。</v>
      </c>
    </row>
    <row r="10" ht="280" customHeight="1">
      <c r="A10" s="1156" t="str">
        <v>Dolmabahçe Palace</v>
      </c>
      <c r="B10" s="1156" t="str">
        <v>Beşiktaş</v>
      </c>
      <c r="C10" s="1156" t="str">
        <v>皇宮</v>
      </c>
      <c r="D10" s="1156" t="str">
        <v>2.5–3h</v>
      </c>
      <c r="E10" s="1156" t="str">
        <v>19 世紀鄂圖曼西式宮殿，和 Topkapı 形成很強對比。</v>
      </c>
      <c r="F10" s="1156" t="str">
        <v>水晶樓梯、Ceremonial Hall、海峽花園。</v>
      </c>
      <c r="G10" s="1156" t="str">
        <v>09:00 進場；按官方導覽動線走，出來直接去 Beşiktaş 午餐。</v>
      </c>
      <c r="H10" s="1156" t="str">
        <v>Tue–Sun 約 09–17；Monday closed。12/29 2026 是星期二，可排。</v>
      </c>
      <c r="I10" s="1156" t="str">
        <v>門票；現場可能排安檢</v>
      </c>
      <c r="J10" s="1157" t="str">
        <v>❗️</v>
      </c>
      <c r="K10" s="1156" t="str">
        <v>已去過｜本次不排</v>
      </c>
      <c r="L10" s="1156"/>
      <c r="M10" s="1156" t="str">
        <v>https://www.google.com/maps/search/?api=1&amp;query=Dolmabahce%20Palace%20Istanbul</v>
      </c>
      <c r="N10" s="1156" t="str">
        <v>https://dolmabahcepalace.org/visiting</v>
      </c>
      <c r="O10" s="1158" t="str">
        <v>★★☆☆☆ 本次不重複</v>
      </c>
      <c r="P10" s="1156" t="str">
        <v>經典本身仍值得，但你已經去過；這次時間讓給小眾景點。</v>
      </c>
      <c r="Q10" s="1156" t="str">
        <v>Julian Lupyan｜CC0 1.0</v>
      </c>
      <c r="R10" s="1156" t="str">
        <v>T1 Kabataş＋步行／Beşiktaş 巴士</v>
      </c>
      <c r="S10" s="1156" t="str">
        <v>09:00 開門附近；海峽面中午前後光線較穩</v>
      </c>
      <c r="T10" s="1156" t="str">
        <v>先保留五星；時間不足刪三星，再刪重複類型四星。</v>
      </c>
      <c r="U10" s="1156" t="str">
        <v>Dolmabahçe 代表 19 世紀鄂圖曼帝國更西化、更歐洲宮廷化的一面，和 Topkapı 的庭院式權力空間完全不同。Ceremonial Hall、水晶樓梯與海峽花園是最值得比較的重點。
為什麼值得：19 世紀鄂圖曼西式宮殿，和 Topkapı 形成很強對比。
建議停留：2.5–3h。先抓主要宮殿／代表空間，再決定是否加支線房間，否則很容易看疲勞。
本次旅行怎樣理解它：19 世紀鄂圖曼西式宮殿，和 Topkapı 形成很強對比。 建議停留 2.5–3h。不要只完成『到過』，而是先看整體空間，再選 2–3 個真正有興趣的細節深看。</v>
      </c>
      <c r="V10" s="1156" t="str">
        <v>Dolmabahçe 代表 19 世紀鄂圖曼帝國更西化、更歐洲宮廷化的一面，和 Topkapı 的庭院式權力空間完全不同。Ceremonial Hall、水晶樓梯與海峽花園是最值得比較的重點。
這一站最重要的不是『到此一遊』，而是把它和周邊城市歷史、宗教或街區脈絡一起理解。
城市脈絡：它位於 Beşiktaş，屬於 皇宮。把它和周邊街區一起看，會比單獨拍一張正面照片更容易理解 伊斯坦堡 的歷史層次。</v>
      </c>
      <c r="W10" s="1156" t="str">
        <v>必看：水晶樓梯、Ceremonial Hall、海峽花園。
實際走法：09:00 進場；按官方導覽動線走，出來直接去 Beşiktaş 午餐。
如果只剩 30–45 分鐘，先保留最有代表性的核心空間／視角，不必勉強看完。
現場觀察清單：
① 水晶樓梯、Ceremonial Hall、海峽花園。
② 走法：09:00 進場；按官方導覽動線走，出來直接去 Beşiktaş 午餐。
③ 如果兩人興趣不同，先一起完成核心看點，再各自自由看 15–20 分鐘。</v>
      </c>
      <c r="X10" s="1156" t="str">
        <v>所在區域：Beşiktaş。
主行程安排：已去過，本次不排。
交通：T1 Kabataş＋步行／Beşiktaş 巴士。
建議和同區餐廳、咖啡／茶館一起安排，減少冬天來回移動。
交通／串聯：T1 Kabataş＋步行／Beşiktaş 巴士。同區餐飲不在景點頁重複，請回「伊斯坦堡餐廳／伊斯坦堡茶咖啡」查看。</v>
      </c>
      <c r="Y10" s="1156" t="str">
        <v>開放／節日：Tue–Sun 約 09–17；Monday closed。12/29 2026 是星期二，可排。
門票／預約：門票；現場可能排安檢 ❗️
拍照：09:00 開門附近；海峽面中午前後光線較穩
取捨：先保留五星；時間不足刪三星，再刪重複類型四星。
冬季實戰：Tue–Sun 約 09–17；Monday closed。12/29 2026 是星期二，可排。；門票／預約：門票；現場可能排安檢 ❗️
拍照：09:00 開門附近；海峽面中午前後光線較穩
時間不足：先保留五星；時間不足刪三星，再刪重複類型四星。</v>
      </c>
    </row>
    <row r="11" ht="280" customHeight="1">
      <c r="A11" s="1146" t="str">
        <v>Beşiktaş Çarşı</v>
      </c>
      <c r="B11" s="1146" t="str">
        <v>Beşiktaş</v>
      </c>
      <c r="C11" s="1146" t="str">
        <v>街區／市場</v>
      </c>
      <c r="D11" s="1146" t="str">
        <v>45–60m</v>
      </c>
      <c r="E11" s="1146" t="str">
        <v>很日常的商圈，適合宮殿後吃午餐、看魚市與球迷文化。</v>
      </c>
      <c r="F11" s="1146" t="str">
        <v>魚市場、巷內小店、街頭食物。</v>
      </c>
      <c r="G11" s="1146" t="str">
        <v>午餐後只逛一圈，不在購物上花太多時間。</v>
      </c>
      <c r="H11" s="1146" t="str">
        <v>街區全年；商戶自定。</v>
      </c>
      <c r="I11" s="1146" t="str">
        <v>免費</v>
      </c>
      <c r="J11" s="1147" t="str"/>
      <c r="K11" s="1146" t="str">
        <v>12/29</v>
      </c>
      <c r="L11" s="1146"/>
      <c r="M11" s="1146" t="str">
        <v>https://www.google.com/maps/search/?api=1&amp;query=Besiktas%20Carsi%20Istanbul</v>
      </c>
      <c r="N11" s="1146" t="str">
        <v>https://istanbul.ktb.gov.tr/</v>
      </c>
      <c r="O11" s="1149" t="str">
        <v>★★★★☆ 很推薦</v>
      </c>
      <c r="P11" s="1146" t="str">
        <v>若當天體力與時間足夠就保留；時間不足先刪三星，再刪四星。</v>
      </c>
      <c r="Q11" s="1146"/>
      <c r="R11" s="1146" t="str">
        <v>T1 Kabataş＋步行／Beşiktaş 巴士</v>
      </c>
      <c r="S11" s="1146" t="str">
        <v>09:00 開門附近；海峽面中午前後光線較穩</v>
      </c>
      <c r="T11" s="1146" t="str">
        <v>先保留五星；時間不足刪三星，再刪重複類型四星。</v>
      </c>
      <c r="U11" s="1146" t="str">
        <v>Beşiktaş Çarşı 是居民商圈、魚市場與足球文化混在一起的日常街區。它最適合作為 Dolmabahçe 後的午餐與短逛，而不是獨立景點。
為什麼值得：很日常的商圈，適合宮殿後吃午餐、看魚市與球迷文化。
建議停留：45–60m。這類地方的重點是路線與生活感，不是單一打卡點；預留彈性比卡死分鐘數更好。
本次旅行怎樣理解它：很日常的商圈，適合宮殿後吃午餐、看魚市與球迷文化。 建議停留 45–60m。不要只完成『到過』，而是先看整體空間，再選 2–3 個真正有興趣的細節深看。</v>
      </c>
      <c r="V11" s="1146" t="str">
        <v>Beşiktaş Çarşı 是居民商圈、魚市場與足球文化混在一起的日常街區。它最適合作為 Dolmabahçe 後的午餐與短逛，而不是獨立景點。
這一站最重要的不是『到此一遊』，而是把它和周邊城市歷史、宗教或街區脈絡一起理解。
城市脈絡：它位於 Beşiktaş，屬於 街區／市場。把它和周邊街區一起看，會比單獨拍一張正面照片更容易理解 伊斯坦堡 的歷史層次。</v>
      </c>
      <c r="W11" s="1146" t="str">
        <v>必看：魚市場、巷內小店、街頭食物。
實際走法：午餐後只逛一圈，不在購物上花太多時間。
如果只剩 30–45 分鐘，先保留最有代表性的核心空間／視角，不必勉強看完。
現場觀察清單：
① 魚市場、巷內小店、街頭食物。
② 走法：午餐後只逛一圈，不在購物上花太多時間。
③ 如果兩人興趣不同，先一起完成核心看點，再各自自由看 15–20 分鐘。</v>
      </c>
      <c r="X11" s="1146" t="str">
        <v>所在區域：Beşiktaş。
主行程安排：12/29。
交通：T1 Kabataş＋步行／Beşiktaş 巴士。
建議和同區餐廳、咖啡／茶館一起安排，減少冬天來回移動。
交通／串聯：T1 Kabataş＋步行／Beşiktaş 巴士。同區餐飲不在景點頁重複，請回「伊斯坦堡餐廳／伊斯坦堡茶咖啡」查看。</v>
      </c>
      <c r="Y11" s="1146" t="str">
        <v>開放／節日：街區全年；商戶自定。
門票／預約：免費 
拍照：09:00 開門附近；海峽面中午前後光線較穩
取捨：先保留五星；時間不足刪三星，再刪重複類型四星。
冬季實戰：街區全年；商戶自定。；門票／預約：免費 
拍照：09:00 開門附近；海峽面中午前後光線較穩
時間不足：先保留五星；時間不足刪三星，再刪重複類型四星。</v>
      </c>
    </row>
    <row r="12" ht="280" customHeight="1">
      <c r="A12" s="1156" t="str">
        <v>Istanbul Modern</v>
      </c>
      <c r="B12" s="1156" t="str">
        <v>Karaköy/Tophane</v>
      </c>
      <c r="C12" s="1156" t="str">
        <v>現代藝術</v>
      </c>
      <c r="D12" s="1156" t="str">
        <v>1.5–2h</v>
      </c>
      <c r="E12" s="1156" t="str">
        <v>看當代土耳其藝術和 Renzo Piano 新館，與古蹟日形成對比。</v>
      </c>
      <c r="F12" s="1156" t="str">
        <v>海景露台、主展廳、建築動線。</v>
      </c>
      <c r="G12" s="1156" t="str">
        <v>下午由 Beşiktaş 沿海岸回 Karaköy；只挑主展。</v>
      </c>
      <c r="H12" s="1156" t="str">
        <v>官網當日顯示 10:00–18:00；週日等日別以官網為準。</v>
      </c>
      <c r="I12" s="1156" t="str">
        <v>購票；熱門展可提前買</v>
      </c>
      <c r="J12" s="1157" t="str">
        <v>❗️</v>
      </c>
      <c r="K12" s="1156" t="str">
        <v>已去過｜本次不排</v>
      </c>
      <c r="L12" s="1156"/>
      <c r="M12" s="1156" t="str">
        <v>https://www.google.com/maps/search/?api=1&amp;query=Istanbul%20Modern</v>
      </c>
      <c r="N12" s="1156" t="str">
        <v>https://www.istanbulmodern.org/en/visit</v>
      </c>
      <c r="O12" s="1158" t="str">
        <v>★★☆☆☆ 本次不重複</v>
      </c>
      <c r="P12" s="1156" t="str">
        <v>經典本身仍值得，但你已經去過；這次時間讓給小眾景點。</v>
      </c>
      <c r="Q12" s="1156"/>
      <c r="R12" s="1156" t="str">
        <v>T1 Karaköy/Tophane 或 M2 Şişhane；區內步行</v>
      </c>
      <c r="S12" s="1156" t="str">
        <v>15:00–17:30 街景層次好；Galata 夜景可留到天黑</v>
      </c>
      <c r="T12" s="1156" t="str">
        <v>先保留五星；時間不足刪三星，再刪重複類型四星。</v>
      </c>
      <c r="U12" s="1156" t="str">
        <v>Istanbul Modern 把當代土耳其藝術與 Bosphorus 海岸放在同一個場景裡。看完幾天皇宮、清真寺後進這裡，能快速把城市從『帝國』切換到『當代』。
為什麼值得：看當代土耳其藝術和 Renzo Piano 新館，與古蹟日形成對比。
建議停留：1.5–2h。把它放回整條城市動線看，比單獨到此一遊更有意思。
本次旅行怎樣理解它：看當代土耳其藝術和 Renzo Piano 新館，與古蹟日形成對比。 建議停留 1.5–2h。不要只完成『到過』，而是先看整體空間，再選 2–3 個真正有興趣的細節深看。</v>
      </c>
      <c r="V12" s="1156" t="str">
        <v>Istanbul Modern 把當代土耳其藝術與 Bosphorus 海岸放在同一個場景裡。看完幾天皇宮、清真寺後進這裡，能快速把城市從『帝國』切換到『當代』。
這一站最重要的不是『到此一遊』，而是把它和周邊城市歷史、宗教或街區脈絡一起理解。
城市脈絡：它位於 Karaköy/Tophane，屬於 現代藝術。把它和周邊街區一起看，會比單獨拍一張正面照片更容易理解 伊斯坦堡 的歷史層次。</v>
      </c>
      <c r="W12" s="1156" t="str">
        <v>必看：海景露台、主展廳、建築動線。
實際走法：下午由 Beşiktaş 沿海岸回 Karaköy；只挑主展。
如果只剩 30–45 分鐘，先保留最有代表性的核心空間／視角，不必勉強看完。
現場觀察清單：
① 海景露台、主展廳、建築動線。
② 走法：下午由 Beşiktaş 沿海岸回 Karaköy；只挑主展。
③ 如果兩人興趣不同，先一起完成核心看點，再各自自由看 15–20 分鐘。</v>
      </c>
      <c r="X12" s="1156" t="str">
        <v>所在區域：Karaköy/Tophane。
主行程安排：已去過，本次不排。
交通：T1 Karaköy/Tophane 或 M2 Şişhane；區內步行。
建議和同區餐廳、咖啡／茶館一起安排，減少冬天來回移動。
交通／串聯：T1 Karaköy/Tophane 或 M2 Şişhane；區內步行。同區餐飲不在景點頁重複，請回「伊斯坦堡餐廳／伊斯坦堡茶咖啡」查看。</v>
      </c>
      <c r="Y12" s="1156" t="str">
        <v>開放／節日：官網當日顯示 10:00–18:00；週日等日別以官網為準。
門票／預約：購票；熱門展可提前買 ❗️
拍照：15:00–17:30 街景層次好；Galata 夜景可留到天黑
取捨：先保留五星；時間不足刪三星，再刪重複類型四星。
冬季實戰：官網當日顯示 10:00–18:00；週日等日別以官網為準。；門票／預約：購票；熱門展可提前買 ❗️
拍照：15:00–17:30 街景層次好；Galata 夜景可留到天黑
時間不足：先保留五星；時間不足刪三星，再刪重複類型四星。</v>
      </c>
    </row>
    <row r="13" ht="280" customHeight="1">
      <c r="A13" s="1127" t="str">
        <v>SALT Galata &amp; Ottoman Bank Museum</v>
      </c>
      <c r="B13" s="1127" t="str">
        <v>Karaköy</v>
      </c>
      <c r="C13" s="1127" t="str">
        <v>文化空間</v>
      </c>
      <c r="D13" s="1127" t="str">
        <v>1–1.25h</v>
      </c>
      <c r="E13" s="1127" t="str">
        <v>免費、建築漂亮，還有 Ottoman Bank Museum；最適合接 Galata／Karaköy。</v>
      </c>
      <c r="F13" s="1127" t="str">
        <v>中央大階梯、銀行歷史展、樓上視窗。</v>
      </c>
      <c r="G13" s="1127" t="str">
        <v>Istanbul Modern 後步行；先逛常設再看當期展。</v>
      </c>
      <c r="H13" s="1127" t="str">
        <v>Tue–Sat 11–19；Sun 11–18；Monday closed。</v>
      </c>
      <c r="I13" s="1127" t="str">
        <v>免費</v>
      </c>
      <c r="J13" s="1133" t="str"/>
      <c r="K13" s="1127" t="str">
        <v>○ 備選</v>
      </c>
      <c r="L13" s="1127"/>
      <c r="M13" s="1127" t="str">
        <v>https://www.google.com/maps/search/?api=1&amp;query=SALT%20Galata%20Istanbul</v>
      </c>
      <c r="N13" s="1127" t="str">
        <v>https://saltonline.org/en/visit</v>
      </c>
      <c r="O13" s="1135" t="str">
        <v>★★★★☆ 雨天備選</v>
      </c>
      <c r="P13" s="1127" t="str">
        <v>SALT 仍值得，但不是這次主線；雨天或臨時空檔才加。</v>
      </c>
      <c r="Q13" s="1127" t="str">
        <v>景點實拍
照片來源：https://dokmimarlik.com/en/salt-galata-art-gate/
來源頁實拍；僅作私人行程辨識。</v>
      </c>
      <c r="R13" s="1127" t="str">
        <v>T1 Karaköy/Tophane 或 M2 Şişhane；區內步行</v>
      </c>
      <c r="S13" s="1127" t="str">
        <v>15:00–17:30 街景層次好；Galata 夜景可留到天黑</v>
      </c>
      <c r="T13" s="1127" t="str">
        <v>先保留五星；時間不足刪三星，再刪重複類型四星。</v>
      </c>
      <c r="U13" s="1127" t="str">
        <v>SALT Galata 結合舊銀行建築、研究機構、展覽與 Ottoman Bank Museum。它最好的地方是免費、動線漂亮，又能讓你理解 19–20 世紀 Galata 的金融城市史。
為什麼值得：免費、建築漂亮，還有 Ottoman Bank Museum；最適合接 Galata／Karaköy。
建議停留：1–1.25h。把它放回整條城市動線看，比單獨到此一遊更有意思。
本次旅行怎樣理解它：免費、建築漂亮，還有 Ottoman Bank Museum；最適合接 Galata／Karaköy。 建議停留 1–1.25h。不要只完成『到過』，而是先看整體空間，再選 2–3 個真正有興趣的細節深看。</v>
      </c>
      <c r="V13" s="1127" t="str">
        <v>SALT Galata 結合舊銀行建築、研究機構、展覽與 Ottoman Bank Museum。它最好的地方是免費、動線漂亮，又能讓你理解 19–20 世紀 Galata 的金融城市史。
這一站最重要的不是『到此一遊』，而是把它和周邊城市歷史、宗教或街區脈絡一起理解。
城市脈絡：它位於 Karaköy，屬於 文化空間。把它和周邊街區一起看，會比單獨拍一張正面照片更容易理解 伊斯坦堡 的歷史層次。</v>
      </c>
      <c r="W13" s="1127" t="str">
        <v>必看：中央大階梯、銀行歷史展、樓上視窗。
實際走法：Istanbul Modern 後步行；先逛常設再看當期展。
如果只剩 30–45 分鐘，先保留最有代表性的核心空間／視角，不必勉強看完。
現場觀察清單：
① 中央大階梯、銀行歷史展、樓上視窗。
② 走法：Istanbul Modern 後步行；先逛常設再看當期展。
③ 如果兩人興趣不同，先一起完成核心看點，再各自自由看 15–20 分鐘。</v>
      </c>
      <c r="X13" s="1127" t="str">
        <v>所在區域：Karaköy。
主行程安排：12/29。
交通：T1 Karaköy/Tophane 或 M2 Şişhane；區內步行。
建議和同區餐廳、咖啡／茶館一起安排，減少冬天來回移動。
交通／串聯：T1 Karaköy/Tophane 或 M2 Şişhane；區內步行。同區餐飲不在景點頁重複，請回「伊斯坦堡餐廳／伊斯坦堡茶咖啡」查看。</v>
      </c>
      <c r="Y13" s="1127" t="str">
        <v>開放／節日：Tue–Sat 11–19；Sun 11–18；Monday closed。
門票／預約：免費 
拍照：15:00–17:30 街景層次好；Galata 夜景可留到天黑
取捨：先保留五星；時間不足刪三星，再刪重複類型四星。
冬季實戰：Tue–Sat 11–19；Sun 11–18；Monday closed。；門票／預約：免費 
拍照：15:00–17:30 街景層次好；Galata 夜景可留到天黑
時間不足：先保留五星；時間不足刪三星，再刪重複類型四星。</v>
      </c>
    </row>
    <row r="14" ht="280" customHeight="1">
      <c r="A14" s="1127" t="str">
        <v>Kamondo Stairs &amp; Bankalar Caddesi</v>
      </c>
      <c r="B14" s="1127" t="str">
        <v>Galata</v>
      </c>
      <c r="C14" s="1127" t="str">
        <v>城市細節</v>
      </c>
      <c r="D14" s="1127" t="str">
        <v>30–45m</v>
      </c>
      <c r="E14" s="1127" t="str">
        <v>19 世紀金融區最有辨識度的小景，和 SALT 同一條線。</v>
      </c>
      <c r="F14" s="1127" t="str">
        <v>曲線階梯、舊銀行立面、Galata 上坡街景。</v>
      </c>
      <c r="G14" s="1127" t="str">
        <v>SALT 出門步行，不用特地排車。</v>
      </c>
      <c r="H14" s="1127" t="str">
        <v>戶外全年。</v>
      </c>
      <c r="I14" s="1127" t="str">
        <v>免費</v>
      </c>
      <c r="J14" s="1133" t="str"/>
      <c r="K14" s="1127" t="str">
        <v>○ 備選</v>
      </c>
      <c r="L14" s="1127"/>
      <c r="M14" s="1127" t="str">
        <v>https://www.google.com/maps/search/?api=1&amp;query=Kamondo%20Stairs%20Istanbul</v>
      </c>
      <c r="N14" s="1127" t="str">
        <v>https://saltonline.org/en/salt-galata</v>
      </c>
      <c r="O14" s="1130" t="str">
        <v>★★★☆☆ 順路</v>
      </c>
      <c r="P14" s="1127" t="str">
        <v>Kamondo 只在 Galata 路線順路看，不獨立排時間。</v>
      </c>
      <c r="Q14" s="1127" t="str">
        <v>景點實拍
照片來源：https://tr.pinterest.com/pin/28147566415292834/
來源頁實拍；僅作私人行程辨識。</v>
      </c>
      <c r="R14" s="1127" t="str">
        <v>T1 Karaköy/Tophane 或 M2 Şişhane；區內步行</v>
      </c>
      <c r="S14" s="1127" t="str">
        <v>15:00–17:30 街景層次好；Galata 夜景可留到天黑</v>
      </c>
      <c r="T14" s="1127" t="str">
        <v>先保留五星；時間不足刪三星，再刪重複類型四星。</v>
      </c>
      <c r="U14" s="1127" t="str">
        <v>Kamondo 階梯本身只需要幾分鐘，但放在 Bankalar Caddesi 的舊銀行街一起看就有意義。這區是晚鄂圖曼金融與多族群城市史的縮影。
為什麼值得：19 世紀金融區最有辨識度的小景，和 SALT 同一條線。
建議停留：30–45m。把它放回整條城市動線看，比單獨到此一遊更有意思。
本次旅行怎樣理解它：19 世紀金融區最有辨識度的小景，和 SALT 同一條線。 建議停留 30–45m。不要只完成『到過』，而是先看整體空間，再選 2–3 個真正有興趣的細節深看。</v>
      </c>
      <c r="V14" s="1127" t="str">
        <v>Kamondo 階梯本身只需要幾分鐘，但放在 Bankalar Caddesi 的舊銀行街一起看就有意義。這區是晚鄂圖曼金融與多族群城市史的縮影。
這一站最重要的不是『到此一遊』，而是把它和周邊城市歷史、宗教或街區脈絡一起理解。
城市脈絡：它位於 Galata，屬於 城市細節。把它和周邊街區一起看，會比單獨拍一張正面照片更容易理解 伊斯坦堡 的歷史層次。</v>
      </c>
      <c r="W14" s="1127" t="str">
        <v>必看：曲線階梯、舊銀行立面、Galata 上坡街景。
實際走法：SALT 出門步行，不用特地排車。
如果只剩 30–45 分鐘，先保留最有代表性的核心空間／視角，不必勉強看完。
現場觀察清單：
① 曲線階梯、舊銀行立面、Galata 上坡街景。
② 走法：SALT 出門步行，不用特地排車。
③ 如果兩人興趣不同，先一起完成核心看點，再各自自由看 15–20 分鐘。</v>
      </c>
      <c r="X14" s="1127" t="str">
        <v>所在區域：Galata。
主行程安排：12/29。
交通：T1 Karaköy/Tophane 或 M2 Şişhane；區內步行。
建議和同區餐廳、咖啡／茶館一起安排，減少冬天來回移動。
交通／串聯：T1 Karaköy/Tophane 或 M2 Şişhane；區內步行。同區餐飲不在景點頁重複，請回「伊斯坦堡餐廳／伊斯坦堡茶咖啡」查看。</v>
      </c>
      <c r="Y14" s="1127" t="str">
        <v>開放／節日：戶外全年。
門票／預約：免費 
拍照：15:00–17:30 街景層次好；Galata 夜景可留到天黑
取捨：先保留五星；時間不足刪三星，再刪重複類型四星。
冬季實戰：戶外全年。；門票／預約：免費 
拍照：15:00–17:30 街景層次好；Galata 夜景可留到天黑
時間不足：先保留五星；時間不足刪三星，再刪重複類型四星。</v>
      </c>
    </row>
    <row r="15" ht="280" customHeight="1">
      <c r="A15" s="1156" t="str">
        <v>Galata Tower</v>
      </c>
      <c r="B15" s="1156" t="str">
        <v>Galata</v>
      </c>
      <c r="C15" s="1156" t="str">
        <v>觀景塔</v>
      </c>
      <c r="D15" s="1156" t="str">
        <v>1–1.5h</v>
      </c>
      <c r="E15" s="1156" t="str">
        <v>城市 360° 視角很強，但人多；適合想拍海峽／金角灣全景。</v>
      </c>
      <c r="F15" s="1156" t="str">
        <v>頂層城市景觀、Galata 屋頂。</v>
      </c>
      <c r="G15" s="1156" t="str">
        <v>若排隊超過 45 分鐘就跳過，改走 Galata 街巷。</v>
      </c>
      <c r="H15" s="1156" t="str">
        <v>通常每日長時段；當日核對。</v>
      </c>
      <c r="I15" s="1156" t="str">
        <v>需票；可網購</v>
      </c>
      <c r="J15" s="1157" t="str">
        <v>❗️</v>
      </c>
      <c r="K15" s="1156" t="str">
        <v>已去過｜本次不排</v>
      </c>
      <c r="L15" s="1156"/>
      <c r="M15" s="1156" t="str">
        <v>https://www.google.com/maps/search/?api=1&amp;query=Galata%20Tower%20Istanbul</v>
      </c>
      <c r="N15" s="1156" t="str">
        <v>https://galatatower.com/en/visit/hours</v>
      </c>
      <c r="O15" s="1160" t="str">
        <v>★★☆☆☆ 本次不重複</v>
      </c>
      <c r="P15" s="1156" t="str">
        <v>經典本身仍值得，但你已經去過；這次時間讓給小眾景點。</v>
      </c>
      <c r="Q15" s="1156" t="str">
        <v>景點實拍
照片來源：https://www.celebritycruises.com/blog/best-neighborhoods-in-istanbul
來源頁實拍；僅作私人行程辨識。</v>
      </c>
      <c r="R15" s="1156" t="str">
        <v>T1 Karaköy/Tophane 或 M2 Şişhane；區內步行</v>
      </c>
      <c r="S15" s="1156" t="str">
        <v>15:00–17:30 街景層次好；Galata 夜景可留到天黑</v>
      </c>
      <c r="T15" s="1156" t="str">
        <v>先保留五星；時間不足刪三星，再刪重複類型四星。</v>
      </c>
      <c r="U15" s="1156" t="str">
        <v>Galata Tower 的價值主要是城市全景與方向感，而不是塔內展覽。三天行程裡，如果排隊太長就不值得犧牲其他街區時間。
為什麼值得：城市 360° 視角很強，但人多；適合想拍海峽／金角灣全景。
建議停留：1–1.5h。把它放回整條城市動線看，比單獨到此一遊更有意思。
本次旅行怎樣理解它：城市 360° 視角很強，但人多；適合想拍海峽／金角灣全景。 建議停留 1–1.5h。不要只完成『到過』，而是先看整體空間，再選 2–3 個真正有興趣的細節深看。</v>
      </c>
      <c r="V15" s="1156" t="str">
        <v>Galata Tower 的價值主要是城市全景與方向感，而不是塔內展覽。三天行程裡，如果排隊太長就不值得犧牲其他街區時間。
這一站最重要的不是『到此一遊』，而是把它和周邊城市歷史、宗教或街區脈絡一起理解。
城市脈絡：它位於 Galata，屬於 觀景塔。把它和周邊街區一起看，會比單獨拍一張正面照片更容易理解 伊斯坦堡 的歷史層次。</v>
      </c>
      <c r="W15" s="1156" t="str">
        <v>必看：頂層城市景觀、Galata 屋頂。
實際走法：若排隊超過 45 分鐘就跳過，改走 Galata 街巷。
如果只剩 30–45 分鐘，先保留最有代表性的核心空間／視角，不必勉強看完。
現場觀察清單：
① 頂層城市景觀、Galata 屋頂。
② 走法：若排隊超過 45 分鐘就跳過，改走 Galata 街巷。
③ 如果兩人興趣不同，先一起完成核心看點，再各自自由看 15–20 分鐘。</v>
      </c>
      <c r="X15" s="1156" t="str">
        <v>所在區域：Galata。
主行程安排：已去過，本次不排。
交通：T1 Karaköy/Tophane 或 M2 Şişhane；區內步行。
建議和同區餐廳、咖啡／茶館一起安排，減少冬天來回移動。
交通／串聯：T1 Karaköy/Tophane 或 M2 Şişhane；區內步行。同區餐飲不在景點頁重複，請回「伊斯坦堡餐廳／伊斯坦堡茶咖啡」查看。</v>
      </c>
      <c r="Y15" s="1156" t="str">
        <v>開放／節日：通常每日長時段；當日核對。
門票／預約：需票；可網購 ❗️
拍照：15:00–17:30 街景層次好；Galata 夜景可留到天黑
取捨：先保留五星；時間不足刪三星，再刪重複類型四星。
冬季實戰：通常每日長時段；當日核對。；門票／預約：需票；可網購 ❗️
拍照：15:00–17:30 街景層次好；Galata 夜景可留到天黑
時間不足：先保留五星；時間不足刪三星，再刪重複類型四星。</v>
      </c>
    </row>
    <row r="16" ht="280" customHeight="1">
      <c r="A16" s="1156" t="str">
        <v>Hagia Sophia</v>
      </c>
      <c r="B16" s="1156" t="str">
        <v>Sultanahmet</v>
      </c>
      <c r="C16" s="1156" t="str">
        <v>宗教／歷史</v>
      </c>
      <c r="D16" s="1156" t="str">
        <v>1–1.25h</v>
      </c>
      <c r="E16" s="1156" t="str">
        <v>拜占庭與奧斯曼兩層歷史在同一座建築中，是城市核心。</v>
      </c>
      <c r="F16" s="1156" t="str">
        <v>巨穹頂、拜占庭馬賽克可見部分、書法圓牌、外部體量。</v>
      </c>
      <c r="G16" s="1156" t="str">
        <v>早上先到，避開旅行團；旅客入口與禮拜區規定可能調整。</v>
      </c>
      <c r="H16" s="1156" t="str">
        <v>目前訪客時段約 09–19:30；禮拜與周五中午限制需當日確認。</v>
      </c>
      <c r="I16" s="1156" t="str">
        <v>旅客區門票；提早購票可省排隊</v>
      </c>
      <c r="J16" s="1157" t="str">
        <v>❗️</v>
      </c>
      <c r="K16" s="1156" t="str">
        <v>已去過｜本次不排</v>
      </c>
      <c r="L16" s="1156"/>
      <c r="M16" s="1156" t="str">
        <v>https://www.google.com/maps/search/?api=1&amp;query=Hagia%20Sophia%20Istanbul</v>
      </c>
      <c r="N16" s="1156" t="str">
        <v>https://hagia-sophia.org/hours/</v>
      </c>
      <c r="O16" s="1159" t="str">
        <v>★★☆☆☆ 本次不重複</v>
      </c>
      <c r="P16" s="1156" t="str">
        <v>Hagia Sophia 已去過，這次不再進。</v>
      </c>
      <c r="Q16" s="1156" t="str">
        <v>景點實拍
照片來源：https://siakapkeli.my/2019/08/26/terpegun-dan-menakjubkan-inilah-10-masjid-paling-cantik-di-dunia/
來源頁實拍；僅作私人行程辨識。</v>
      </c>
      <c r="R16" s="1156" t="str">
        <v>T1 Sultanahmet／Gülhane；Historic Peninsula 以步行串聯</v>
      </c>
      <c r="S16" s="1156" t="str">
        <v>08:30–10:00 人較少；清真寺避禮拜；Cistern 早上最好</v>
      </c>
      <c r="T16" s="1156" t="str">
        <v>先保留五星；時間不足刪三星，再刪重複類型四星。</v>
      </c>
      <c r="U16" s="1156" t="str">
        <v>Hagia Sophia 把拜占庭教堂、鄂圖曼清真寺與現代宗教／文化政治層次疊在同一棟建築中。要看的不只是大穹頂，而是不同時代留下的馬賽克、書法圓牌與空間改造。
為什麼值得：拜占庭與奧斯曼兩層歷史在同一座建築中，是城市核心。
建議停留：1–1.25h。屬於仍有宗教功能的空間，衣著、禮拜與安靜參觀比拍照優先。
本次旅行怎樣理解它：拜占庭與奧斯曼兩層歷史在同一座建築中，是城市核心。 建議停留 1–1.25h。不要只完成『到過』，而是先看整體空間，再選 2–3 個真正有興趣的細節深看。</v>
      </c>
      <c r="V16" s="1156" t="str">
        <v>Hagia Sophia 把拜占庭教堂、鄂圖曼清真寺與現代宗教／文化政治層次疊在同一棟建築中。要看的不只是大穹頂，而是不同時代留下的馬賽克、書法圓牌與空間改造。
這一站最重要的不是『到此一遊』，而是把它和周邊城市歷史、宗教或街區脈絡一起理解。
城市脈絡：它位於 Sultanahmet，屬於 宗教／歷史。把它和周邊街區一起看，會比單獨拍一張正面照片更容易理解 伊斯坦堡 的歷史層次。</v>
      </c>
      <c r="W16" s="1156" t="str">
        <v>必看：巨穹頂、拜占庭馬賽克可見部分、書法圓牌、外部體量。
實際走法：早上先到，避開旅行團；旅客入口與禮拜區規定可能調整。
如果只剩 30–45 分鐘，先保留最有代表性的核心空間／視角，不必勉強看完。
現場觀察清單：
① 巨穹頂、拜占庭馬賽克可見部分、書法圓牌、外部體量。
② 走法：早上先到，避開旅行團；旅客入口與禮拜區規定可能調整。
③ 如果兩人興趣不同，先一起完成核心看點，再各自自由看 15–20 分鐘。</v>
      </c>
      <c r="X16" s="1156" t="str">
        <v>所在區域：Sultanahmet。
主行程安排：已去過，本次不排。
交通：T1 Sultanahmet／Gülhane；Historic Peninsula 以步行串聯。
建議和同區餐廳、咖啡／茶館一起安排，減少冬天來回移動。
交通／串聯：T1 Sultanahmet／Gülhane；Historic Peninsula 以步行串聯。同區餐飲不在景點頁重複，請回「伊斯坦堡餐廳／伊斯坦堡茶咖啡」查看。</v>
      </c>
      <c r="Y16" s="1156" t="str">
        <v>開放／節日：目前訪客時段約 09–19:30；禮拜與周五中午限制需當日確認。
門票／預約：旅客區門票；提早購票可省排隊 ❗️
拍照：08:30–10:00 人較少；清真寺避禮拜；Cistern 早上最好
取捨：先保留五星；時間不足刪三星，再刪重複類型四星。
冬季實戰：目前訪客時段約 09–19:30；禮拜與周五中午限制需當日確認。；門票／預約：旅客區門票；提早購票可省排隊 ❗️
拍照：08:30–10:00 人較少；清真寺避禮拜；Cistern 早上最好
時間不足：先保留五星；時間不足刪三星，再刪重複類型四星。</v>
      </c>
    </row>
    <row r="17" ht="280" customHeight="1">
      <c r="A17" s="1156" t="str">
        <v>Basilica Cistern</v>
      </c>
      <c r="B17" s="1156" t="str">
        <v>Sultanahmet</v>
      </c>
      <c r="C17" s="1156" t="str">
        <v>拜占庭水利</v>
      </c>
      <c r="D17" s="1156" t="str">
        <v>45–60m</v>
      </c>
      <c r="E17" s="1156" t="str">
        <v>336 根柱與地下水面是伊斯坦堡最具氣氛的室內空間之一。</v>
      </c>
      <c r="F17" s="1156" t="str">
        <v>Medusa heads、柱林、倒影與現代燈光。</v>
      </c>
      <c r="G17" s="1156" t="str">
        <v>Hagia Sophia 後步行 2 分鐘；10:30 前進場較舒服。</v>
      </c>
      <c r="H17" s="1156" t="str">
        <v>每日 09–18:30，最後入場約 18:00；2026 管理調整後偶有變更。</v>
      </c>
      <c r="I17" s="1156" t="str">
        <v>高需求；官網建議預先購票</v>
      </c>
      <c r="J17" s="1157" t="str">
        <v>❗️</v>
      </c>
      <c r="K17" s="1156" t="str">
        <v>已去過｜本次不排</v>
      </c>
      <c r="L17" s="1156"/>
      <c r="M17" s="1156" t="str">
        <v>https://www.google.com/maps/search/?api=1&amp;query=Basilica%20Cistern%20Istanbul</v>
      </c>
      <c r="N17" s="1156" t="str">
        <v>https://basilicacisternmuseum.org/en/visit</v>
      </c>
      <c r="O17" s="1158" t="str">
        <v>★★☆☆☆ 本次不重複</v>
      </c>
      <c r="P17" s="1156" t="str">
        <v>經典本身仍值得，但你已經去過；這次時間讓給小眾景點。</v>
      </c>
      <c r="Q17" s="1156" t="str">
        <v>景點實拍
照片來源：https://www.basilica-cistern.com/mysteries
來源頁實拍；僅作私人行程辨識。</v>
      </c>
      <c r="R17" s="1156" t="str">
        <v>T1 Sultanahmet／Gülhane；Historic Peninsula 以步行串聯</v>
      </c>
      <c r="S17" s="1156" t="str">
        <v>08:30–10:00 人較少；清真寺避禮拜；Cistern 早上最好</v>
      </c>
      <c r="T17" s="1156" t="str">
        <v>先保留五星；時間不足刪三星，再刪重複類型四星。</v>
      </c>
      <c r="U17" s="1156" t="str">
        <v>地下水宮是拜占庭城市基礎設施的一部分，今天最迷人的是柱林、水面倒影與昏暗光線。Medusa heads 固然有名，但整個地下空間的節奏才是真正主角。
為什麼值得：336 根柱與地下水面是伊斯坦堡最具氣氛的室內空間之一。
建議停留：45–60m。把它放回整條城市動線看，比單獨到此一遊更有意思。
本次旅行怎樣理解它：336 根柱與地下水面是伊斯坦堡最具氣氛的室內空間之一。 建議停留 45–60m。不要只完成『到過』，而是先看整體空間，再選 2–3 個真正有興趣的細節深看。</v>
      </c>
      <c r="V17" s="1156" t="str">
        <v>地下水宮是拜占庭城市基礎設施的一部分，今天最迷人的是柱林、水面倒影與昏暗光線。Medusa heads 固然有名，但整個地下空間的節奏才是真正主角。
這一站最重要的不是『到此一遊』，而是把它和周邊城市歷史、宗教或街區脈絡一起理解。
城市脈絡：它位於 Sultanahmet，屬於 拜占庭水利。把它和周邊街區一起看，會比單獨拍一張正面照片更容易理解 伊斯坦堡 的歷史層次。</v>
      </c>
      <c r="W17" s="1156" t="str">
        <v>必看：Medusa heads、柱林、倒影與現代燈光。
實際走法：Hagia Sophia 後步行 2 分鐘；10:30 前進場較舒服。
如果只剩 30–45 分鐘，先保留最有代表性的核心空間／視角，不必勉強看完。
現場觀察清單：
① Medusa heads、柱林、倒影與現代燈光。
② 走法：Hagia Sophia 後步行 2 分鐘；10:30 前進場較舒服。
③ 如果兩人興趣不同，先一起完成核心看點，再各自自由看 15–20 分鐘。</v>
      </c>
      <c r="X17" s="1156" t="str">
        <v>所在區域：Sultanahmet。
主行程安排：已去過，本次不排。
交通：T1 Sultanahmet／Gülhane；Historic Peninsula 以步行串聯。
建議和同區餐廳、咖啡／茶館一起安排，減少冬天來回移動。
交通／串聯：T1 Sultanahmet／Gülhane；Historic Peninsula 以步行串聯。同區餐飲不在景點頁重複，請回「伊斯坦堡餐廳／伊斯坦堡茶咖啡」查看。</v>
      </c>
      <c r="Y17" s="1156" t="str">
        <v>開放／節日：每日 09–18:30，最後入場約 18:00；2026 管理調整後偶有變更。
門票／預約：高需求；官網建議預先購票 ❗️
拍照：08:30–10:00 人較少；清真寺避禮拜；Cistern 早上最好
取捨：先保留五星；時間不足刪三星，再刪重複類型四星。
冬季實戰：每日 09–18:30，最後入場約 18:00；2026 管理調整後偶有變更。；門票／預約：高需求；官網建議預先購票 ❗️
拍照：08:30–10:00 人較少；清真寺避禮拜；Cistern 早上最好
時間不足：先保留五星；時間不足刪三星，再刪重複類型四星。</v>
      </c>
    </row>
    <row r="18" ht="280" customHeight="1">
      <c r="A18" s="1156" t="str">
        <v>Museum of Turkish and Islamic Arts</v>
      </c>
      <c r="B18" s="1156" t="str">
        <v>Sultanahmet</v>
      </c>
      <c r="C18" s="1156" t="str">
        <v>博物館</v>
      </c>
      <c r="D18" s="1156" t="str">
        <v>45–75m</v>
      </c>
      <c r="E18" s="1156" t="str">
        <v>如果對瓷磚、地毯、書法有興趣，是補充清真寺觀察的最佳小館。</v>
      </c>
      <c r="F18" s="1156" t="str">
        <v>塞爾柱／鄂圖曼地毯、書法、木雕。</v>
      </c>
      <c r="G18" s="1156" t="str">
        <v>地下水宮後視體力進；不想趕就放備選。</v>
      </c>
      <c r="H18" s="1156" t="str">
        <v>官方博物館時段以當日為準，冬季多為日間。</v>
      </c>
      <c r="I18" s="1156" t="str">
        <v>需票／Museum Pass 規則核對</v>
      </c>
      <c r="J18" s="1157" t="str"/>
      <c r="K18" s="1156" t="str">
        <v>已去過｜本次不排</v>
      </c>
      <c r="L18" s="1156"/>
      <c r="M18" s="1156" t="str">
        <v>https://www.google.com/maps/search/?api=1&amp;query=Turkish%20and%20Islamic%20Arts%20Museum%20Istanbul</v>
      </c>
      <c r="N18" s="1156" t="str">
        <v>https://www.muze.gov.tr/muze-detay?DistId=TIE&amp;SectionId=TIE01</v>
      </c>
      <c r="O18" s="1158" t="str">
        <v>★★☆☆☆ 本次不重複</v>
      </c>
      <c r="P18" s="1156" t="str">
        <v>經典本身仍值得，但你已經去過；這次時間讓給小眾景點。</v>
      </c>
      <c r="Q18" s="1156"/>
      <c r="R18" s="1156" t="str">
        <v>Google Maps 依當日公共交通；市中心優先步行／電車／Metro</v>
      </c>
      <c r="S18" s="1156" t="str">
        <v>冬季 15:30 後快速變暗；戶外點盡量日照時段，夜景點另排</v>
      </c>
      <c r="T18" s="1156" t="str">
        <v>先保留五星；時間不足刪三星，再刪重複類型四星。</v>
      </c>
      <c r="U18" s="1156" t="str">
        <v>這館適合在看完清真寺後補細節：地毯、書法、木雕、金屬與宗教藝術讓你知道剛才看到的裝飾從哪個工藝傳統而來。規模比大博物館好控制。
為什麼值得：如果對瓷磚、地毯、書法有興趣，是補充清真寺觀察的最佳小館。
建議停留：45–75m。建議先抓主題再看展，不要逐字讀完所有展板。
本次旅行怎樣理解它：如果對瓷磚、地毯、書法有興趣，是補充清真寺觀察的最佳小館。 建議停留 45–75m。不要只完成『到過』，而是先看整體空間，再選 2–3 個真正有興趣的細節深看。</v>
      </c>
      <c r="V18" s="1156" t="str">
        <v>這館適合在看完清真寺後補細節：地毯、書法、木雕、金屬與宗教藝術讓你知道剛才看到的裝飾從哪個工藝傳統而來。規模比大博物館好控制。
這一站最重要的不是『到此一遊』，而是把它和周邊城市歷史、宗教或街區脈絡一起理解。
城市脈絡：它位於 Sultanahmet，屬於 博物館。把它和周邊街區一起看，會比單獨拍一張正面照片更容易理解 伊斯坦堡 的歷史層次。</v>
      </c>
      <c r="W18" s="1156" t="str">
        <v>必看：塞爾柱／鄂圖曼地毯、書法、木雕。
實際走法：地下水宮後視體力進；不想趕就放備選。
如果只剩 30–45 分鐘，先保留最有代表性的核心空間／視角，不必勉強看完。
現場觀察清單：
① 塞爾柱／鄂圖曼地毯、書法、木雕。
② 走法：地下水宮後視體力進；不想趕就放備選。
③ 如果兩人興趣不同，先一起完成核心看點，再各自自由看 15–20 分鐘。</v>
      </c>
      <c r="X18" s="1156" t="str">
        <v>所在區域：Sultanahmet。
主行程安排：已去過，本次不排。
交通：Google Maps 依當日公共交通；市中心優先步行／電車／Metro。
建議和同區餐廳、咖啡／茶館一起安排，減少冬天來回移動。
交通／串聯：Google Maps 依當日公共交通；市中心優先步行／電車／Metro。同區餐飲不在景點頁重複，請回「伊斯坦堡餐廳／伊斯坦堡茶咖啡」查看。</v>
      </c>
      <c r="Y18" s="1156" t="str">
        <v>開放／節日：官方博物館時段以當日為準，冬季多為日間。
門票／預約：需票／Museum Pass 規則核對 
拍照：冬季 15:30 後快速變暗；戶外點盡量日照時段，夜景點另排
取捨：先保留五星；時間不足刪三星，再刪重複類型四星。
冬季實戰：官方博物館時段以當日為準，冬季多為日間。；門票／預約：需票／Museum Pass 規則核對 
拍照：冬季 15:30 後快速變暗；戶外點盡量日照時段，夜景點另排
時間不足：先保留五星；時間不足刪三星，再刪重複類型四星。</v>
      </c>
    </row>
    <row r="19" ht="280" customHeight="1">
      <c r="A19" s="1156" t="str">
        <v>Grand Bazaar</v>
      </c>
      <c r="B19" s="1156" t="str">
        <v>Beyazıt</v>
      </c>
      <c r="C19" s="1156" t="str">
        <v>歷史市集</v>
      </c>
      <c r="D19" s="1156" t="str">
        <v>1.5–2h</v>
      </c>
      <c r="E19" s="1156" t="str">
        <v>不是只為購物；它本身就是鄂圖曼城市商業網絡。</v>
      </c>
      <c r="F19" s="1156" t="str">
        <v>主街拱頂、珠寶區、古董／皮具支巷、老茶館。</v>
      </c>
      <c r="G19" s="1156" t="str">
        <v>設定 2–3 個入口點，不要漫無目的；中途 Şark Kahvesi 休息。</v>
      </c>
      <c r="H19" s="1156" t="str">
        <v>通常 Mon–Sat 白天營業、Sunday closed；12/30 2026 是週三。</v>
      </c>
      <c r="I19" s="1156" t="str">
        <v>免費</v>
      </c>
      <c r="J19" s="1157" t="str"/>
      <c r="K19" s="1156" t="str">
        <v>已去過｜本次不排</v>
      </c>
      <c r="L19" s="1156"/>
      <c r="M19" s="1156" t="str">
        <v>https://www.google.com/maps/search/?api=1&amp;query=Grand%20Bazaar%20Istanbul</v>
      </c>
      <c r="N19" s="1156" t="str">
        <v>https://istanbul.ktb.gov.tr/</v>
      </c>
      <c r="O19" s="1161" t="str">
        <v>★★☆☆☆ 本次不重複</v>
      </c>
      <c r="P19" s="1156" t="str">
        <v>Grand Bazaar 已去過；只保留 specialist food／居民街區。</v>
      </c>
      <c r="Q19" s="1156"/>
      <c r="R19" s="1156" t="str">
        <v>Google Maps 依當日公共交通；市中心優先步行／電車／Metro</v>
      </c>
      <c r="S19" s="1156" t="str">
        <v>冬季 15:30 後快速變暗；戶外點盡量日照時段，夜景點另排</v>
      </c>
      <c r="T19" s="1156" t="str">
        <v>先保留五星；時間不足刪三星，再刪重複類型四星。</v>
      </c>
      <c r="U19" s="1156" t="str">
        <v>大巴扎不是一條購物街，而是一整套有街名、行業分區、han 與出入口的商業城市。設定幾個目標區、途中喝茶，比漫無目的走兩小時更好。
為什麼值得：不是只為購物；它本身就是鄂圖曼城市商業網絡。
建議停留：1.5–2h。把它放回整條城市動線看，比單獨到此一遊更有意思。
本次旅行怎樣理解它：不是只為購物；它本身就是鄂圖曼城市商業網絡。 建議停留 1.5–2h。不要只完成『到過』，而是先看整體空間，再選 2–3 個真正有興趣的細節深看。</v>
      </c>
      <c r="V19" s="1156" t="str">
        <v>大巴扎不是一條購物街，而是一整套有街名、行業分區、han 與出入口的商業城市。設定幾個目標區、途中喝茶，比漫無目的走兩小時更好。
這一站最重要的不是『到此一遊』，而是把它和周邊城市歷史、宗教或街區脈絡一起理解。
城市脈絡：它位於 Beyazıt，屬於 歷史市集。把它和周邊街區一起看，會比單獨拍一張正面照片更容易理解 伊斯坦堡 的歷史層次。</v>
      </c>
      <c r="W19" s="1156" t="str">
        <v>必看：主街拱頂、珠寶區、古董／皮具支巷、老茶館。
實際走法：設定 2–3 個入口點，不要漫無目的；中途 Şark Kahvesi 休息。
如果只剩 30–45 分鐘，先保留最有代表性的核心空間／視角，不必勉強看完。
現場觀察清單：
① 主街拱頂、珠寶區、古董／皮具支巷、老茶館。
② 走法：設定 2–3 個入口點，不要漫無目的；中途 Şark Kahvesi 休息。
③ 如果兩人興趣不同，先一起完成核心看點，再各自自由看 15–20 分鐘。</v>
      </c>
      <c r="X19" s="1156" t="str">
        <v>所在區域：Beyazıt。
主行程安排：已去過，本次不排。
交通：Google Maps 依當日公共交通；市中心優先步行／電車／Metro。
建議和同區餐廳、咖啡／茶館一起安排，減少冬天來回移動。
交通／串聯：Google Maps 依當日公共交通；市中心優先步行／電車／Metro。同區餐飲不在景點頁重複，請回「伊斯坦堡餐廳／伊斯坦堡茶咖啡」查看。</v>
      </c>
      <c r="Y19" s="1156" t="str">
        <v>開放／節日：通常 Mon–Sat 白天營業、Sunday closed；12/30 2026 是週三。
門票／預約：免費 
拍照：冬季 15:30 後快速變暗；戶外點盡量日照時段，夜景點另排
取捨：先保留五星；時間不足刪三星，再刪重複類型四星。
冬季實戰：通常 Mon–Sat 白天營業、Sunday closed；12/30 2026 是週三。；門票／預約：免費 
拍照：冬季 15:30 後快速變暗；戶外點盡量日照時段，夜景點另排
時間不足：先保留五星；時間不足刪三星，再刪重複類型四星。</v>
      </c>
    </row>
    <row r="20" ht="280" customHeight="1">
      <c r="A20" s="1127" t="str">
        <v>Rüstem Paşa Mosque</v>
      </c>
      <c r="B20" s="1127" t="str">
        <v>Eminönü</v>
      </c>
      <c r="C20" s="1127" t="str">
        <v>清真寺</v>
      </c>
      <c r="D20" s="1127" t="str">
        <v>30–40m</v>
      </c>
      <c r="E20" s="1127" t="str">
        <v>小而精，Iznik 藍瓷磚密度很高，人潮通常少過藍色清真寺。</v>
      </c>
      <c r="F20" s="1127" t="str">
        <v>高架入口、內部瓷磚、窗邊圖案。</v>
      </c>
      <c r="G20" s="1127" t="str">
        <v>香料市集旁順路進；留意禮拜時間。</v>
      </c>
      <c r="H20" s="1127" t="str">
        <v>每日依禮拜暫停旅客。</v>
      </c>
      <c r="I20" s="1127" t="str">
        <v>免費</v>
      </c>
      <c r="J20" s="1133" t="str"/>
      <c r="K20" s="1127" t="str">
        <v>○ 備選</v>
      </c>
      <c r="L20" s="1127"/>
      <c r="M20" s="1127" t="str">
        <v>https://www.google.com/maps/search/?api=1&amp;query=Rustem%20Pasha%20Mosque%20Istanbul</v>
      </c>
      <c r="N20" s="1127" t="str">
        <v>https://istanbul.ktb.gov.tr/</v>
      </c>
      <c r="O20" s="1135" t="str">
        <v>★★★★☆ 小眾備選</v>
      </c>
      <c r="P20" s="1127" t="str">
        <v>如果你其實沒去過 Rüstem Paşa，可和 Eminönü 同區補；本版不硬塞。</v>
      </c>
      <c r="Q20" s="1127"/>
      <c r="R20" s="1127" t="str">
        <v>Google Maps 依當日公共交通；市中心優先步行／電車／Metro</v>
      </c>
      <c r="S20" s="1127" t="str">
        <v>冬季 15:30 後快速變暗；戶外點盡量日照時段，夜景點另排</v>
      </c>
      <c r="T20" s="1127" t="str">
        <v>先保留五星；時間不足刪三星，再刪重複類型四星。</v>
      </c>
      <c r="U20" s="1127" t="str">
        <v>Rüstem Paşa 規模小，但 İznik 瓷磚密度與細節非常精彩。入口藏在商店街上方，找到入口本身就是一部分體驗。
為什麼值得：小而精，Iznik 藍瓷磚密度很高，人潮通常少過藍色清真寺。
建議停留：30–40m。屬於仍有宗教功能的空間，衣著、禮拜與安靜參觀比拍照優先。
本次旅行怎樣理解它：小而精，Iznik 藍瓷磚密度很高，人潮通常少過藍色清真寺。 建議停留 30–40m。不要只完成『到過』，而是先看整體空間，再選 2–3 個真正有興趣的細節深看。</v>
      </c>
      <c r="V20" s="1127" t="str">
        <v>Rüstem Paşa 規模小，但 İznik 瓷磚密度與細節非常精彩。入口藏在商店街上方，找到入口本身就是一部分體驗。
這一站最重要的不是『到此一遊』，而是把它和周邊城市歷史、宗教或街區脈絡一起理解。
城市脈絡：它位於 Eminönü，屬於 清真寺。把它和周邊街區一起看，會比單獨拍一張正面照片更容易理解 伊斯坦堡 的歷史層次。</v>
      </c>
      <c r="W20" s="1127" t="str">
        <v>必看：高架入口、內部瓷磚、窗邊圖案。
實際走法：香料市集旁順路進；留意禮拜時間。
如果只剩 30–45 分鐘，先保留最有代表性的核心空間／視角，不必勉強看完。
現場觀察清單：
① 高架入口、內部瓷磚、窗邊圖案。
② 走法：香料市集旁順路進；留意禮拜時間。
③ 如果兩人興趣不同，先一起完成核心看點，再各自自由看 15–20 分鐘。</v>
      </c>
      <c r="X20" s="1127" t="str">
        <v>所在區域：Eminönü。
主行程安排：12/30。
交通：Google Maps 依當日公共交通；市中心優先步行／電車／Metro。
建議和同區餐廳、咖啡／茶館一起安排，減少冬天來回移動。
交通／串聯：Google Maps 依當日公共交通；市中心優先步行／電車／Metro。同區餐飲不在景點頁重複，請回「伊斯坦堡餐廳／伊斯坦堡茶咖啡」查看。</v>
      </c>
      <c r="Y20" s="1127" t="str">
        <v>開放／節日：每日依禮拜暫停旅客。
門票／預約：免費 
拍照：冬季 15:30 後快速變暗；戶外點盡量日照時段，夜景點另排
取捨：先保留五星；時間不足刪三星，再刪重複類型四星。
冬季實戰：每日依禮拜暫停旅客。；門票／預約：免費 
拍照：冬季 15:30 後快速變暗；戶外點盡量日照時段，夜景點另排
時間不足：先保留五星；時間不足刪三星，再刪重複類型四星。</v>
      </c>
    </row>
    <row r="21" ht="280" customHeight="1">
      <c r="A21" s="1127" t="str">
        <v>Eminönü Waterfront &amp; Galata Bridge</v>
      </c>
      <c r="B21" s="1127" t="str">
        <v>Eminönü</v>
      </c>
      <c r="C21" s="1127" t="str">
        <v>河岸／街景</v>
      </c>
      <c r="D21" s="1127" t="str">
        <v>45–60m</v>
      </c>
      <c r="E21" s="1127" t="str">
        <v>渡輪、釣魚、商販與清真寺同框，是很有伊斯坦堡生活感的一段。</v>
      </c>
      <c r="F21" s="1127" t="str">
        <v>新清真寺外觀、橋上釣魚、渡輪碼頭、金角灣。</v>
      </c>
      <c r="G21" s="1127" t="str">
        <v>黃昏前後走一段；天氣差就只從橋頭拍。</v>
      </c>
      <c r="H21" s="1127" t="str">
        <v>戶外全年。</v>
      </c>
      <c r="I21" s="1127" t="str">
        <v>免費</v>
      </c>
      <c r="J21" s="1133" t="str"/>
      <c r="K21" s="1127" t="str">
        <v>○ 備選</v>
      </c>
      <c r="L21" s="1127"/>
      <c r="M21" s="1127" t="str">
        <v>https://www.google.com/maps/search/?api=1&amp;query=Galata%20Bridge%20Istanbul</v>
      </c>
      <c r="N21" s="1127" t="str">
        <v>https://istanbul.ktb.gov.tr/</v>
      </c>
      <c r="O21" s="1135" t="str">
        <v>★★★★☆ 城市生活</v>
      </c>
      <c r="P21" s="1127" t="str">
        <v>渡輪會經過／看到 Eminönü，但不再當主景點佔時。</v>
      </c>
      <c r="Q21" s="1127"/>
      <c r="R21" s="1127" t="str">
        <v>T1 Karaköy/Tophane 或 M2 Şişhane；區內步行</v>
      </c>
      <c r="S21" s="1127" t="str">
        <v>15:00–17:30 街景層次好；Galata 夜景可留到天黑</v>
      </c>
      <c r="T21" s="1127" t="str">
        <v>先保留五星；時間不足刪三星，再刪重複類型四星。</v>
      </c>
      <c r="U21" s="1127" t="str">
        <v>Eminönü 最迷人的是渡輪、釣魚、商販、清真寺和車流一起運作的城市現場。黃昏走 Galata Bridge，能把舊城與 Karaköy 同時放進視野。
為什麼值得：渡輪、釣魚、商販與清真寺同框，是很有伊斯坦堡生活感的一段。
建議停留：45–60m。把它放回整條城市動線看，比單獨到此一遊更有意思。
本次旅行怎樣理解它：渡輪、釣魚、商販與清真寺同框，是很有伊斯坦堡生活感的一段。 建議停留 45–60m。不要只完成『到過』，而是先看整體空間，再選 2–3 個真正有興趣的細節深看。</v>
      </c>
      <c r="V21" s="1127" t="str">
        <v>Eminönü 最迷人的是渡輪、釣魚、商販、清真寺和車流一起運作的城市現場。黃昏走 Galata Bridge，能把舊城與 Karaköy 同時放進視野。
這一站最重要的不是『到此一遊』，而是把它和周邊城市歷史、宗教或街區脈絡一起理解。
城市脈絡：它位於 Eminönü，屬於 河岸／街景。把它和周邊街區一起看，會比單獨拍一張正面照片更容易理解 伊斯坦堡 的歷史層次。</v>
      </c>
      <c r="W21" s="1127" t="str">
        <v>必看：新清真寺外觀、橋上釣魚、渡輪碼頭、金角灣。
實際走法：黃昏前後走一段；天氣差就只從橋頭拍。
如果只剩 30–45 分鐘，先保留最有代表性的核心空間／視角，不必勉強看完。
現場觀察清單：
① 新清真寺外觀、橋上釣魚、渡輪碼頭、金角灣。
② 走法：黃昏前後走一段；天氣差就只從橋頭拍。
③ 如果兩人興趣不同，先一起完成核心看點，再各自自由看 15–20 分鐘。</v>
      </c>
      <c r="X21" s="1127" t="str">
        <v>所在區域：Eminönü。
主行程安排：12/30。
交通：T1 Karaköy/Tophane 或 M2 Şişhane；區內步行。
建議和同區餐廳、咖啡／茶館一起安排，減少冬天來回移動。
交通／串聯：T1 Karaköy/Tophane 或 M2 Şişhane；區內步行。同區餐飲不在景點頁重複，請回「伊斯坦堡餐廳／伊斯坦堡茶咖啡」查看。</v>
      </c>
      <c r="Y21" s="1127" t="str">
        <v>開放／節日：戶外全年。
門票／預約：免費 
拍照：15:00–17:30 街景層次好；Galata 夜景可留到天黑
取捨：先保留五星；時間不足刪三星，再刪重複類型四星。
冬季實戰：戶外全年。；門票／預約：免費 
拍照：15:00–17:30 街景層次好；Galata 夜景可留到天黑
時間不足：先保留五星；時間不足刪三星，再刪重複類型四星。</v>
      </c>
    </row>
    <row r="22" ht="280" customHeight="1">
      <c r="A22" s="1146" t="str">
        <v>Kadıköy Market</v>
      </c>
      <c r="B22" s="1146" t="str">
        <v>Asian side</v>
      </c>
      <c r="C22" s="1146" t="str">
        <v>市場／街區</v>
      </c>
      <c r="D22" s="1146" t="str">
        <v>1.5–2h</v>
      </c>
      <c r="E22" s="1146" t="str">
        <v>想看本地生活與食物，亞洲岸比歷史半島更日常。</v>
      </c>
      <c r="F22" s="1146" t="str">
        <v>魚店、香料、熟食、咖啡小街。</v>
      </c>
      <c r="G22" s="1146" t="str">
        <v>從 Karaköy/Eminönü 搭公共渡輪過去，再走到 Moda。</v>
      </c>
      <c r="H22" s="1146" t="str">
        <v>街區全年；商店自定。</v>
      </c>
      <c r="I22" s="1146" t="str">
        <v>渡輪另付</v>
      </c>
      <c r="J22" s="1147" t="str"/>
      <c r="K22" s="1146" t="str">
        <v>12/30</v>
      </c>
      <c r="L22" s="1146"/>
      <c r="M22" s="1146" t="str">
        <v>https://www.google.com/maps/search/?api=1&amp;query=Kadikoy%20Market%20Istanbul</v>
      </c>
      <c r="N22" s="1146" t="str">
        <v>https://istanbul.ktb.gov.tr/</v>
      </c>
      <c r="O22" s="1148" t="str">
        <v>★★★★★ 本地生活</v>
      </c>
      <c r="P22" s="1146" t="str">
        <v>午餐 Borsam 後逛市場後街；重點是食物與居民採買。</v>
      </c>
      <c r="Q22" s="1146" t="str">
        <v>景點實拍
照片來源：https://yummyistanbul.rezdy.com/194053/kadikoy-street-food-tour
來源頁實拍；僅作私人行程辨識。</v>
      </c>
      <c r="R22" s="1146" t="str">
        <v>Google Maps 依當日公共交通；市中心優先步行／電車／Metro</v>
      </c>
      <c r="S22" s="1146" t="str">
        <v>冬季 15:30 後快速變暗；戶外點盡量日照時段，夜景點另排</v>
      </c>
      <c r="T22" s="1146" t="str">
        <v>先保留五星；時間不足刪三星，再刪重複類型四星。</v>
      </c>
      <c r="U22" s="1146" t="str">
        <v>Kadıköy Market 是吃東西比看紀念碑更重要的街區：魚、香料、熟食、麵包、咖啡與居民採買混在一起。想看伊斯坦堡真正日常生活，這裡比歷史半島更直接。
為什麼值得：想看本地生活與食物，亞洲岸比歷史半島更日常。
建議停留：1.5–2h。這類地方的重點是路線與生活感，不是單一打卡點；預留彈性比卡死分鐘數更好。
本次旅行怎樣理解它：想看本地生活與食物，亞洲岸比歷史半島更日常。 建議停留 1.5–2h。不要只完成『到過』，而是先看整體空間，再選 2–3 個真正有興趣的細節深看。</v>
      </c>
      <c r="V22" s="1146" t="str">
        <v>Kadıköy Market 是吃東西比看紀念碑更重要的街區：魚、香料、熟食、麵包、咖啡與居民採買混在一起。想看伊斯坦堡真正日常生活，這裡比歷史半島更直接。
這一站最重要的不是『到此一遊』，而是把它和周邊城市歷史、宗教或街區脈絡一起理解。
城市脈絡：它位於 Asian side，屬於 市場／街區。把它和周邊街區一起看，會比單獨拍一張正面照片更容易理解 伊斯坦堡 的歷史層次。</v>
      </c>
      <c r="W22" s="1146" t="str">
        <v>必看：魚店、香料、熟食、咖啡小街。
實際走法：從 Karaköy/Eminönü 搭公共渡輪過去，再走到 Moda。
如果只剩 30–45 分鐘，先保留最有代表性的核心空間／視角，不必勉強看完。
現場觀察清單：
① 魚店、香料、熟食、咖啡小街。
② 走法：從 Karaköy/Eminönü 搭公共渡輪過去，再走到 Moda。
③ 如果兩人興趣不同，先一起完成核心看點，再各自自由看 15–20 分鐘。</v>
      </c>
      <c r="X22" s="1146" t="str">
        <v>所在區域：Asian side。
主行程安排：備選半日。
交通：Google Maps 依當日公共交通；市中心優先步行／電車／Metro。
建議和同區餐廳、咖啡／茶館一起安排，減少冬天來回移動。
交通／串聯：Google Maps 依當日公共交通；市中心優先步行／電車／Metro。同區餐飲不在景點頁重複，請回「伊斯坦堡餐廳／伊斯坦堡茶咖啡」查看。</v>
      </c>
      <c r="Y22" s="1146" t="str">
        <v>開放／節日：街區全年；商店自定。
門票／預約：渡輪另付 
拍照：冬季 15:30 後快速變暗；戶外點盡量日照時段，夜景點另排
取捨：先保留五星；時間不足刪三星，再刪重複類型四星。
冬季實戰：街區全年；商店自定。；門票／預約：渡輪另付 
拍照：冬季 15:30 後快速變暗；戶外點盡量日照時段，夜景點另排
時間不足：先保留五星；時間不足刪三星，再刪重複類型四星。</v>
      </c>
    </row>
    <row r="23" ht="280" customHeight="1">
      <c r="A23" s="1146" t="str">
        <v>Moda Waterfront</v>
      </c>
      <c r="B23" s="1146" t="str">
        <v>Kadıköy</v>
      </c>
      <c r="C23" s="1146" t="str">
        <v>海邊／散步</v>
      </c>
      <c r="D23" s="1146" t="str">
        <v>1–1.5h</v>
      </c>
      <c r="E23" s="1146" t="str">
        <v>當地人喝茶、看海、散步的日常場景；配 Moda tea garden 很完整。</v>
      </c>
      <c r="F23" s="1146" t="str">
        <v>海邊公園、Marmara Sea 視野、居民生活。</v>
      </c>
      <c r="G23" s="1146" t="str">
        <v>Kadıköy Market → Moda 徒步，天黑前回碼頭。</v>
      </c>
      <c r="H23" s="1146" t="str">
        <v>戶外全年。</v>
      </c>
      <c r="I23" s="1146" t="str">
        <v>免費</v>
      </c>
      <c r="J23" s="1147" t="str"/>
      <c r="K23" s="1146" t="str">
        <v>12/30</v>
      </c>
      <c r="L23" s="1146"/>
      <c r="M23" s="1146" t="str">
        <v>https://www.google.com/maps/search/?api=1&amp;query=Moda%20Sahili%20Istanbul</v>
      </c>
      <c r="N23" s="1146" t="str">
        <v>https://istanbul.ktb.gov.tr/</v>
      </c>
      <c r="O23" s="1149" t="str">
        <v>★★★★☆ 本地生活</v>
      </c>
      <c r="P23" s="1146" t="str">
        <v>Kadıköy 後步行到 Moda；不把它當 monument。</v>
      </c>
      <c r="Q23" s="1146" t="str">
        <v>景點實拍
照片來源：https://www.eliteworldhotels.com.tr/blogs/bd/a-pleasant-and-advantageous-istanbul-vacation-great-places-and-activities-to-discover-in-the-city
來源頁實拍；僅作私人行程辨識。</v>
      </c>
      <c r="R23" s="1146" t="str">
        <v>Google Maps 依當日公共交通；市中心優先步行／電車／Metro</v>
      </c>
      <c r="S23" s="1146" t="str">
        <v>冬季 15:30 後快速變暗；戶外點盡量日照時段，夜景點另排</v>
      </c>
      <c r="T23" s="1146" t="str">
        <v>先保留五星；時間不足刪三星，再刪重複類型四星。</v>
      </c>
      <c r="U23" s="1146" t="str">
        <v>Moda 海邊不是『必看古蹟』，而是居民坐著喝茶、聊天、看海的生活空間。和 Kadıköy 市場一起走，才能看出亞洲岸的節奏。
為什麼值得：當地人喝茶、看海、散步的日常場景；配 Moda tea garden 很完整。
建議停留：1–1.5h。把它放回整條城市動線看，比單獨到此一遊更有意思。
本次旅行怎樣理解它：當地人喝茶、看海、散步的日常場景；配 Moda tea garden 很完整。 建議停留 1–1.5h。不要只完成『到過』，而是先看整體空間，再選 2–3 個真正有興趣的細節深看。</v>
      </c>
      <c r="V23" s="1146" t="str">
        <v>Moda 海邊不是『必看古蹟』，而是居民坐著喝茶、聊天、看海的生活空間。和 Kadıköy 市場一起走，才能看出亞洲岸的節奏。
這一站最重要的不是『到此一遊』，而是把它和周邊城市歷史、宗教或街區脈絡一起理解。
城市脈絡：它位於 Kadıköy，屬於 海邊／散步。把它和周邊街區一起看，會比單獨拍一張正面照片更容易理解 伊斯坦堡 的歷史層次。</v>
      </c>
      <c r="W23" s="1146" t="str">
        <v>必看：海邊公園、Marmara Sea 視野、居民生活。
實際走法：Kadıköy Market → Moda 徒步，天黑前回碼頭。
如果只剩 30–45 分鐘，先保留最有代表性的核心空間／視角，不必勉強看完。
現場觀察清單：
① 海邊公園、Marmara Sea 視野、居民生活。
② 走法：Kadıköy Market → Moda 徒步，天黑前回碼頭。
③ 如果兩人興趣不同，先一起完成核心看點，再各自自由看 15–20 分鐘。</v>
      </c>
      <c r="X23" s="1146" t="str">
        <v>所在區域：Kadıköy。
主行程安排：備選半日。
交通：Google Maps 依當日公共交通；市中心優先步行／電車／Metro。
建議和同區餐廳、咖啡／茶館一起安排，減少冬天來回移動。
交通／串聯：Google Maps 依當日公共交通；市中心優先步行／電車／Metro。同區餐飲不在景點頁重複，請回「伊斯坦堡餐廳／伊斯坦堡茶咖啡」查看。</v>
      </c>
      <c r="Y23" s="1146" t="str">
        <v>開放／節日：戶外全年。
門票／預約：免費 
拍照：冬季 15:30 後快速變暗；戶外點盡量日照時段，夜景點另排
取捨：先保留五星；時間不足刪三星，再刪重複類型四星。
冬季實戰：戶外全年。；門票／預約：免費 
拍照：冬季 15:30 後快速變暗；戶外點盡量日照時段，夜景點另排
時間不足：先保留五星；時間不足刪三星，再刪重複類型四星。</v>
      </c>
    </row>
    <row r="24" ht="280" customHeight="1">
      <c r="A24" s="1146" t="str">
        <v>Fener &amp; Balat</v>
      </c>
      <c r="B24" s="1146" t="str">
        <v>Golden Horn</v>
      </c>
      <c r="C24" s="1146" t="str">
        <v>歷史街區</v>
      </c>
      <c r="D24" s="1146" t="str">
        <v>2–3h</v>
      </c>
      <c r="E24" s="1146" t="str">
        <v>希臘正教、猶太與奧斯曼住宅歷史混合，適合街拍。</v>
      </c>
      <c r="F24" s="1146" t="str">
        <v>彩色房屋、希臘正教學院外觀、陡坡小街。</v>
      </c>
      <c r="G24" s="1146" t="str">
        <v>清晨或下午走；不要只追『彩色房子』打卡點。</v>
      </c>
      <c r="H24" s="1146" t="str">
        <v>街區全年；教堂／店家另查。</v>
      </c>
      <c r="I24" s="1146" t="str">
        <v>戶外免費</v>
      </c>
      <c r="J24" s="1147" t="str"/>
      <c r="K24" s="1146" t="str">
        <v>12/28</v>
      </c>
      <c r="L24" s="1146"/>
      <c r="M24" s="1146" t="str">
        <v>https://www.google.com/maps/search/?api=1&amp;query=Balat%20Istanbul</v>
      </c>
      <c r="N24" s="1146" t="str">
        <v>https://istanbul.ktb.gov.tr/</v>
      </c>
      <c r="O24" s="1149" t="str">
        <v>★★★★★ 小眾主線</v>
      </c>
      <c r="P24" s="1146" t="str">
        <v>不再只拍彩色屋：用鐵教堂、Patriarchate、St Mary of Mongols、居民坡巷做深度路線。</v>
      </c>
      <c r="Q24" s="1146" t="str">
        <v>景點實拍
照片來源：https://depositphotos.com/editorial/istanbul-old-house-doorway-45749637.html
來源頁實拍；僅作私人行程辨識。</v>
      </c>
      <c r="R24" s="1146" t="str">
        <v>Google Maps 依當日公共交通；市中心優先步行／電車／Metro</v>
      </c>
      <c r="S24" s="1146" t="str">
        <v>冬季 15:30 後快速變暗；戶外點盡量日照時段，夜景點另排</v>
      </c>
      <c r="T24" s="1146" t="str">
        <v>先保留五星；時間不足刪三星，再刪重複類型四星。</v>
      </c>
      <c r="U24" s="1146" t="str">
        <v>Fener／Balat 的價值遠超彩色房子：希臘正教、猶太、保加利亞與鄂圖曼住宅歷史都在這裡重疊。最好把宗教建築與普通街巷一起看。
為什麼值得：希臘正教、猶太與奧斯曼住宅歷史混合，適合街拍。
建議停留：2–3h。這類地方的重點是路線與生活感，不是單一打卡點；預留彈性比卡死分鐘數更好。
本次旅行怎樣理解它：希臘正教、猶太與奧斯曼住宅歷史混合，適合街拍。 建議停留 2–3h。不要只完成『到過』，而是先看整體空間，再選 2–3 個真正有興趣的細節深看。</v>
      </c>
      <c r="V24" s="1146" t="str">
        <v>Fener／Balat 的價值遠超彩色房子：希臘正教、猶太、保加利亞與鄂圖曼住宅歷史都在這裡重疊。最好把宗教建築與普通街巷一起看。
這一站最重要的不是『到此一遊』，而是把它和周邊城市歷史、宗教或街區脈絡一起理解。
城市脈絡：它位於 Golden Horn，屬於 歷史街區。把它和周邊街區一起看，會比單獨拍一張正面照片更容易理解 伊斯坦堡 的歷史層次。</v>
      </c>
      <c r="W24" s="1146" t="str">
        <v>必看：彩色房屋、希臘正教學院外觀、陡坡小街。
實際走法：清晨或下午走；不要只追『彩色房子』打卡點。
如果只剩 30–45 分鐘，先保留最有代表性的核心空間／視角，不必勉強看完。
現場觀察清單：
① 彩色房屋、希臘正教學院外觀、陡坡小街。
② 走法：清晨或下午走；不要只追『彩色房子』打卡點。
③ 如果兩人興趣不同，先一起完成核心看點，再各自自由看 15–20 分鐘。</v>
      </c>
      <c r="X24" s="1146" t="str">
        <v>所在區域：Golden Horn。
主行程安排：備選。
交通：Google Maps 依當日公共交通；市中心優先步行／電車／Metro。
建議和同區餐廳、咖啡／茶館一起安排，減少冬天來回移動。
交通／串聯：Google Maps 依當日公共交通；市中心優先步行／電車／Metro。同區餐飲不在景點頁重複，請回「伊斯坦堡餐廳／伊斯坦堡茶咖啡」查看。</v>
      </c>
      <c r="Y24" s="1146" t="str">
        <v>開放／節日：街區全年；教堂／店家另查。
門票／預約：戶外免費 
拍照：冬季 15:30 後快速變暗；戶外點盡量日照時段，夜景點另排
取捨：先保留五星；時間不足刪三星，再刪重複類型四星。
冬季實戰：街區全年；教堂／店家另查。；門票／預約：戶外免費 
拍照：冬季 15:30 後快速變暗；戶外點盡量日照時段，夜景點另排
時間不足：先保留五星；時間不足刪三星，再刪重複類型四星。</v>
      </c>
    </row>
    <row r="25" ht="280" customHeight="1">
      <c r="A25" s="1127" t="str">
        <v>Ortaköy Mosque &amp; Waterfront</v>
      </c>
      <c r="B25" s="1127" t="str">
        <v>Ortaköy</v>
      </c>
      <c r="C25" s="1127" t="str">
        <v>清真寺／海峽</v>
      </c>
      <c r="D25" s="1127" t="str">
        <v>1–1.5h</v>
      </c>
      <c r="E25" s="1127" t="str">
        <v>清真寺與大橋同框，是博斯普魯斯經典城市景觀。</v>
      </c>
      <c r="F25" s="1127" t="str">
        <v>清真寺外觀、橋景、海邊廣場。</v>
      </c>
      <c r="G25" s="1127" t="str">
        <v>和 Beşiktaş 或 Dolmabahçe 同日延伸，不單獨跨城。</v>
      </c>
      <c r="H25" s="1127" t="str">
        <v>依禮拜開放；戶外全年。</v>
      </c>
      <c r="I25" s="1127" t="str">
        <v>免費</v>
      </c>
      <c r="J25" s="1133" t="str"/>
      <c r="K25" s="1127" t="str">
        <v>備選</v>
      </c>
      <c r="L25" s="1127"/>
      <c r="M25" s="1127" t="str">
        <v>https://www.google.com/maps/search/?api=1&amp;query=Ortakoy%20Mosque%20Istanbul</v>
      </c>
      <c r="N25" s="1127" t="str">
        <v>https://istanbul.ktb.gov.tr/</v>
      </c>
      <c r="O25" s="1130" t="str">
        <v>★★★★☆ 很推薦</v>
      </c>
      <c r="P25" s="1127" t="str">
        <v>若當天體力與時間足夠就保留；時間不足先刪三星，再刪四星。</v>
      </c>
      <c r="Q25" s="1127" t="str">
        <v>景點實拍
照片來源：https://thehagiasophia.com/where-to-stay-istanbul-turkey/
來源頁實拍；僅作私人行程辨識。</v>
      </c>
      <c r="R25" s="1127" t="str">
        <v>Google Maps 依當日公共交通；市中心優先步行／電車／Metro</v>
      </c>
      <c r="S25" s="1127" t="str">
        <v>冬季 15:30 後快速變暗；戶外點盡量日照時段，夜景點另排</v>
      </c>
      <c r="T25" s="1127" t="str">
        <v>先保留五星；時間不足刪三星，再刪重複類型四星。</v>
      </c>
      <c r="U25" s="1127" t="str">
        <v>Ortaköy 的經典畫面是清真寺、Bosporus Bridge 與海面同框。最適合和 Beşiktaş／Dolmabahçe 同日延伸，不值得單獨來回兩小時。
為什麼值得：清真寺與大橋同框，是博斯普魯斯經典城市景觀。
建議停留：1–1.5h。屬於仍有宗教功能的空間，衣著、禮拜與安靜參觀比拍照優先。
本次旅行怎樣理解它：清真寺與大橋同框，是博斯普魯斯經典城市景觀。 建議停留 1–1.5h。不要只完成『到過』，而是先看整體空間，再選 2–3 個真正有興趣的細節深看。</v>
      </c>
      <c r="V25" s="1127" t="str">
        <v>Ortaköy 的經典畫面是清真寺、Bosporus Bridge 與海面同框。最適合和 Beşiktaş／Dolmabahçe 同日延伸，不值得單獨來回兩小時。
這一站最重要的不是『到此一遊』，而是把它和周邊城市歷史、宗教或街區脈絡一起理解。
城市脈絡：它位於 Ortaköy，屬於 清真寺／海峽。把它和周邊街區一起看，會比單獨拍一張正面照片更容易理解 伊斯坦堡 的歷史層次。</v>
      </c>
      <c r="W25" s="1127" t="str">
        <v>必看：清真寺外觀、橋景、海邊廣場。
實際走法：和 Beşiktaş 或 Dolmabahçe 同日延伸，不單獨跨城。
如果只剩 30–45 分鐘，先保留最有代表性的核心空間／視角，不必勉強看完。
現場觀察清單：
① 清真寺外觀、橋景、海邊廣場。
② 走法：和 Beşiktaş 或 Dolmabahçe 同日延伸，不單獨跨城。
③ 如果兩人興趣不同，先一起完成核心看點，再各自自由看 15–20 分鐘。</v>
      </c>
      <c r="X25" s="1127" t="str">
        <v>所在區域：Ortaköy。
主行程安排：備選。
交通：Google Maps 依當日公共交通；市中心優先步行／電車／Metro。
建議和同區餐廳、咖啡／茶館一起安排，減少冬天來回移動。
交通／串聯：Google Maps 依當日公共交通；市中心優先步行／電車／Metro。同區餐飲不在景點頁重複，請回「伊斯坦堡餐廳／伊斯坦堡茶咖啡」查看。</v>
      </c>
      <c r="Y25" s="1127" t="str">
        <v>開放／節日：依禮拜開放；戶外全年。
門票／預約：免費 
拍照：冬季 15:30 後快速變暗；戶外點盡量日照時段，夜景點另排
取捨：先保留五星；時間不足刪三星，再刪重複類型四星。
冬季實戰：依禮拜開放；戶外全年。；門票／預約：免費 
拍照：冬季 15:30 後快速變暗；戶外點盡量日照時段，夜景點另排
時間不足：先保留五星；時間不足刪三星，再刪重複類型四星。</v>
      </c>
    </row>
    <row r="26" ht="280" customHeight="1">
      <c r="A26" s="1127" t="str">
        <v>Eyüp Sultan &amp; Pierre Loti</v>
      </c>
      <c r="B26" s="1127" t="str">
        <v>Eyüp</v>
      </c>
      <c r="C26" s="1127" t="str">
        <v>宗教／景觀</v>
      </c>
      <c r="D26" s="1127" t="str">
        <v>2.5–3h</v>
      </c>
      <c r="E26" s="1127" t="str">
        <v>想看更本地的宗教生活與金角灣高處景色可選。</v>
      </c>
      <c r="F26" s="1127" t="str">
        <v>Eyüp Mosque 周邊、墓園、纜車、Pierre Loti。</v>
      </c>
      <c r="G26" s="1127" t="str">
        <v>半日專程才值得；主行程三天不硬塞。</v>
      </c>
      <c r="H26" s="1127" t="str">
        <v>宗教場所依禮拜；纜車／茶館另查。</v>
      </c>
      <c r="I26" s="1127" t="str">
        <v>交通／纜車另付</v>
      </c>
      <c r="J26" s="1133" t="str"/>
      <c r="K26" s="1127" t="str">
        <v>備選</v>
      </c>
      <c r="L26" s="1127"/>
      <c r="M26" s="1127" t="str">
        <v>https://www.google.com/maps/search/?api=1&amp;query=Pierre%20Loti%20Hill%20Istanbul</v>
      </c>
      <c r="N26" s="1127" t="str">
        <v>https://istanbul.ktb.gov.tr/</v>
      </c>
      <c r="O26" s="1130" t="str">
        <v>★★★★☆ 很推薦</v>
      </c>
      <c r="P26" s="1127" t="str">
        <v>若當天體力與時間足夠就保留；時間不足先刪三星，再刪四星。</v>
      </c>
      <c r="Q26" s="1127" t="str">
        <v>景點實拍
照片來源：https://popartistic.com/pierre-loti-hikayesi-istanbulun-tarihi-tepesi/
來源頁實拍；僅作私人行程辨識。</v>
      </c>
      <c r="R26" s="1127" t="str">
        <v>Google Maps 依當日公共交通；市中心優先步行／電車／Metro</v>
      </c>
      <c r="S26" s="1127" t="str">
        <v>冬季 15:30 後快速變暗；戶外點盡量日照時段，夜景點另排</v>
      </c>
      <c r="T26" s="1127" t="str">
        <v>先保留五星；時間不足刪三星，再刪重複類型四星。</v>
      </c>
      <c r="U26" s="1127" t="str">
        <v>Eyüp 是重要宗教朝聖區，Pierre Loti 則提供金角灣高處視角。這條線更適合想看本地宗教生活的人，而不是第一次三天必塞景點。
為什麼值得：想看更本地的宗教生活與金角灣高處景色可選。
建議停留：2.5–3h。屬於仍有宗教功能的空間，衣著、禮拜與安靜參觀比拍照優先。
本次旅行怎樣理解它：想看更本地的宗教生活與金角灣高處景色可選。 建議停留 2.5–3h。不要只完成『到過』，而是先看整體空間，再選 2–3 個真正有興趣的細節深看。</v>
      </c>
      <c r="V26" s="1127" t="str">
        <v>Eyüp 是重要宗教朝聖區，Pierre Loti 則提供金角灣高處視角。這條線更適合想看本地宗教生活的人，而不是第一次三天必塞景點。
這一站最重要的不是『到此一遊』，而是把它和周邊城市歷史、宗教或街區脈絡一起理解。
城市脈絡：它位於 Eyüp，屬於 宗教／景觀。把它和周邊街區一起看，會比單獨拍一張正面照片更容易理解 伊斯坦堡 的歷史層次。</v>
      </c>
      <c r="W26" s="1127" t="str">
        <v>必看：Eyüp Mosque 周邊、墓園、纜車、Pierre Loti。
實際走法：半日專程才值得；主行程三天不硬塞。
如果只剩 30–45 分鐘，先保留最有代表性的核心空間／視角，不必勉強看完。
現場觀察清單：
① Eyüp Mosque 周邊、墓園、纜車、Pierre Loti。
② 走法：半日專程才值得；主行程三天不硬塞。
③ 如果兩人興趣不同，先一起完成核心看點，再各自自由看 15–20 分鐘。</v>
      </c>
      <c r="X26" s="1127" t="str">
        <v>所在區域：Eyüp。
主行程安排：備選。
交通：Google Maps 依當日公共交通；市中心優先步行／電車／Metro。
建議和同區餐廳、咖啡／茶館一起安排，減少冬天來回移動。
交通／串聯：Google Maps 依當日公共交通；市中心優先步行／電車／Metro。同區餐飲不在景點頁重複，請回「伊斯坦堡餐廳／伊斯坦堡茶咖啡」查看。</v>
      </c>
      <c r="Y26" s="1127" t="str">
        <v>開放／節日：宗教場所依禮拜；纜車／茶館另查。
門票／預約：交通／纜車另付 
拍照：冬季 15:30 後快速變暗；戶外點盡量日照時段，夜景點另排
取捨：先保留五星；時間不足刪三星，再刪重複類型四星。
冬季實戰：宗教場所依禮拜；纜車／茶館另查。；門票／預約：交通／纜車另付 
拍照：冬季 15:30 後快速變暗；戶外點盡量日照時段，夜景點另排
時間不足：先保留五星；時間不足刪三星，再刪重複類型四星。</v>
      </c>
    </row>
    <row r="27" ht="280" customHeight="1">
      <c r="A27" s="1127" t="str">
        <v>Rumeli Fortress</v>
      </c>
      <c r="B27" s="1127" t="str">
        <v>Sarıyer</v>
      </c>
      <c r="C27" s="1127" t="str">
        <v>城堡</v>
      </c>
      <c r="D27" s="1127" t="str">
        <v>1.5–2h</v>
      </c>
      <c r="E27" s="1127" t="str">
        <v>若想加一個軍事／海峽景點，景觀比室內展品重要。</v>
      </c>
      <c r="F27" s="1127" t="str">
        <v>城牆、塔樓、博斯普魯斯最窄處。</v>
      </c>
      <c r="G27" s="1127" t="str">
        <v>距離遠，只在天氣好、已有半天多餘時間時去。</v>
      </c>
      <c r="H27" s="1127" t="str">
        <v>常規約 09–17；星期三關（12/30 是週三，不能排那天）。</v>
      </c>
      <c r="I27" s="1127" t="str">
        <v>需票</v>
      </c>
      <c r="J27" s="1133" t="str"/>
      <c r="K27" s="1127" t="str">
        <v>備選</v>
      </c>
      <c r="L27" s="1127"/>
      <c r="M27" s="1127" t="str">
        <v>https://www.google.com/maps/search/?api=1&amp;query=Rumeli%20Fortress%20Istanbul</v>
      </c>
      <c r="N27" s="1127" t="str">
        <v>https://rumelifortress.com/en/opening-hours</v>
      </c>
      <c r="O27" s="1134" t="str">
        <v>★★★☆☆ 順路可去</v>
      </c>
      <c r="P27" s="1127" t="str">
        <v>位置較遠，這次行程短；除非很喜歡鄂圖曼軍事史。</v>
      </c>
      <c r="Q27" s="1127" t="str">
        <v>景點實拍
照片來源：https://rentifa.com/blog/%D8%AF%DB%8C%D8%AF%D9%86%DB%8C-%D9%87%D8%A7%DB%8C-%D8%A7%D8%B3%D8%AA%D8%A7%D9%86%D8%A8%D9%88%D9%84
來源頁實拍；僅作私人行程辨識。</v>
      </c>
      <c r="R27" s="1127" t="str">
        <v>Google Maps 依當日公共交通；市中心優先步行／電車／Metro</v>
      </c>
      <c r="S27" s="1127" t="str">
        <v>冬季 15:30 後快速變暗；戶外點盡量日照時段，夜景點另排</v>
      </c>
      <c r="T27" s="1127" t="str">
        <v>先保留五星；時間不足刪三星，再刪重複類型四星。</v>
      </c>
      <c r="U27" s="1127" t="str">
        <v>Rumeli Fortress 直接控制 Bosphorus 最窄處，是理解鄂圖曼攻取君士坦丁堡前軍事策略的實體教材。位置遠，所以短行程只在歷史興趣很強時安排。
為什麼值得：若想加一個軍事／海峽景點，景觀比室內展品重要。
建議停留：1.5–2h。把它放回整條城市動線看，比單獨到此一遊更有意思。
本次旅行怎樣理解它：若想加一個軍事／海峽景點，景觀比室內展品重要。 建議停留 1.5–2h。不要只完成『到過』，而是先看整體空間，再選 2–3 個真正有興趣的細節深看。</v>
      </c>
      <c r="V27" s="1127" t="str">
        <v>Rumeli Fortress 直接控制 Bosphorus 最窄處，是理解鄂圖曼攻取君士坦丁堡前軍事策略的實體教材。位置遠，所以短行程只在歷史興趣很強時安排。
這一站最重要的不是『到此一遊』，而是把它和周邊城市歷史、宗教或街區脈絡一起理解。
城市脈絡：它位於 Sarıyer，屬於 城堡。把它和周邊街區一起看，會比單獨拍一張正面照片更容易理解 伊斯坦堡 的歷史層次。</v>
      </c>
      <c r="W27" s="1127" t="str">
        <v>必看：城牆、塔樓、博斯普魯斯最窄處。
實際走法：距離遠，只在天氣好、已有半天多餘時間時去。
如果只剩 30–45 分鐘，先保留最有代表性的核心空間／視角，不必勉強看完。
現場觀察清單：
① 城牆、塔樓、博斯普魯斯最窄處。
② 走法：距離遠，只在天氣好、已有半天多餘時間時去。
③ 如果兩人興趣不同，先一起完成核心看點，再各自自由看 15–20 分鐘。</v>
      </c>
      <c r="X27" s="1127" t="str">
        <v>所在區域：Sarıyer。
主行程安排：備選。
交通：Google Maps 依當日公共交通；市中心優先步行／電車／Metro。
建議和同區餐廳、咖啡／茶館一起安排，減少冬天來回移動。
交通／串聯：Google Maps 依當日公共交通；市中心優先步行／電車／Metro。同區餐飲不在景點頁重複，請回「伊斯坦堡餐廳／伊斯坦堡茶咖啡」查看。</v>
      </c>
      <c r="Y27" s="1127" t="str">
        <v>開放／節日：常規約 09–17；星期三關（12/30 是週三，不能排那天）。
門票／預約：需票 
拍照：冬季 15:30 後快速變暗；戶外點盡量日照時段，夜景點另排
取捨：先保留五星；時間不足刪三星，再刪重複類型四星。
冬季實戰：常規約 09–17；星期三關（12/30 是週三，不能排那天）。；門票／預約：需票 
拍照：冬季 15:30 後快速變暗；戶外點盡量日照時段，夜景點另排
時間不足：先保留五星；時間不足刪三星，再刪重複類型四星。</v>
      </c>
    </row>
    <row r="28" ht="280" customHeight="1">
      <c r="A28" s="1127" t="str">
        <v>Istanbul Archaeological Museums</v>
      </c>
      <c r="B28" s="1127" t="str">
        <v>Gülhane</v>
      </c>
      <c r="C28" s="1127" t="str">
        <v>考古博物館群</v>
      </c>
      <c r="D28" s="1127" t="str">
        <v>2–2.5h</v>
      </c>
      <c r="E28" s="1127" t="str">
        <v>如果你對拜占庭／古希臘羅馬／近東文明有興趣，這是歷史半島最強的『補課館』，內容遠超一般小館。</v>
      </c>
      <c r="F28" s="1127" t="str">
        <v>Alexander Sarcophagus、古代近東展品、瓷磚亭；三館不要逐件讀。</v>
      </c>
      <c r="G28" s="1127" t="str">
        <v>Topkapı 同區，但不要同一天把兩館全看完；可在 12/30 替換較弱景點。</v>
      </c>
      <c r="H28" s="1127" t="str">
        <v>官方冬季（1 Oct–31 Mar）約 09:00–18:30；目前標示每日開放。</v>
      </c>
      <c r="I28" s="1127" t="str">
        <v>外國成人參考 €15；可現場／官方購票</v>
      </c>
      <c r="J28" s="1129" t="str">
        <v>❗️</v>
      </c>
      <c r="K28" s="1127" t="str">
        <v>備選</v>
      </c>
      <c r="L28" s="1127"/>
      <c r="M28" s="1127" t="str">
        <v>https://www.google.com/maps/search/?api=1&amp;query=Istanbul%20Archaeological%20Museums%20Istanbul</v>
      </c>
      <c r="N28" s="1127" t="str">
        <v>https://turkishmuseums.kprod.kultur.gov.tr/museum/detail/2066-istanbul-archaeological-museums/2066/4</v>
      </c>
      <c r="O28" s="1130" t="str">
        <v>★★★★☆ 很推薦</v>
      </c>
      <c r="P28" s="1127" t="str">
        <v>歷史迷會很喜歡；一般旅客三天行程先保留 Topkapı／Hagia Sophia／Cistern。</v>
      </c>
      <c r="Q28" s="1127" t="str">
        <v>景點實拍
照片來源：https://constantinopolishotel.com/2023/07/11/the-archaeological-museum-arkeoloji-muzesi/
來源頁實拍；僅作私人行程辨識。</v>
      </c>
      <c r="R28" s="1127" t="str">
        <v>T1 Gülhane／Sultanahmet</v>
      </c>
      <c r="S28" s="1127" t="str">
        <v>開館後或 15:30 後；館內比戶外穩定</v>
      </c>
      <c r="T28" s="1127" t="str">
        <v>時間不足：只看 Topkapı，這館放備選。</v>
      </c>
      <c r="U28" s="1127" t="str">
        <v>三座館的收藏跨古希臘、羅馬、近東與鄂圖曼考古史，密度非常高。歷史迷可以把它當半天主角，一般旅客則只挑代表性展品。
為什麼值得：如果你對拜占庭／古希臘羅馬／近東文明有興趣，這是歷史半島最強的『補課館』，內容遠超一般小館。
建議停留：2–2.5h。建議先抓主題再看展，不要逐字讀完所有展板。
本次旅行怎樣理解它：如果你對拜占庭／古希臘羅馬／近東文明有興趣，這是歷史半島最強的『補課館』，內容遠超一般小館。 建議停留 2–2.5h。不要只完成『到過』，而是先看整體空間，再選 2–3 個真正有興趣的細節深看。</v>
      </c>
      <c r="V28" s="1127" t="str">
        <v>三座館的收藏跨古希臘、羅馬、近東與鄂圖曼考古史，密度非常高。歷史迷可以把它當半天主角，一般旅客則只挑代表性展品。
這一站最重要的不是『到此一遊』，而是把它和周邊城市歷史、宗教或街區脈絡一起理解。
城市脈絡：它位於 Gülhane，屬於 考古博物館群。把它和周邊街區一起看，會比單獨拍一張正面照片更容易理解 伊斯坦堡 的歷史層次。</v>
      </c>
      <c r="W28" s="1127" t="str">
        <v>必看：Alexander Sarcophagus、古代近東展品、瓷磚亭；三館不要逐件讀。
實際走法：Topkapı 同區，但不要同一天把兩館全看完；可在 12/30 替換較弱景點。
如果只剩 30–45 分鐘，先保留最有代表性的核心空間／視角，不必勉強看完。
現場觀察清單：
① Alexander Sarcophagus、古代近東展品、瓷磚亭；三館不要逐件讀。
② 走法：Topkapı 同區，但不要同一天把兩館全看完；可在 12/30 替換較弱景點。
③ 如果兩人興趣不同，先一起完成核心看點，再各自自由看 15–20 分鐘。</v>
      </c>
      <c r="X28" s="1127" t="str">
        <v>所在區域：Gülhane。
主行程安排：備選。
交通：T1 Gülhane／Sultanahmet。
建議和同區餐廳、咖啡／茶館一起安排，減少冬天來回移動。
交通／串聯：T1 Gülhane／Sultanahmet。同區餐飲不在景點頁重複，請回「伊斯坦堡餐廳／伊斯坦堡茶咖啡」查看。</v>
      </c>
      <c r="Y28" s="1127" t="str">
        <v>開放／節日：官方冬季（1 Oct–31 Mar）約 09:00–18:30；目前標示每日開放。
門票／預約：外國成人參考 €15；可現場／官方購票 ❗️
拍照：開館後或 15:30 後；館內比戶外穩定
取捨：時間不足：只看 Topkapı，這館放備選。
冬季實戰：官方冬季（1 Oct–31 Mar）約 09:00–18:30；目前標示每日開放。；門票／預約：外國成人參考 €15；可現場／官方購票 ❗️
拍照：開館後或 15:30 後；館內比戶外穩定
時間不足：時間不足：只看 Topkapı，這館放備選。</v>
      </c>
    </row>
    <row r="29" ht="280" customHeight="1">
      <c r="A29" s="1127" t="str">
        <v>Gülhane Park</v>
      </c>
      <c r="B29" s="1127" t="str">
        <v>Gülhane</v>
      </c>
      <c r="C29" s="1127" t="str">
        <v>公園／城市散步</v>
      </c>
      <c r="D29" s="1127" t="str">
        <v>45–60m</v>
      </c>
      <c r="E29" s="1127" t="str">
        <v>原本是 Topkapı 外花園，冬天雖沒有鬱金香，但樹林與 Sarayburnu 方向很適合把古蹟日節奏放慢。</v>
      </c>
      <c r="F29" s="1127" t="str">
        <v>林蔭、Gotlar Column、Topkapı 外圍、靠海方向。</v>
      </c>
      <c r="G29" s="1127" t="str">
        <v>Topkapı 出來後只走一段，不需要完整繞園。</v>
      </c>
      <c r="H29" s="1127" t="str">
        <v>公共公園，免費；以當日開放管理為準。</v>
      </c>
      <c r="I29" s="1127" t="str">
        <v>免費</v>
      </c>
      <c r="J29" s="1127"/>
      <c r="K29" s="1127" t="str">
        <v>○ 順路備選</v>
      </c>
      <c r="L29" s="1127"/>
      <c r="M29" s="1127" t="str">
        <v>https://www.google.com/maps/search/?api=1&amp;query=G%C3%BClhane%20Park%20Istanbul</v>
      </c>
      <c r="N29" s="1127" t="str">
        <v>https://visit.istanbul/gulhane-park</v>
      </c>
      <c r="O29" s="1130" t="str">
        <v>★★★★☆ 順路</v>
      </c>
      <c r="P29" s="1127" t="str">
        <v>科學史博物館就在 Gülhane；天氣好才多走公園。</v>
      </c>
      <c r="Q29" s="1127" t="str">
        <v>景點實拍
照片來源：https://www.expedia.com.hk/en/Gulhane-Park-Istanbul-City-Center.d6067981.Place-To-Visit
來源頁實拍；僅作私人行程辨識。</v>
      </c>
      <c r="R29" s="1127" t="str">
        <v>T1 Gülhane</v>
      </c>
      <c r="S29" s="1127" t="str">
        <v>下午斜光／樹林長軸</v>
      </c>
      <c r="T29" s="1127" t="str">
        <v>只有 15 分鐘就走入口林蔭一段。</v>
      </c>
      <c r="U29" s="1127" t="str">
        <v>Gülhane 原是 Topkapı 外圍花園，今天是舊城裡難得能放慢腳步的大片綠地。冬天沒有花季，但林蔭、城牆與海岸方向仍很舒服。
為什麼值得：原本是 Topkapı 外花園，冬天雖沒有鬱金香，但樹林與 Sarayburnu 方向很適合把古蹟日節奏放慢。
建議停留：45–60m。把它放回整條城市動線看，比單獨到此一遊更有意思。
本次旅行怎樣理解它：原本是 Topkapı 外花園，冬天雖沒有鬱金香，但樹林與 Sarayburnu 方向很適合把古蹟日節奏放慢。 建議停留 45–60m。不要只完成『到過』，而是先看整體空間，再選 2–3 個真正有興趣的細節深看。</v>
      </c>
      <c r="V29" s="1127" t="str">
        <v>Gülhane 原是 Topkapı 外圍花園，今天是舊城裡難得能放慢腳步的大片綠地。冬天沒有花季，但林蔭、城牆與海岸方向仍很舒服。
這一站最重要的不是『到此一遊』，而是把它和周邊城市歷史、宗教或街區脈絡一起理解。
城市脈絡：它位於 Gülhane，屬於 公園／城市散步。把它和周邊街區一起看，會比單獨拍一張正面照片更容易理解 伊斯坦堡 的歷史層次。</v>
      </c>
      <c r="W29" s="1127" t="str">
        <v>必看：林蔭、Gotlar Column、Topkapı 外圍、靠海方向。
實際走法：Topkapı 出來後只走一段，不需要完整繞園。
如果只剩 30–45 分鐘，先保留最有代表性的核心空間／視角，不必勉強看完。
現場觀察清單：
① 林蔭、Gotlar Column、Topkapı 外圍、靠海方向。
② 走法：Topkapı 出來後只走一段，不需要完整繞園。
③ 如果兩人興趣不同，先一起完成核心看點，再各自自由看 15–20 分鐘。</v>
      </c>
      <c r="X29" s="1127" t="str">
        <v>所在區域：Gülhane。
主行程安排：12/28 可插入。
交通：T1 Gülhane。
建議和同區餐廳、咖啡／茶館一起安排，減少冬天來回移動。
交通／串聯：T1 Gülhane。同區餐飲不在景點頁重複，請回「伊斯坦堡餐廳／伊斯坦堡茶咖啡」查看。</v>
      </c>
      <c r="Y29" s="1127" t="str">
        <v>開放／節日：公共公園，免費；以當日開放管理為準。
門票／預約：免費 
拍照：下午斜光／樹林長軸
取捨：只有 15 分鐘就走入口林蔭一段。
冬季實戰：公共公園，免費；以當日開放管理為準。；門票／預約：免費 
拍照：下午斜光／樹林長軸
時間不足：只有 15 分鐘就走入口林蔭一段。</v>
      </c>
    </row>
    <row r="30" ht="280" customHeight="1">
      <c r="A30" s="1127" t="str">
        <v>Arasta Bazaar</v>
      </c>
      <c r="B30" s="1127" t="str">
        <v>Sultanahmet</v>
      </c>
      <c r="C30" s="1127" t="str">
        <v>小型市集</v>
      </c>
      <c r="D30" s="1127" t="str">
        <v>30–45m</v>
      </c>
      <c r="E30" s="1127" t="str">
        <v>比 Grand Bazaar 小很多、壓力低，適合 Blue Mosque 後看手工品／紡織，不需要專門抽半天。</v>
      </c>
      <c r="F30" s="1127" t="str">
        <v>地毯、紡織、陶瓷、小店；附近可接 Mosaic Museum（如開）。</v>
      </c>
      <c r="G30" s="1127" t="str">
        <v>藍色清真寺南側直接穿過，設定 30 分鐘上限。</v>
      </c>
      <c r="H30" s="1127" t="str">
        <v>店舖各自營業；通常白天至晚上。</v>
      </c>
      <c r="I30" s="1127" t="str">
        <v>免費</v>
      </c>
      <c r="J30" s="1127"/>
      <c r="K30" s="1127" t="str">
        <v>○ 備選</v>
      </c>
      <c r="L30" s="1127"/>
      <c r="M30" s="1127" t="str">
        <v>https://www.google.com/maps/search/?api=1&amp;query=Arasta%20Bazaar%20Istanbul</v>
      </c>
      <c r="N30" s="1127" t="str">
        <v>https://visit.istanbul/</v>
      </c>
      <c r="O30" s="1134" t="str">
        <v>★★★☆☆ 順路</v>
      </c>
      <c r="P30" s="1127" t="str">
        <v>Arasta 不值得為了 shopping 特地排。</v>
      </c>
      <c r="Q30" s="1127"/>
      <c r="R30" s="1127" t="str">
        <v>T1 Sultanahmet</v>
      </c>
      <c r="S30" s="1127" t="str">
        <v>傍晚燈光／人較少時</v>
      </c>
      <c r="T30" s="1127" t="str">
        <v>時間緊直接穿過即可。</v>
      </c>
      <c r="U30" s="1127" t="str">
        <v>Arasta 比 Grand Bazaar 小很多，適合在 Blue Mosque 後用半小時看紡織、地毯與小店。優點是壓力小，缺點是商品選擇不如大巴扎。
為什麼值得：比 Grand Bazaar 小很多、壓力低，適合 Blue Mosque 後看手工品／紡織，不需要專門抽半天。
建議停留：30–45m。把它放回整條城市動線看，比單獨到此一遊更有意思。
本次旅行怎樣理解它：比 Grand Bazaar 小很多、壓力低，適合 Blue Mosque 後看手工品／紡織，不需要專門抽半天。 建議停留 30–45m。不要只完成『到過』，而是先看整體空間，再選 2–3 個真正有興趣的細節深看。</v>
      </c>
      <c r="V30" s="1127" t="str">
        <v>Arasta 比 Grand Bazaar 小很多，適合在 Blue Mosque 後用半小時看紡織、地毯與小店。優點是壓力小，缺點是商品選擇不如大巴扎。
這一站最重要的不是『到此一遊』，而是把它和周邊城市歷史、宗教或街區脈絡一起理解。
城市脈絡：它位於 Sultanahmet，屬於 小型市集。把它和周邊街區一起看，會比單獨拍一張正面照片更容易理解 伊斯坦堡 的歷史層次。</v>
      </c>
      <c r="W30" s="1127" t="str">
        <v>必看：地毯、紡織、陶瓷、小店；附近可接 Mosaic Museum（如開）。
實際走法：藍色清真寺南側直接穿過，設定 30 分鐘上限。
如果只剩 30–45 分鐘，先保留最有代表性的核心空間／視角，不必勉強看完。
現場觀察清單：
① 地毯、紡織、陶瓷、小店；附近可接 Mosaic Museum（如開）。
② 走法：藍色清真寺南側直接穿過，設定 30 分鐘上限。
③ 如果兩人興趣不同，先一起完成核心看點，再各自自由看 15–20 分鐘。</v>
      </c>
      <c r="X30" s="1127" t="str">
        <v>所在區域：Sultanahmet。
主行程安排：12/28 順路。
交通：T1 Sultanahmet。
建議和同區餐廳、咖啡／茶館一起安排，減少冬天來回移動。
交通／串聯：T1 Sultanahmet。同區餐飲不在景點頁重複，請回「伊斯坦堡餐廳／伊斯坦堡茶咖啡」查看。</v>
      </c>
      <c r="Y30" s="1127" t="str">
        <v>開放／節日：店舖各自營業；通常白天至晚上。
門票／預約：免費 
拍照：傍晚燈光／人較少時
取捨：時間緊直接穿過即可。
冬季實戰：店舖各自營業；通常白天至晚上。；門票／預約：免費 
拍照：傍晚燈光／人較少時
時間不足：時間緊直接穿過即可。</v>
      </c>
    </row>
    <row r="31" ht="280" customHeight="1">
      <c r="A31" s="1127" t="str">
        <v>Sokollu Mehmet Pasha Mosque</v>
      </c>
      <c r="B31" s="1127" t="str">
        <v>Sultanahmet / Kadırga</v>
      </c>
      <c r="C31" s="1127" t="str">
        <v>清真寺／Iznik 瓷磚</v>
      </c>
      <c r="D31" s="1127" t="str">
        <v>30–45m</v>
      </c>
      <c r="E31" s="1127" t="str">
        <v>規模不大但 Iznik 瓷磚非常精緻，人潮通常遠少於 Blue Mosque。</v>
      </c>
      <c r="F31" s="1127" t="str">
        <v>入口坡道、內部藍綠瓷磚、較安靜的宗教空間。</v>
      </c>
      <c r="G31" s="1127" t="str">
        <v>只在不遇禮拜時進；從 Hippodrome 向南下坡可到。</v>
      </c>
      <c r="H31" s="1127" t="str">
        <v>依每日禮拜暫停旅客；宗教場所免費。</v>
      </c>
      <c r="I31" s="1127" t="str">
        <v>免費</v>
      </c>
      <c r="J31" s="1127"/>
      <c r="K31" s="1127" t="str">
        <v>備選</v>
      </c>
      <c r="L31" s="1127"/>
      <c r="M31" s="1127" t="str">
        <v>https://www.google.com/maps/search/?api=1&amp;query=Sokollu%20Mehmet%20Pasha%20Mosque%20Istanbul</v>
      </c>
      <c r="N31" s="1127" t="str">
        <v>https://visit.istanbul/</v>
      </c>
      <c r="O31" s="1130" t="str">
        <v>★★★★☆ 很推薦</v>
      </c>
      <c r="P31" s="1127" t="str">
        <v>喜歡清真寺細節的話比多逛一個市集更值得。</v>
      </c>
      <c r="Q31" s="1127" t="str">
        <v>景點實拍
照片來源：https://www.pinterest.com/pin/371335931745624498/
來源頁實拍；僅作私人行程辨識。</v>
      </c>
      <c r="R31" s="1127" t="str">
        <v>Sultanahmet 步行</v>
      </c>
      <c r="S31" s="1127" t="str">
        <v>上午人少；室內瓷磚近看</v>
      </c>
      <c r="T31" s="1127" t="str">
        <v>時間不足保留 Rüstem Paşa，這間二選一。</v>
      </c>
      <c r="U31" s="1127" t="str">
        <v>這座小清真寺以精美 İznik 瓷磚聞名，遊客密度遠低於 Blue Mosque。對建築細節有興趣的人，這種安靜小空間往往比再看一座大地標更有記憶點。
為什麼值得：規模不大但 Iznik 瓷磚非常精緻，人潮通常遠少於 Blue Mosque。
建議停留：30–45m。屬於仍有宗教功能的空間，衣著、禮拜與安靜參觀比拍照優先。
本次旅行怎樣理解它：規模不大但 Iznik 瓷磚非常精緻，人潮通常遠少於 Blue Mosque。 建議停留 30–45m。不要只完成『到過』，而是先看整體空間，再選 2–3 個真正有興趣的細節深看。</v>
      </c>
      <c r="V31" s="1127" t="str">
        <v>這座小清真寺以精美 İznik 瓷磚聞名，遊客密度遠低於 Blue Mosque。對建築細節有興趣的人，這種安靜小空間往往比再看一座大地標更有記憶點。
這一站最重要的不是『到此一遊』，而是把它和周邊城市歷史、宗教或街區脈絡一起理解。
城市脈絡：它位於 Sultanahmet / Kadırga，屬於 清真寺／Iznik 瓷磚。把它和周邊街區一起看，會比單獨拍一張正面照片更容易理解 伊斯坦堡 的歷史層次。</v>
      </c>
      <c r="W31" s="1127" t="str">
        <v>必看：入口坡道、內部藍綠瓷磚、較安靜的宗教空間。
實際走法：只在不遇禮拜時進；從 Hippodrome 向南下坡可到。
如果只剩 30–45 分鐘，先保留最有代表性的核心空間／視角，不必勉強看完。
現場觀察清單：
① 入口坡道、內部藍綠瓷磚、較安靜的宗教空間。
② 走法：只在不遇禮拜時進；從 Hippodrome 向南下坡可到。
③ 如果兩人興趣不同，先一起完成核心看點，再各自自由看 15–20 分鐘。</v>
      </c>
      <c r="X31" s="1127" t="str">
        <v>所在區域：Sultanahmet / Kadırga。
主行程安排：備選。
交通：Sultanahmet 步行。
建議和同區餐廳、咖啡／茶館一起安排，減少冬天來回移動。
交通／串聯：Sultanahmet 步行。同區餐飲不在景點頁重複，請回「伊斯坦堡餐廳／伊斯坦堡茶咖啡」查看。</v>
      </c>
      <c r="Y31" s="1127" t="str">
        <v>開放／節日：依每日禮拜暫停旅客；宗教場所免費。
門票／預約：免費 
拍照：上午人少；室內瓷磚近看
取捨：時間不足保留 Rüstem Paşa，這間二選一。
冬季實戰：依每日禮拜暫停旅客；宗教場所免費。；門票／預約：免費 
拍照：上午人少；室內瓷磚近看
時間不足：時間不足保留 Rüstem Paşa，這間二選一。</v>
      </c>
    </row>
    <row r="32" ht="280" customHeight="1">
      <c r="A32" s="1146" t="str">
        <v>Galata Mevlevi Lodge Museum</v>
      </c>
      <c r="B32" s="1146" t="str">
        <v>Galata</v>
      </c>
      <c r="C32" s="1146" t="str">
        <v>宗教文化／博物館</v>
      </c>
      <c r="D32" s="1146" t="str">
        <v>60–75m</v>
      </c>
      <c r="E32" s="1146" t="str">
        <v>比『看旋轉舞表演』更適合先理解 Mevlevi／蘇菲文化與修道院空間。</v>
      </c>
      <c r="F32" s="1146" t="str">
        <v>Sema hall、dervish 生活空間、墓園、文學與音樂背景。</v>
      </c>
      <c r="G32" s="1146" t="str">
        <v>和 İstiklal／Galata 同區；12/29 若雨大可替換街區散步。</v>
      </c>
      <c r="H32" s="1146" t="str">
        <v>開放待確認：官方維修公告與旅遊頁資訊衝突。取得最新可入內確認才安排；一般時間不能作保證。</v>
      </c>
      <c r="I32" s="1146" t="str">
        <v>外國成人參考 €7</v>
      </c>
      <c r="J32" s="1162" t="str">
        <v>❗️</v>
      </c>
      <c r="K32" s="1146" t="str">
        <v>12/29 備選・待確認</v>
      </c>
      <c r="L32" s="1146"/>
      <c r="M32" s="1146" t="str">
        <v>https://www.google.com/maps/search/?api=1&amp;query=Galata%20Mevlevi%20Lodge%20Museum%20Istanbul</v>
      </c>
      <c r="N32" s="1146" t="str">
        <v>https://muze.gov.tr/Language/Index/EN?url=%2Fmuze-detay%3FSectionId%3DGLT01%26DistId%3DMRK</v>
      </c>
      <c r="O32" s="1149" t="str">
        <v>★★★★★ 小眾主線</v>
      </c>
      <c r="P32" s="1146" t="str">
        <v>只作 15:15–16:00 備選；若未确认開放，改 Galata 側巷／咖啡暖身。</v>
      </c>
      <c r="Q32" s="1146" t="str">
        <v>景點實拍
照片來源：https://tr.pinterest.com/pin/663084745120801189/
來源頁實拍；僅作私人行程辨識。</v>
      </c>
      <c r="R32" s="1146" t="str">
        <v>M2 Şişhane／Tünel</v>
      </c>
      <c r="S32" s="1146" t="str">
        <v>下午 15–17；院子與墓園光線柔</v>
      </c>
      <c r="T32" s="1146" t="str">
        <v>時間不足：看外部＋İstiklal 即可。</v>
      </c>
      <c r="U32" s="1146" t="str">
        <v>Mevlevi Lodge 比單純看旋轉舞更能理解蘇菲修道院、音樂、詩歌與日常生活背景。院落、墓園和 sema hall 一起看才完整。
為什麼值得：比『看旋轉舞表演』更適合先理解 Mevlevi／蘇菲文化與修道院空間。
建議停留：60–75m。建議先抓主題再看展，不要逐字讀完所有展板。
本次旅行怎樣理解它：比『看旋轉舞表演』更適合先理解 Mevlevi／蘇菲文化與修道院空間。 建議停留 60–75m。不要只完成『到過』，而是先看整體空間，再選 2–3 個真正有興趣的細節深看。</v>
      </c>
      <c r="V32" s="1146" t="str">
        <v>Mevlevi Lodge 比單純看旋轉舞更能理解蘇菲修道院、音樂、詩歌與日常生活背景。院落、墓園和 sema hall 一起看才完整。
這一站最重要的不是『到此一遊』，而是把它和周邊城市歷史、宗教或街區脈絡一起理解。
城市脈絡：它位於 Galata，屬於 宗教文化／博物館。把它和周邊街區一起看，會比單獨拍一張正面照片更容易理解 伊斯坦堡 的歷史層次。</v>
      </c>
      <c r="W32" s="1146" t="str">
        <v>必看：Sema hall、dervish 生活空間、墓園、文學與音樂背景。
實際走法：和 İstiklal／Galata 同區；12/29 若雨大可替換街區散步。
如果只剩 30–45 分鐘，先保留最有代表性的核心空間／視角，不必勉強看完。
現場觀察清單：
① Sema hall、dervish 生活空間、墓園、文學與音樂背景。
② 走法：和 İstiklal／Galata 同區；12/29 若雨大可替換街區散步。
③ 如果兩人興趣不同，先一起完成核心看點，再各自自由看 15–20 分鐘。</v>
      </c>
      <c r="X32" s="1146" t="str">
        <v>所在區域：Galata。
主行程安排：12/29 備選。
交通：M2 Şişhane／Tünel。
建議和同區餐廳、咖啡／茶館一起安排，減少冬天來回移動。
交通／串聯：M2 Şişhane／Tünel。同區餐飲不在景點頁重複，請回「伊斯坦堡餐廳／伊斯坦堡茶咖啡」查看。</v>
      </c>
      <c r="Y32" s="1146" t="str">
        <v>官方有自 2023 年起維修暫停開放公告，但旅遊頁另列開放時間。出發前須核實，不先安排不可退票券。</v>
      </c>
    </row>
    <row r="33" ht="280" customHeight="1">
      <c r="A33" s="1127" t="str">
        <v>Pera Museum</v>
      </c>
      <c r="B33" s="1127" t="str">
        <v>Tepebaşı / Beyoğlu</v>
      </c>
      <c r="C33" s="1127" t="str">
        <v>藝術博物館</v>
      </c>
      <c r="D33" s="1127" t="str">
        <v>1.25–1.75h</v>
      </c>
      <c r="E33" s="1127" t="str">
        <v>小而精，適合在 Beyoğlu 加一個室內藝術館；2026 秋冬有 Frank Bowling 等展覽，內容比純打卡更扎實。</v>
      </c>
      <c r="F33" s="1127" t="str">
        <v>Orientalist Painting 等館藏＋當期特展；建築本身也好逛。</v>
      </c>
      <c r="G33" s="1127" t="str">
        <v>只選一個特展＋館藏亮點，不要為『值回票價』每層都掃完。</v>
      </c>
      <c r="H33" s="1127" t="str">
        <v>Tue–Sat 10:00–19:00；Fri 10:00–22:00；Sun 12:00–18:00；Mon closed。</v>
      </c>
      <c r="I33" s="1127" t="str">
        <v>普通票目前參考 300 TL</v>
      </c>
      <c r="J33" s="1129" t="str">
        <v>❗️</v>
      </c>
      <c r="K33" s="1127" t="str">
        <v>12/29 備選</v>
      </c>
      <c r="L33" s="1127"/>
      <c r="M33" s="1127" t="str">
        <v>https://www.google.com/maps/search/?api=1&amp;query=Pera%20Museum%20Istanbul</v>
      </c>
      <c r="N33" s="1127" t="str">
        <v>https://www.peramuseum.org/Home/Visit</v>
      </c>
      <c r="O33" s="1130" t="str">
        <v>★★★★☆ 很推薦</v>
      </c>
      <c r="P33" s="1127" t="str">
        <v>12/29 是星期二；若天氣差，Pera 比在 İstiklal 淋雨更值得。</v>
      </c>
      <c r="Q33" s="1127"/>
      <c r="R33" s="1127" t="str">
        <v>M2 Şişhane＋步行</v>
      </c>
      <c r="S33" s="1127" t="str">
        <v>17:00 前後；室內不受天氣影響</v>
      </c>
      <c r="T33" s="1127" t="str">
        <v>時間不足先保留 SALT（免費＋動線更順），Pera 放備選。</v>
      </c>
      <c r="U33" s="1127" t="str">
        <v>Pera Museum 規模不大，適合選一個特展加館藏亮點。它補的是 Beyoğlu 的文化史與現代藝術，不會像大型博物館吃掉半天。
為什麼值得：小而精，適合在 Beyoğlu 加一個室內藝術館；2026 秋冬有 Frank Bowling 等展覽，內容比純打卡更扎實。
建議停留：1.25–1.75h。建議先抓主題再看展，不要逐字讀完所有展板。
本次旅行怎樣理解它：小而精，適合在 Beyoğlu 加一個室內藝術館；2026 秋冬有 Frank Bowling 等展覽，內容比純打卡更扎實。 建議停留 1.25–1.75h。不要只完成『到過』，而是先看整體空間，再選 2–3 個真正有興趣的細節深看。</v>
      </c>
      <c r="V33" s="1127" t="str">
        <v>Pera Museum 規模不大，適合選一個特展加館藏亮點。它補的是 Beyoğlu 的文化史與現代藝術，不會像大型博物館吃掉半天。
這一站最重要的不是『到此一遊』，而是把它和周邊城市歷史、宗教或街區脈絡一起理解。
城市脈絡：它位於 Tepebaşı / Beyoğlu，屬於 藝術博物館。把它和周邊街區一起看，會比單獨拍一張正面照片更容易理解 伊斯坦堡 的歷史層次。</v>
      </c>
      <c r="W33" s="1127" t="str">
        <v>必看：Orientalist Painting 等館藏＋當期特展；建築本身也好逛。
實際走法：只選一個特展＋館藏亮點，不要為『值回票價』每層都掃完。
如果只剩 30–45 分鐘，先保留最有代表性的核心空間／視角，不必勉強看完。
現場觀察清單：
① Orientalist Painting 等館藏＋當期特展；建築本身也好逛。
② 走法：只選一個特展＋館藏亮點，不要為『值回票價』每層都掃完。
③ 如果兩人興趣不同，先一起完成核心看點，再各自自由看 15–20 分鐘。</v>
      </c>
      <c r="X33" s="1127" t="str">
        <v>所在區域：Tepebaşı / Beyoğlu。
主行程安排：12/29 備選。
交通：M2 Şişhane＋步行。
建議和同區餐廳、咖啡／茶館一起安排，減少冬天來回移動。
交通／串聯：M2 Şişhane＋步行。同區餐飲不在景點頁重複，請回「伊斯坦堡餐廳／伊斯坦堡茶咖啡」查看。</v>
      </c>
      <c r="Y33" s="1127" t="str">
        <v>開放／節日：Tue–Sat 10:00–19:00；Fri 10:00–22:00；Sun 12:00–18:00；Mon closed。
門票／預約：普通票目前參考 300 TL ❗️
拍照：17:00 前後；室內不受天氣影響
取捨：時間不足先保留 SALT（免費＋動線更順），Pera 放備選。
冬季實戰：Tue–Sat 10:00–19:00；Fri 10:00–22:00；Sun 12:00–18:00；Mon closed。；門票／預約：普通票目前參考 300 TL ❗️
拍照：17:00 前後；室內不受天氣影響
時間不足：時間不足先保留 SALT（免費＋動線更順），Pera 放備選。</v>
      </c>
    </row>
    <row r="34" ht="280" customHeight="1">
      <c r="A34" s="1146" t="str">
        <v>İstiklal Avenue &amp; Çiçek Pasajı</v>
      </c>
      <c r="B34" s="1146" t="str">
        <v>Beyoğlu</v>
      </c>
      <c r="C34" s="1146" t="str">
        <v>街區／夜逛</v>
      </c>
      <c r="D34" s="1146" t="str">
        <v>1–1.5h</v>
      </c>
      <c r="E34" s="1146" t="str">
        <v>這條線不是一個『景點』，而是晚餐前後感受 Beyoğlu 夜生活、歷史立面與人流的城市體驗。</v>
      </c>
      <c r="F34" s="1146" t="str">
        <v>İstiklal 主街、老電車、Çiçek Pasajı 外觀、側巷、教堂／領事館立面。</v>
      </c>
      <c r="G34" s="1146" t="str">
        <v>不要從頭到尾只走主街；每 10–15 分鐘轉一條側巷再回主線。</v>
      </c>
      <c r="H34" s="1146" t="str">
        <v>街道全年；店舖各自營業。</v>
      </c>
      <c r="I34" s="1146" t="str">
        <v>免費</v>
      </c>
      <c r="J34" s="1146"/>
      <c r="K34" s="1146" t="str">
        <v>12/28／12/29 晚</v>
      </c>
      <c r="L34" s="1146"/>
      <c r="M34" s="1146" t="str">
        <v>https://www.google.com/maps/search/?api=1&amp;query=%C4%B0stiklal%20Avenue%20%C3%87i%C3%A7ek%20Pasaj%C4%B1%20Istanbul</v>
      </c>
      <c r="N34" s="1146" t="str">
        <v>https://visit.istanbul/</v>
      </c>
      <c r="O34" s="1149" t="str">
        <v>★★★★☆ 很推薦</v>
      </c>
      <c r="P34" s="1146" t="str">
        <v>已經在晚餐後行程裡，值得具體當作『逛街』而不是空白時間。</v>
      </c>
      <c r="Q34" s="1146" t="str">
        <v>景點實拍
照片來源：https://www.pinterest.com/pin/433964114078259669/
來源頁實拍；僅作私人行程辨識。</v>
      </c>
      <c r="R34" s="1146" t="str">
        <v>M2 Taksim／Şişhane</v>
      </c>
      <c r="S34" s="1146" t="str">
        <v>19:30 後城市燈光；早上人少拍建築</v>
      </c>
      <c r="T34" s="1146" t="str">
        <v>只有 30 分鐘就走 Galatasaray–Tünel 一段。</v>
      </c>
      <c r="U34" s="1146" t="str">
        <v>İstiklal 最好看的不是『從頭走到尾』，而是主街與側巷的切換：老電車、passage、教堂、書店與餐廳一起構成 Beyoğlu 的城市生活。
為什麼值得：這條線不是一個『景點』，而是晚餐前後感受 Beyoğlu 夜生活、歷史立面與人流的城市體驗。
建議停留：1–1.5h。這類地方的重點是路線與生活感，不是單一打卡點；預留彈性比卡死分鐘數更好。
本次旅行怎樣理解它：這條線不是一個『景點』，而是晚餐前後感受 Beyoğlu 夜生活、歷史立面與人流的城市體驗。 建議停留 1–1.5h。不要只完成『到過』，而是先看整體空間，再選 2–3 個真正有興趣的細節深看。</v>
      </c>
      <c r="V34" s="1146" t="str">
        <v>İstiklal 最好看的不是『從頭走到尾』，而是主街與側巷的切換：老電車、passage、教堂、書店與餐廳一起構成 Beyoğlu 的城市生活。
這一站最重要的不是『到此一遊』，而是把它和周邊城市歷史、宗教或街區脈絡一起理解。
城市脈絡：它位於 Beyoğlu，屬於 街區／夜逛。把它和周邊街區一起看，會比單獨拍一張正面照片更容易理解 伊斯坦堡 的歷史層次。</v>
      </c>
      <c r="W34" s="1146" t="str">
        <v>必看：İstiklal 主街、老電車、Çiçek Pasajı 外觀、側巷、教堂／領事館立面。
實際走法：不要從頭到尾只走主街；每 10–15 分鐘轉一條側巷再回主線。
如果只剩 30–45 分鐘，先保留最有代表性的核心空間／視角，不必勉強看完。
現場觀察清單：
① İstiklal 主街、老電車、Çiçek Pasajı 外觀、側巷、教堂／領事館立面。
② 走法：不要從頭到尾只走主街；每 10–15 分鐘轉一條側巷再回主線。
③ 如果兩人興趣不同，先一起完成核心看點，再各自自由看 15–20 分鐘。</v>
      </c>
      <c r="X34" s="1146" t="str">
        <v>所在區域：Beyoğlu。
主行程安排：12/28／12/29 晚。
交通：M2 Taksim／Şişhane。
建議和同區餐廳、咖啡／茶館一起安排，減少冬天來回移動。
交通／串聯：M2 Taksim／Şişhane。同區餐飲不在景點頁重複，請回「伊斯坦堡餐廳／伊斯坦堡茶咖啡」查看。</v>
      </c>
      <c r="Y34" s="1146" t="str">
        <v>開放／節日：街道全年；店舖各自營業。
門票／預約：免費 
拍照：19:30 後城市燈光；早上人少拍建築
取捨：只有 30 分鐘就走 Galatasaray–Tünel 一段。
冬季實戰：街道全年；店舖各自營業。；門票／預約：免費 
拍照：19:30 後城市燈光；早上人少拍建築
時間不足：只有 30 分鐘就走 Galatasaray–Tünel 一段。</v>
      </c>
    </row>
    <row r="35" ht="280" customHeight="1">
      <c r="A35" s="1127" t="str">
        <v>Kılıç Ali Paşa Mosque &amp; Tophane</v>
      </c>
      <c r="B35" s="1127" t="str">
        <v>Tophane</v>
      </c>
      <c r="C35" s="1127" t="str">
        <v>清真寺／海岸街區</v>
      </c>
      <c r="D35" s="1127" t="str">
        <v>45–60m</v>
      </c>
      <c r="E35" s="1127" t="str">
        <v>Mimar Sinan 晚期作品，離 Istanbul Modern 很近；人少、比例漂亮，能把現代藝術館和鄂圖曼建築接起來。</v>
      </c>
      <c r="F35" s="1127" t="str">
        <v>中庭、穹頂、Tophane 街景；可連 Galataport 海邊。</v>
      </c>
      <c r="G35" s="1127" t="str">
        <v>Istanbul Modern 前後順路進，不要特地從舊城跨過來。</v>
      </c>
      <c r="H35" s="1127" t="str">
        <v>依禮拜暫停旅客；免費。</v>
      </c>
      <c r="I35" s="1127" t="str">
        <v>免費</v>
      </c>
      <c r="J35" s="1127"/>
      <c r="K35" s="1127" t="str">
        <v>○ 備選</v>
      </c>
      <c r="L35" s="1127"/>
      <c r="M35" s="1127" t="str">
        <v>https://www.google.com/maps/search/?api=1&amp;query=K%C4%B1l%C4%B1%C3%A7%20Ali%20Pa%C5%9Fa%20Mosque%20Istanbul</v>
      </c>
      <c r="N35" s="1127" t="str">
        <v>https://visit.istanbul/</v>
      </c>
      <c r="O35" s="1130" t="str">
        <v>★★★★☆ 順路</v>
      </c>
      <c r="P35" s="1127" t="str">
        <v>Istanbul Modern 已去過時，Kılıç Ali Paşa 只在 Tophane 順路看。</v>
      </c>
      <c r="Q35" s="1127" t="str">
        <v>景點實拍
照片來源：https://saoriinistanbul.hatenablog.com/entry/2024/11/28/060000
來源頁實拍；僅作私人行程辨識。</v>
      </c>
      <c r="R35" s="1127" t="str">
        <v>T1 Tophane</v>
      </c>
      <c r="S35" s="1127" t="str">
        <v>午後外牆／中庭；避禮拜</v>
      </c>
      <c r="T35" s="1127" t="str">
        <v>時間不足可只看外觀。</v>
      </c>
      <c r="U35" s="1127" t="str">
        <v>Kılıç Ali Paşa 是 Mimar Sinan 晚期作品，離 Istanbul Modern 很近。把它和 Tophane 海岸、現代藝術館一起看，能在半小時內看到鄂圖曼與當代伊斯坦堡對話。
為什麼值得：Mimar Sinan 晚期作品，離 Istanbul Modern 很近；人少、比例漂亮，能把現代藝術館和鄂圖曼建築接起來。
建議停留：45–60m。屬於仍有宗教功能的空間，衣著、禮拜與安靜參觀比拍照優先。
本次旅行怎樣理解它：Mimar Sinan 晚期作品，離 Istanbul Modern 很近；人少、比例漂亮，能把現代藝術館和鄂圖曼建築接起來。 建議停留 45–60m。不要只完成『到過』，而是先看整體空間，再選 2–3 個真正有興趣的細節深看。</v>
      </c>
      <c r="V35" s="1127" t="str">
        <v>Kılıç Ali Paşa 是 Mimar Sinan 晚期作品，離 Istanbul Modern 很近。把它和 Tophane 海岸、現代藝術館一起看，能在半小時內看到鄂圖曼與當代伊斯坦堡對話。
這一站最重要的不是『到此一遊』，而是把它和周邊城市歷史、宗教或街區脈絡一起理解。
城市脈絡：它位於 Tophane，屬於 清真寺／海岸街區。把它和周邊街區一起看，會比單獨拍一張正面照片更容易理解 伊斯坦堡 的歷史層次。</v>
      </c>
      <c r="W35" s="1127" t="str">
        <v>必看：中庭、穹頂、Tophane 街景；可連 Galataport 海邊。
實際走法：Istanbul Modern 前後順路進，不要特地從舊城跨過來。
如果只剩 30–45 分鐘，先保留最有代表性的核心空間／視角，不必勉強看完。
現場觀察清單：
① 中庭、穹頂、Tophane 街景；可連 Galataport 海邊。
② 走法：Istanbul Modern 前後順路進，不要特地從舊城跨過來。
③ 如果兩人興趣不同，先一起完成核心看點，再各自自由看 15–20 分鐘。</v>
      </c>
      <c r="X35" s="1127" t="str">
        <v>所在區域：Tophane。
主行程安排：12/29 順路。
交通：T1 Tophane。
建議和同區餐廳、咖啡／茶館一起安排，減少冬天來回移動。
交通／串聯：T1 Tophane。同區餐飲不在景點頁重複，請回「伊斯坦堡餐廳／伊斯坦堡茶咖啡」查看。</v>
      </c>
      <c r="Y35" s="1127" t="str">
        <v>開放／節日：依禮拜暫停旅客；免費。
門票／預約：免費 
拍照：午後外牆／中庭；避禮拜
取捨：時間不足可只看外觀。
冬季實戰：依禮拜暫停旅客；免費。；門票／預約：免費 
拍照：午後外牆／中庭；避禮拜
時間不足：時間不足可只看外觀。</v>
      </c>
    </row>
    <row r="36" ht="280" customHeight="1">
      <c r="A36" s="1127" t="str">
        <v>Üsküdar &amp; Salacak Waterfront</v>
      </c>
      <c r="B36" s="1127" t="str">
        <v>Asian side</v>
      </c>
      <c r="C36" s="1127" t="str">
        <v>海峽／街區</v>
      </c>
      <c r="D36" s="1127" t="str">
        <v>1.5–2.5h</v>
      </c>
      <c r="E36" s="1127" t="str">
        <v>想看『不是景區、而是居民城市』的亞洲岸，又不想走到 Kadıköy，Üsküdar 是最容易的半日。</v>
      </c>
      <c r="F36" s="1127" t="str">
        <v>渡輪、海邊、Maiden’s Tower 遠景、Mihrimah Sultan Mosque 周邊。</v>
      </c>
      <c r="G36" s="1127" t="str">
        <v>從 Eminönü/Karaköy 搭公共渡輪；日落前到 Salacak，再回歐洲岸。</v>
      </c>
      <c r="H36" s="1127" t="str">
        <v>戶外全年；渡輪班次依當日。</v>
      </c>
      <c r="I36" s="1127" t="str">
        <v>渡輪＋戶外免費／低成本</v>
      </c>
      <c r="J36" s="1127"/>
      <c r="K36" s="1127" t="str">
        <v>備選半日</v>
      </c>
      <c r="L36" s="1127"/>
      <c r="M36" s="1127" t="str">
        <v>https://www.google.com/maps/search/?api=1&amp;query=Salacak%20%C3%9Csk%C3%BCdar%20waterfront%20Istanbul</v>
      </c>
      <c r="N36" s="1127" t="str">
        <v>https://visit.istanbul/</v>
      </c>
      <c r="O36" s="1130" t="str">
        <v>★★★★☆ 很推薦</v>
      </c>
      <c r="P36" s="1127" t="str">
        <v>若你們想加『搭船＋海峽日落』，我會在 Pierre Loti 之前選 Üsküdar。</v>
      </c>
      <c r="Q36" s="1127" t="str">
        <v>景點實拍
照片來源：https://x.com/solcugazete/status/1769098332947791944
來源頁實拍；僅作私人行程辨識。</v>
      </c>
      <c r="R36" s="1127" t="str">
        <v>公共渡輪 Üsküdar</v>
      </c>
      <c r="S36" s="1127" t="str">
        <v>日落前 45 分鐘最好</v>
      </c>
      <c r="T36" s="1127" t="str">
        <v>時間不足只搭一次公共渡輪往返，也能有海上體驗。</v>
      </c>
      <c r="U36" s="1127" t="str">
        <v>Üsküdar 是亞洲岸最容易加入短行程的海峽生活區。渡輪、清真寺、居民商店與 Salacak 的 Maiden's Tower 遠景，能一次完成『搭船＋日常＋夕陽』。
為什麼值得：想看『不是景區、而是居民城市』的亞洲岸，又不想走到 Kadıköy，Üsküdar 是最容易的半日。
建議停留：1.5–2.5h。這類地方的重點是路線與生活感，不是單一打卡點；預留彈性比卡死分鐘數更好。
本次旅行怎樣理解它：想看『不是景區、而是居民城市』的亞洲岸，又不想走到 Kadıköy，Üsküdar 是最容易的半日。 建議停留 1.5–2.5h。不要只完成『到過』，而是先看整體空間，再選 2–3 個真正有興趣的細節深看。</v>
      </c>
      <c r="V36" s="1127" t="str">
        <v>Üsküdar 是亞洲岸最容易加入短行程的海峽生活區。渡輪、清真寺、居民商店與 Salacak 的 Maiden's Tower 遠景，能一次完成『搭船＋日常＋夕陽』。
這一站最重要的不是『到此一遊』，而是把它和周邊城市歷史、宗教或街區脈絡一起理解。
城市脈絡：它位於 Asian side，屬於 海峽／街區。把它和周邊街區一起看，會比單獨拍一張正面照片更容易理解 伊斯坦堡 的歷史層次。</v>
      </c>
      <c r="W36" s="1127" t="str">
        <v>必看：渡輪、海邊、Maiden’s Tower 遠景、Mihrimah Sultan Mosque 周邊。
實際走法：從 Eminönü/Karaköy 搭公共渡輪；日落前到 Salacak，再回歐洲岸。
如果只剩 30–45 分鐘，先保留最有代表性的核心空間／視角，不必勉強看完。
現場觀察清單：
① 渡輪、海邊、Maiden’s Tower 遠景、Mihrimah Sultan Mosque 周邊。
② 走法：從 Eminönü/Karaköy 搭公共渡輪；日落前到 Salacak，再回歐洲岸。
③ 如果兩人興趣不同，先一起完成核心看點，再各自自由看 15–20 分鐘。</v>
      </c>
      <c r="X36" s="1127" t="str">
        <v>所在區域：Asian side。
主行程安排：備選半日。
交通：公共渡輪 Üsküdar。
建議和同區餐廳、咖啡／茶館一起安排，減少冬天來回移動。
交通／串聯：公共渡輪 Üsküdar。同區餐飲不在景點頁重複，請回「伊斯坦堡餐廳／伊斯坦堡茶咖啡」查看。</v>
      </c>
      <c r="Y36" s="1127" t="str">
        <v>開放／節日：戶外全年；渡輪班次依當日。
門票／預約：渡輪＋戶外免費／低成本 
拍照：日落前 45 分鐘最好
取捨：時間不足只搭一次公共渡輪往返，也能有海上體驗。
冬季實戰：戶外全年；渡輪班次依當日。；門票／預約：渡輪＋戶外免費／低成本 
拍照：日落前 45 分鐘最好
時間不足：時間不足只搭一次公共渡輪往返，也能有海上體驗。</v>
      </c>
    </row>
    <row r="37" ht="280" customHeight="1">
      <c r="A37" s="1127" t="str">
        <v>Fener: Bulgarian St. Stephen + Patriarchate</v>
      </c>
      <c r="B37" s="1127" t="str">
        <v>Fener</v>
      </c>
      <c r="C37" s="1127" t="str">
        <v>宗教／歷史街區</v>
      </c>
      <c r="D37" s="1127" t="str">
        <v>1.5–2h</v>
      </c>
      <c r="E37" s="1127" t="str">
        <v>Fener 不只是彩色房子；保加利亞鐵教堂與希臘正教牧首區能看到多宗教伊斯坦堡。</v>
      </c>
      <c r="F37" s="1127" t="str">
        <v>St. Stephen Bulgarian Church、Ecumenical Patriarchate 周邊、陡坡街區。</v>
      </c>
      <c r="G37" s="1127" t="str">
        <v>先看兩個宗教節點，再走 2–3 條巷；不要追網紅彩色樓拍一小時。</v>
      </c>
      <c r="H37" s="1127" t="str">
        <v>宗教場所訪客時間各自調整；出發前核對。</v>
      </c>
      <c r="I37" s="1127" t="str">
        <v>多數免費；尊重宗教活動</v>
      </c>
      <c r="J37" s="1127"/>
      <c r="K37" s="1127" t="str">
        <v>備選</v>
      </c>
      <c r="L37" s="1127"/>
      <c r="M37" s="1127" t="str">
        <v>https://www.google.com/maps/search/?api=1&amp;query=St%20Stephen%20Bulgarian%20Orthodox%20Church%20Fener%20Istanbul</v>
      </c>
      <c r="N37" s="1127" t="str">
        <v>https://visit.istanbul/</v>
      </c>
      <c r="O37" s="1130" t="str">
        <v>★★★★☆ 很推薦</v>
      </c>
      <c r="P37" s="1127" t="str">
        <v>如果加 Balat 半日，把這兩個點放核心，行程會比純拍彩色屋更有內容。</v>
      </c>
      <c r="Q37" s="1127"/>
      <c r="R37" s="1127" t="str">
        <v>Golden Horn tram/bus＋步行</v>
      </c>
      <c r="S37" s="1127" t="str">
        <v>上午／下午斜光；街拍留意居民私隱</v>
      </c>
      <c r="T37" s="1127" t="str">
        <v>時間不足就只看鐵教堂＋沿金角灣走一段。</v>
      </c>
      <c r="U37" s="1127" t="str">
        <v>這條線把 Fener 的宗教多樣性具體化：保加利亞鐵教堂、希臘正教牧首區與金角灣街巷。比只追彩色樓更有內容。
為什麼值得：Fener 不只是彩色房子；保加利亞鐵教堂與希臘正教牧首區能看到多宗教伊斯坦堡。
建議停留：1.5–2h。屬於仍有宗教功能的空間，衣著、禮拜與安靜參觀比拍照優先。
本次旅行怎樣理解它：Fener 不只是彩色房子；保加利亞鐵教堂與希臘正教牧首區能看到多宗教伊斯坦堡。 建議停留 1.5–2h。不要只完成『到過』，而是先看整體空間，再選 2–3 個真正有興趣的細節深看。</v>
      </c>
      <c r="V37" s="1127" t="str">
        <v>這條線把 Fener 的宗教多樣性具體化：保加利亞鐵教堂、希臘正教牧首區與金角灣街巷。比只追彩色樓更有內容。
這一站最重要的不是『到此一遊』，而是把它和周邊城市歷史、宗教或街區脈絡一起理解。
城市脈絡：它位於 Fener，屬於 宗教／歷史街區。把它和周邊街區一起看，會比單獨拍一張正面照片更容易理解 伊斯坦堡 的歷史層次。</v>
      </c>
      <c r="W37" s="1127" t="str">
        <v>必看：St. Stephen Bulgarian Church、Ecumenical Patriarchate 周邊、陡坡街區。
實際走法：先看兩個宗教節點，再走 2–3 條巷；不要追網紅彩色樓拍一小時。
如果只剩 30–45 分鐘，先保留最有代表性的核心空間／視角，不必勉強看完。
現場觀察清單：
① St. Stephen Bulgarian Church、Ecumenical Patriarchate 周邊、陡坡街區。
② 走法：先看兩個宗教節點，再走 2–3 條巷；不要追網紅彩色樓拍一小時。
③ 如果兩人興趣不同，先一起完成核心看點，再各自自由看 15–20 分鐘。</v>
      </c>
      <c r="X37" s="1127" t="str">
        <v>所在區域：Fener。
主行程安排：備選。
交通：Golden Horn tram/bus＋步行。
建議和同區餐廳、咖啡／茶館一起安排，減少冬天來回移動。
交通／串聯：Golden Horn tram/bus＋步行。同區餐飲不在景點頁重複，請回「伊斯坦堡餐廳／伊斯坦堡茶咖啡」查看。</v>
      </c>
      <c r="Y37" s="1127" t="str">
        <v>開放／節日：宗教場所訪客時間各自調整；出發前核對。
門票／預約：多數免費；尊重宗教活動 
拍照：上午／下午斜光；街拍留意居民私隱
取捨：時間不足就只看鐵教堂＋沿金角灣走一段。
冬季實戰：宗教場所訪客時間各自調整；出發前核對。；門票／預約：多數免費；尊重宗教活動 
拍照：上午／下午斜光；街拍留意居民私隱
時間不足：時間不足就只看鐵教堂＋沿金角灣走一段。</v>
      </c>
    </row>
    <row r="38" ht="280" customHeight="1">
      <c r="A38" s="1127" t="str">
        <v>Galataport Waterfront</v>
      </c>
      <c r="B38" s="1127" t="str">
        <v>Karaköy</v>
      </c>
      <c r="C38" s="1127" t="str">
        <v>現代海濱／逛街</v>
      </c>
      <c r="D38" s="1127" t="str">
        <v>45–75m</v>
      </c>
      <c r="E38" s="1127" t="str">
        <v>不是歷史必看，但下雨後轉晴或想逛街休息時很方便，能看 Bosphorus 與現代 Istanbul waterfront。</v>
      </c>
      <c r="F38" s="1127" t="str">
        <v>海濱步道、郵輪碼頭改造、商店／餐飲、海景。</v>
      </c>
      <c r="G38" s="1127" t="str">
        <v>只當 Istanbul Modern／Kılıç Ali Paşa 的延伸，不單獨佔半天。</v>
      </c>
      <c r="H38" s="1127" t="str">
        <v>公共區域通常長時段；商店各自營業。</v>
      </c>
      <c r="I38" s="1127" t="str">
        <v>公共區域免費</v>
      </c>
      <c r="J38" s="1127"/>
      <c r="K38" s="1127" t="str">
        <v>○ 備選</v>
      </c>
      <c r="L38" s="1127"/>
      <c r="M38" s="1127" t="str">
        <v>https://www.google.com/maps/search/?api=1&amp;query=Galataport%20Istanbul%20Istanbul</v>
      </c>
      <c r="N38" s="1127" t="str">
        <v>https://galataport.com/</v>
      </c>
      <c r="O38" s="1134" t="str">
        <v>★★★☆☆ 順路</v>
      </c>
      <c r="P38" s="1127" t="str">
        <v>Galataport 是休息／海邊備選，不是文化主線。</v>
      </c>
      <c r="Q38" s="1127"/>
      <c r="R38" s="1127" t="str">
        <v>T1 Tophane／Karaköy</v>
      </c>
      <c r="S38" s="1127" t="str">
        <v>傍晚海邊最好</v>
      </c>
      <c r="T38" s="1127" t="str">
        <v>時間不足直接刪。</v>
      </c>
      <c r="U38" s="1127" t="str">
        <v>Galataport 是現代海濱改造與郵輪碼頭，不是歷史必去，但很適合 Istanbul Modern 後天氣好時散步。把它當休息／逛街延伸即可。
為什麼值得：不是歷史必看，但下雨後轉晴或想逛街休息時很方便，能看 Bosphorus 與現代 Istanbul waterfront。
建議停留：45–75m。把它放回整條城市動線看，比單獨到此一遊更有意思。
本次旅行怎樣理解它：不是歷史必看，但下雨後轉晴或想逛街休息時很方便，能看 Bosphorus 與現代 Istanbul waterfront。 建議停留 45–75m。不要只完成『到過』，而是先看整體空間，再選 2–3 個真正有興趣的細節深看。</v>
      </c>
      <c r="V38" s="1127" t="str">
        <v>Galataport 是現代海濱改造與郵輪碼頭，不是歷史必去，但很適合 Istanbul Modern 後天氣好時散步。把它當休息／逛街延伸即可。
這一站最重要的不是『到此一遊』，而是把它和周邊城市歷史、宗教或街區脈絡一起理解。
城市脈絡：它位於 Karaköy，屬於 現代海濱／逛街。把它和周邊街區一起看，會比單獨拍一張正面照片更容易理解 伊斯坦堡 的歷史層次。</v>
      </c>
      <c r="W38" s="1127" t="str">
        <v>必看：海濱步道、郵輪碼頭改造、商店／餐飲、海景。
實際走法：只當 Istanbul Modern／Kılıç Ali Paşa 的延伸，不單獨佔半天。
如果只剩 30–45 分鐘，先保留最有代表性的核心空間／視角，不必勉強看完。
現場觀察清單：
① 海濱步道、郵輪碼頭改造、商店／餐飲、海景。
② 走法：只當 Istanbul Modern／Kılıç Ali Paşa 的延伸，不單獨佔半天。
③ 如果兩人興趣不同，先一起完成核心看點，再各自自由看 15–20 分鐘。</v>
      </c>
      <c r="X38" s="1127" t="str">
        <v>所在區域：Karaköy。
主行程安排：12/29 順路備選。
交通：T1 Tophane／Karaköy。
建議和同區餐廳、咖啡／茶館一起安排，減少冬天來回移動。
交通／串聯：T1 Tophane／Karaköy。同區餐飲不在景點頁重複，請回「伊斯坦堡餐廳／伊斯坦堡茶咖啡」查看。</v>
      </c>
      <c r="Y38" s="1127" t="str">
        <v>開放／節日：公共區域通常長時段；商店各自營業。
門票／預約：公共區域免費 
拍照：傍晚海邊最好
取捨：時間不足直接刪。
冬季實戰：公共區域通常長時段；商店各自營業。；門票／預約：公共區域免費 
拍照：傍晚海邊最好
時間不足：時間不足直接刪。</v>
      </c>
    </row>
    <row r="39" ht="280" customHeight="1">
      <c r="A39" s="1146" t="str">
        <v>İslam Bilim ve Teknoloji Tarihi Müzesi</v>
      </c>
      <c r="B39" s="1146" t="str">
        <v>Gülhane</v>
      </c>
      <c r="C39" s="1146" t="str">
        <v>小眾博物館／科學史</v>
      </c>
      <c r="D39" s="1146" t="str">
        <v>1–1.25h</v>
      </c>
      <c r="E39" s="1146" t="str">
        <v>比皇宮／宗教大景點更少一般旅客；用實物模型看伊斯蘭世界在天文、航海、醫學、數學、光學等領域的科學史。</v>
      </c>
      <c r="F39" s="1146" t="str">
        <v>585 件儀器／模型；天文、鐘錶、航海、醫學、物理、數學、光學分區；建築是 Topkapı 舊皇家馬廄。</v>
      </c>
      <c r="G39" s="1146" t="str">
        <v>09:00 開門進；不要每個模型都讀，先選天文／航海／醫學 3 個主題。</v>
      </c>
      <c r="H39" s="1146" t="str">
        <v>官方 2026：每日 09:00–18:00；售票 17:30 截止。</v>
      </c>
      <c r="I39" s="1146" t="str">
        <v>需票／Müzekart適用</v>
      </c>
      <c r="J39" s="1146" t="str">
        <v>❗️</v>
      </c>
      <c r="K39" s="1146" t="str">
        <v>12/28</v>
      </c>
      <c r="L39" s="1146"/>
      <c r="M39" s="1146" t="str">
        <v>https://www.google.com/maps/search/?api=1&amp;query=%C4%B0slam%20Bilim%20ve%20Teknoloji%20Tarihi%20M%C3%BCzesi%20Istanbul</v>
      </c>
      <c r="N39" s="1146" t="str">
        <v>https://muze.gov.tr/muze-detay?distId=MRK&amp;sectionId=IBT01</v>
      </c>
      <c r="O39" s="1148" t="str">
        <v>★★★★★ 小眾必去</v>
      </c>
      <c r="P39" s="1146" t="str">
        <v>取代 Topkapı；第一次重遊伊斯坦堡很值得，且 12/28 Monday 仍開。</v>
      </c>
      <c r="Q39" s="1146" t="str">
        <v>景點實拍
照片來源：https://4traveler.me/en/travel/istanbul/museum-history-islamic-science-and-technology
來源頁實拍；僅作私人行程辨識。</v>
      </c>
      <c r="R39" s="1146" t="str">
        <v>T1 Gülhane；Gülhane Park 內</v>
      </c>
      <c r="S39" s="1146" t="str">
        <v>09:00 開門最安靜；展品多以室內為主</v>
      </c>
      <c r="T39" s="1146" t="str">
        <v>時間不足只看天文／航海／醫學三區。</v>
      </c>
      <c r="U39" s="1146" t="str">
        <v>這座館很適合已經看過 Topkapı、Hagia Sophia 的第二次伊斯坦堡旅行。它不靠宏大建築取勝，而是把中世紀到早期近代伊斯蘭科學文獻中的器械重新製作成模型，讓你真正看到 astrolabe、航海工具、醫療器具和機械裝置怎樣運作。
本次旅行怎樣理解它：比皇宮／宗教大景點更少一般旅客；用實物模型看伊斯蘭世界在天文、航海、醫學、數學、光學等領域的科學史。 建議停留 1–1.25h。不要只完成『到過』，而是先看整體空間，再選 2–3 個真正有興趣的細節深看。</v>
      </c>
      <c r="V39" s="1146" t="str">
        <v>博物館由科學史家 Fuat Sezgin 推動，2008 年開館；約 3,500 平方米、585 件模型，是理解『伊斯坦堡不只有帝國政治與宗教建築』的一個很不同角度。
城市脈絡：它位於 Gülhane，屬於 小眾博物館／科學史。把它和周邊街區一起看，會比單獨拍一張正面照片更容易理解 伊斯坦堡 的歷史層次。</v>
      </c>
      <c r="W39" s="1146" t="str">
        <v>先看 astronomy/navigation，再看 medicine/optics；如果英文說明讀得慢，挑能看懂機械結構的模型，不需要逐件打卡。
現場觀察清單：
① 585 件儀器／模型；天文、鐘錶、航海、醫學、物理、數學、光學分區；建築是 Topkapı 舊皇家馬廄。
② 走法：09:00 開門進；不要每個模型都讀，先選天文／航海／醫學 3 個主題。
③ 如果兩人興趣不同，先一起完成核心看點，再各自自由看 15–20 分鐘。</v>
      </c>
      <c r="X39" s="1146" t="str">
        <v>早上 Namlı Gurme → T1 Gülhane → 本館 → Şehzade／Vefa；同一天一路向 Fatih 西側走。
交通／串聯：T1 Gülhane；Gülhane Park 內。同區餐飲不在景點頁重複，請回「伊斯坦堡餐廳／伊斯坦堡茶咖啡」查看。</v>
      </c>
      <c r="Y39" s="1146" t="str">
        <v>室內、冬天友善。和 Topkapı 同區但這版完全不需要再入 Topkapı。
冬季實戰：官方 2026：每日 09:00–18:00；售票 17:30 截止。；門票／預約：需票／Müzekart適用 ❗️
拍照：09:00 開門最安靜；展品多以室內為主
時間不足：時間不足只看天文／航海／醫學三區。</v>
      </c>
    </row>
    <row r="40" ht="280" customHeight="1">
      <c r="A40" s="1146" t="str">
        <v>Şehzade Mosque</v>
      </c>
      <c r="B40" s="1146" t="str">
        <v>Fatih / Vefa</v>
      </c>
      <c r="C40" s="1146" t="str">
        <v>清真寺／Sinan 建築</v>
      </c>
      <c r="D40" s="1146" t="str">
        <v>30–40m</v>
      </c>
      <c r="E40" s="1146" t="str">
        <v>Mimar Sinan 的早期皇室清真寺，通常遠少於 Sultanahmet／Süleymaniye 的遊客；很適合看他早期如何處理中央穹頂。</v>
      </c>
      <c r="F40" s="1146" t="str">
        <v>主穹頂＋四個半穹頂、庭院、Şehzade Mehmed mausoleum 的彩色外牆細節。</v>
      </c>
      <c r="G40" s="1146" t="str">
        <v>從 Vezneciler／Şehzadebaşı 進，先看庭院再進主禮拜空間；遇禮拜就在外面看。</v>
      </c>
      <c r="H40" s="1146" t="str">
        <v>宗教場所依每日禮拜暫停旅客。</v>
      </c>
      <c r="I40" s="1146" t="str">
        <v>免費</v>
      </c>
      <c r="J40" s="1146"/>
      <c r="K40" s="1146" t="str">
        <v>12/28</v>
      </c>
      <c r="L40" s="1146"/>
      <c r="M40" s="1146" t="str">
        <v>https://www.google.com/maps/search/?api=1&amp;query=%C5%9Eehzade%20Mosque%20Istanbul</v>
      </c>
      <c r="N40" s="1146" t="str">
        <v>https://visit.istanbul/religious-heritage</v>
      </c>
      <c r="O40" s="1149" t="str">
        <v>★★★★☆ 很推薦</v>
      </c>
      <c r="P40" s="1146" t="str">
        <v>不是『另一座大清真寺』，而是 Sinan 建築學習線；30 分鐘就很有價值。</v>
      </c>
      <c r="Q40" s="1146" t="str">
        <v>景點實拍
照片來源：https://www.cnnturk.com/seyahat/sehzade-camii-nerede-nasil-gidilir-sehzade-camii-hakkinda-bilinmesi-gerekenler-1680173
來源頁實拍；僅作私人行程辨識。</v>
      </c>
      <c r="R40" s="1146" t="str">
        <v>M2 Vezneciler／T1 Laleli＋步行</v>
      </c>
      <c r="S40" s="1146" t="str">
        <v>上午；庭院幾何最好拍</v>
      </c>
      <c r="T40" s="1146" t="str">
        <v>時間不足保留 Kalenderhane，這座可只看外觀。</v>
      </c>
      <c r="U40" s="1146" t="str">
        <v>如果你已經看過 Blue Mosque 和 Süleymaniye，Şehzade 的價值在比較而不是『更壯觀』。它是 Sinan 較早期的重要作品，中央穹頂與四面半穹頂形成非常清楚、幾乎教科書式的結構。
本次旅行怎樣理解它：Mimar Sinan 的早期皇室清真寺，通常遠少於 Sultanahmet／Süleymaniye 的遊客；很適合看他早期如何處理中央穹頂。 建議停留 30–40m。不要只完成『到過』，而是先看整體空間，再選 2–3 個真正有興趣的細節深看。</v>
      </c>
      <c r="V40" s="1146" t="str">
        <v>皇室陵墓區亦能看出 16 世紀鄂圖曼彩釉與建築裝飾。遊客通常少得多，能安靜觀察比例。
城市脈絡：它位於 Fatih / Vefa，屬於 清真寺／Sinan 建築。把它和周邊街區一起看，會比單獨拍一張正面照片更容易理解 伊斯坦堡 的歷史層次。</v>
      </c>
      <c r="W40" s="1146" t="str">
        <v>先繞庭院一圈看穹頂層次，再進室內從中央向四角看；不要只拍正門。
現場觀察清單：
① 主穹頂＋四個半穹頂、庭院、Şehzade Mehmed mausoleum 的彩色外牆細節。
② 走法：從 Vezneciler／Şehzadebaşı 進，先看庭院再進主禮拜空間；遇禮拜就在外面看。
③ 如果兩人興趣不同，先一起完成核心看點，再各自自由看 15–20 分鐘。</v>
      </c>
      <c r="X40" s="1146" t="str">
        <v>和 Kalenderhane、Valens Aqueduct、Vefa 街區是自然一條線。
交通／串聯：M2 Vezneciler／T1 Laleli＋步行。同區餐飲不在景點頁重複，請回「伊斯坦堡餐廳／伊斯坦堡茶咖啡」查看。</v>
      </c>
      <c r="Y40" s="1146" t="str">
        <v>尊重禮拜與服裝；不用為了照片拖太久。
冬季實戰：宗教場所依每日禮拜暫停旅客。；門票／預約：免費 
拍照：上午；庭院幾何最好拍
時間不足：時間不足保留 Kalenderhane，這座可只看外觀。</v>
      </c>
    </row>
    <row r="41" ht="280" customHeight="1">
      <c r="A41" s="1146" t="str">
        <v>Kalenderhane Mosque</v>
      </c>
      <c r="B41" s="1146" t="str">
        <v>Vefa</v>
      </c>
      <c r="C41" s="1146" t="str">
        <v>拜占庭建築／清真寺</v>
      </c>
      <c r="D41" s="1146" t="str">
        <v>35–45m</v>
      </c>
      <c r="E41" s="1146" t="str">
        <v>它原是拜占庭 Theotokos Kyriotissa Church，保留少見的希臘十字拱頂類型；後來改為清真寺，是看城市宗教層疊非常好的小眾點。</v>
      </c>
      <c r="F41" s="1146" t="str">
        <v>拜占庭牆體、Greek-cross vaulted plan、石磚交錯、後來加入的 mihrab/minbar。</v>
      </c>
      <c r="G41" s="1146" t="str">
        <v>先繞外牆辨認教堂體量，再入內看改建後方向與空間；和 Valens Aqueduct 一起走。</v>
      </c>
      <c r="H41" s="1146" t="str">
        <v>依禮拜暫停旅客。</v>
      </c>
      <c r="I41" s="1146" t="str">
        <v>免費</v>
      </c>
      <c r="J41" s="1146"/>
      <c r="K41" s="1146" t="str">
        <v>12/28</v>
      </c>
      <c r="L41" s="1146"/>
      <c r="M41" s="1146" t="str">
        <v>https://www.google.com/maps/search/?api=1&amp;query=Kalenderhane%20Mosque%20Istanbul</v>
      </c>
      <c r="N41" s="1146" t="str">
        <v>https://visit.istanbul/kalenderhane-mosque</v>
      </c>
      <c r="O41" s="1148" t="str">
        <v>★★★★★ 小眾必去</v>
      </c>
      <c r="P41" s="1146" t="str">
        <v>比再看一座著名 Ottoman mosque 更適合你這次重遊。</v>
      </c>
      <c r="Q41" s="1146"/>
      <c r="R41" s="1146" t="str">
        <v>M2 Vezneciler；步行約數分鐘</v>
      </c>
      <c r="S41" s="1146" t="str">
        <v>11:00 前後；外牆斜光能看出磚石層次</v>
      </c>
      <c r="T41" s="1146" t="str">
        <v>只剩 20 分鐘也值得看外觀＋主空間。</v>
      </c>
      <c r="U41" s="1146" t="str">
        <v>Kalenderhane 最有趣的是『一棟拜占庭教堂怎樣在鄂圖曼城市中被重新使用』。它不是大景點，甚至很容易路過，但正因遊客少，建築本身的材料、拱頂與方向轉換更容易看清楚。
本次旅行怎樣理解它：它原是拜占庭 Theotokos Kyriotissa Church，保留少見的希臘十字拱頂類型；後來改為清真寺，是看城市宗教層疊非常好的小眾點。 建議停留 35–45m。不要只完成『到過』，而是先看整體空間，再選 2–3 個真正有興趣的細節深看。</v>
      </c>
      <c r="V41" s="1146" t="str">
        <v>官方旅遊資料將它追溯到約 9–10 世紀，並指出它是少數保存的 Greek-cross vaulted Byzantine church 類型之一。
城市脈絡：它位於 Vefa，屬於 拜占庭建築／清真寺。把它和周邊街區一起看，會比單獨拍一張正面照片更容易理解 伊斯坦堡 的歷史層次。</v>
      </c>
      <c r="W41" s="1146" t="str">
        <v>外觀先找舊教堂結構，再進去看伊斯蘭宗教元素怎樣加入；把它當建築考古，而不是打卡清真寺。
現場觀察清單：
① 拜占庭牆體、Greek-cross vaulted plan、石磚交錯、後來加入的 mihrab/minbar。
② 走法：先繞外牆辨認教堂體量，再入內看改建後方向與空間；和 Valens Aqueduct 一起走。
③ 如果兩人興趣不同，先一起完成核心看點，再各自自由看 15–20 分鐘。</v>
      </c>
      <c r="X41" s="1146" t="str">
        <v>Şehzade → Kalenderhane → Valens Aqueduct → Vefa／Zeyrek 散步。
交通／串聯：M2 Vezneciler；步行約數分鐘。同區餐飲不在景點頁重複，請回「伊斯坦堡餐廳／伊斯坦堡茶咖啡」查看。</v>
      </c>
      <c r="Y41" s="1146" t="str">
        <v>禮拜時段不進；周邊路面與坡度冬天要小心。
冬季實戰：依禮拜暫停旅客。；門票／預約：免費 
拍照：11:00 前後；外牆斜光能看出磚石層次
時間不足：只剩 20 分鐘也值得看外觀＋主空間。</v>
      </c>
    </row>
    <row r="42" ht="280" customHeight="1">
      <c r="A42" s="1146" t="str">
        <v>St. Stephen Bulgarian Orthodox Church</v>
      </c>
      <c r="B42" s="1146" t="str">
        <v>Fener / Golden Horn</v>
      </c>
      <c r="C42" s="1146" t="str">
        <v>鐵教堂／宗教文化</v>
      </c>
      <c r="D42" s="1146" t="str">
        <v>35–45m</v>
      </c>
      <c r="E42" s="1146" t="str">
        <v>金角灣邊極有辨識度的 Bulgarian Iron Church；比彩色 Balat 房子有更多真實宗教與族群歷史內容。</v>
      </c>
      <c r="F42" s="1146" t="str">
        <v>鑄鐵結構、iconostasis、金角灣水岸位置、保加利亞正教社群背景。</v>
      </c>
      <c r="G42" s="1146" t="str">
        <v>先從水岸看整體，再進教堂；之後向 Patriarchate／Fener 內街走。</v>
      </c>
      <c r="H42" s="1146" t="str">
        <v>宗教場所開放依教會公告；禮拜優先。</v>
      </c>
      <c r="I42" s="1146" t="str">
        <v>多數免費／捐獻</v>
      </c>
      <c r="J42" s="1146"/>
      <c r="K42" s="1146" t="str">
        <v>12/28</v>
      </c>
      <c r="L42" s="1146"/>
      <c r="M42" s="1146" t="str">
        <v>https://www.google.com/maps/search/?api=1&amp;query=St%20Stephen%20Bulgarian%20Orthodox%20Church%20Istanbul</v>
      </c>
      <c r="N42" s="1146" t="str">
        <v>https://visit.istanbul/religious-heritage</v>
      </c>
      <c r="O42" s="1149" t="str">
        <v>★★★★☆ 很推薦</v>
      </c>
      <c r="P42" s="1146" t="str">
        <v>Fener 小眾宗教線核心；不把 Balat 變成只拍彩色屋。</v>
      </c>
      <c r="Q42" s="1146" t="str">
        <v>景點實拍
照片來源：https://www.amusingplanet.com/2021/04/istanbuls-cast-iron-church.html
來源頁實拍；僅作私人行程辨識。</v>
      </c>
      <c r="R42" s="1146" t="str">
        <v>Golden Horn tram/bus＋步行</v>
      </c>
      <c r="S42" s="1146" t="str">
        <v>下午水岸光線；鐵質外牆細節</v>
      </c>
      <c r="T42" s="1146" t="str">
        <v>時間不足：鐵教堂＋Patriarchate 二選一仍可。</v>
      </c>
      <c r="U42" s="1146" t="str">
        <v>這座教堂之所以特別，不只是漂亮，而是它與 19 世紀 Bulgarian Orthodox 社群、鄂圖曼帝國內部族群政治和金角灣工業化時代都有關。俗稱『鐵教堂』，結構與一般石砌教堂完全不同。
本次旅行怎樣理解它：金角灣邊極有辨識度的 Bulgarian Iron Church；比彩色 Balat 房子有更多真實宗教與族群歷史內容。 建議停留 35–45m。不要只完成『到過』，而是先看整體空間，再選 2–3 個真正有興趣的細節深看。</v>
      </c>
      <c r="V42" s="1146" t="str">
        <v>把它和 Fener 的 Greek Orthodox Patriarchate、St Mary of the Mongols 放在同一天，會比單獨看任何一座宗教建築更能理解伊斯坦堡的多宗教城市史。
城市脈絡：它位於 Fener / Golden Horn，屬於 鐵教堂／宗教文化。把它和周邊街區一起看，會比單獨拍一張正面照片更容易理解 伊斯坦堡 的歷史層次。</v>
      </c>
      <c r="W42" s="1146" t="str">
        <v>外面先看金角灣一側的尺度，入內看 iconostasis 與金屬結構；控制在 40 分鐘內。
現場觀察清單：
① 鑄鐵結構、iconostasis、金角灣水岸位置、保加利亞正教社群背景。
② 走法：先從水岸看整體，再進教堂；之後向 Patriarchate／Fener 內街走。
③ 如果兩人興趣不同，先一起完成核心看點，再各自自由看 15–20 分鐘。</v>
      </c>
      <c r="X42" s="1146" t="str">
        <v>接 Fener hills／Patriarchate／Balat。
交通／串聯：Golden Horn tram/bus＋步行。同區餐飲不在景點頁重複，請回「伊斯坦堡餐廳／伊斯坦堡茶咖啡」查看。</v>
      </c>
      <c r="Y42" s="1146" t="str">
        <v>教堂仍有宗教功能；不要把禮拜者當背景拍。
冬季實戰：宗教場所開放依教會公告；禮拜優先。；門票／預約：多數免費／捐獻 
拍照：下午水岸光線；鐵質外牆細節
時間不足：時間不足：鐵教堂＋Patriarchate 二選一仍可。</v>
      </c>
    </row>
    <row r="43" ht="280" customHeight="1">
      <c r="A43" s="1146" t="str">
        <v>Church of St. Mary of the Mongols</v>
      </c>
      <c r="B43" s="1146" t="str">
        <v>Fener hills</v>
      </c>
      <c r="C43" s="1146" t="str">
        <v>拜占庭／希臘正教</v>
      </c>
      <c r="D43" s="1146" t="str">
        <v>30–40m</v>
      </c>
      <c r="E43" s="1146" t="str">
        <v>伊斯坦堡非常少見、在 Ottoman 時期沒有改成清真寺而持續由 Greek Orthodox 社群使用的教堂；位置也藏在 Fener 上坡住宅區。</v>
      </c>
      <c r="F43" s="1146" t="str">
        <v>紅色外牆、Greek Orthodox 社群歷史、周邊 Phanar Greek Orthodox College 街景。</v>
      </c>
      <c r="G43" s="1146" t="str">
        <v>把它視作 Fener walking route 的節點；內部能否進需看當日門禁／宗教活動，不強求。</v>
      </c>
      <c r="H43" s="1146" t="str">
        <v>訪客條件不固定；宗教活動優先。</v>
      </c>
      <c r="I43" s="1146" t="str">
        <v>外觀免費；入內視當日</v>
      </c>
      <c r="J43" s="1146"/>
      <c r="K43" s="1146" t="str">
        <v>12/28</v>
      </c>
      <c r="L43" s="1146"/>
      <c r="M43" s="1146" t="str">
        <v>https://www.google.com/maps/search/?api=1&amp;query=Church%20of%20St%20Mary%20of%20the%20Mongols%20Istanbul</v>
      </c>
      <c r="N43" s="1146" t="str">
        <v>https://visit.istanbul/churchst-mary-ofmongols</v>
      </c>
      <c r="O43" s="1148" t="str">
        <v>★★★★★ 小眾必去</v>
      </c>
      <c r="P43" s="1146" t="str">
        <v>非常符合『去過大景點後再看城市層次』；即使只看外觀與周邊也值得。</v>
      </c>
      <c r="Q43" s="1146" t="str">
        <v>景點實拍
照片來源：https://www.flickr.com/photos/cybermacs/29975167322
來源頁實拍；僅作私人行程辨識。</v>
      </c>
      <c r="R43" s="1146" t="str">
        <v>Fener 上坡步行；坡度較大</v>
      </c>
      <c r="S43" s="1146" t="str">
        <v>下午；紅色建築＋巷道，不要阻塞居民</v>
      </c>
      <c r="T43" s="1146" t="str">
        <v>若門關，外觀＋Greek School 周邊仍完成這一站。</v>
      </c>
      <c r="U43" s="1146" t="str">
        <v>St. Mary of the Mongols 的珍貴之處在『延續性』：它在幾百年政權變遷中仍維持 Orthodox church 身份，因此比一座漂亮建築更像一條沒有中斷的社群歷史線。
本次旅行怎樣理解它：伊斯坦堡非常少見、在 Ottoman 時期沒有改成清真寺而持續由 Greek Orthodox 社群使用的教堂；位置也藏在 Fener 上坡住宅區。 建議停留 30–40m。不要只完成『到過』，而是先看整體空間，再選 2–3 個真正有興趣的細節深看。</v>
      </c>
      <c r="V43" s="1146" t="str">
        <v>官方 Visit Istanbul 指出其根源可追到拜占庭時代，並特別強調它沒有被改成 mosque。這讓它和 Kalenderhane、Arap Mosque 形成很好比較：三座建築呈現完全不同的宗教轉換命運。
城市脈絡：它位於 Fener hills，屬於 拜占庭／希臘正教。把它和周邊街區一起看，會比單獨拍一張正面照片更容易理解 伊斯坦堡 的歷史層次。</v>
      </c>
      <c r="W43" s="1146" t="str">
        <v>不要追求一定入內；Fener 上坡、教堂外觀、Greek school 與住宅街一起看。
現場觀察清單：
① 紅色外牆、Greek Orthodox 社群歷史、周邊 Phanar Greek Orthodox College 街景。
② 走法：把它視作 Fener walking route 的節點；內部能否進需看當日門禁／宗教活動，不強求。
③ 如果兩人興趣不同，先一起完成核心看點，再各自自由看 15–20 分鐘。</v>
      </c>
      <c r="X43" s="1146" t="str">
        <v>St Stephen → Patriarchate → St Mary → Balat 下坡。
交通／串聯：Fener 上坡步行；坡度較大。同區餐飲不在景點頁重複，請回「伊斯坦堡餐廳／伊斯坦堡茶咖啡」查看。</v>
      </c>
      <c r="Y43" s="1146" t="str">
        <v>陡坡、石路；雨天縮短。
冬季實戰：訪客條件不固定；宗教活動優先。；門票／預約：外觀免費；入內視當日 
拍照：下午；紅色建築＋巷道，不要阻塞居民
時間不足：若門關，外觀＋Greek School 周邊仍完成這一站。</v>
      </c>
    </row>
    <row r="44" ht="280" customHeight="1">
      <c r="A44" s="1146" t="str">
        <v>Yıldız Palace</v>
      </c>
      <c r="B44" s="1146" t="str">
        <v>Beşiktaş / Yıldız</v>
      </c>
      <c r="C44" s="1146" t="str">
        <v>晚期鄂圖曼皇宮／政治史</v>
      </c>
      <c r="D44" s="1146" t="str">
        <v>2h</v>
      </c>
      <c r="E44" s="1146" t="str">
        <v>你已去過 Topkapı／Dolmabahçe，Yıldız 才是這次更合適的 palace：它是鄂圖曼最後行政中心與 Abdülhamid II 時代政治空間，2024 修復後才重新大規模開放。</v>
      </c>
      <c r="F44" s="1146" t="str">
        <v>Büyük/Küçük Mabeyn、Abdülhamid II Museum、library、carpentry workshop、Photo Museum、Harem、Has Bahçe。</v>
      </c>
      <c r="G44" s="1146" t="str">
        <v>09:00 開門進；先行政／Abdülhamid 空間，再視體力看 Harem／garden。</v>
      </c>
      <c r="H44" s="1146" t="str">
        <v>官方：Wednesday closed；ticket office 09:00–17:00。12/29/2026 是 Tuesday。</v>
      </c>
      <c r="I44" s="1146" t="str">
        <v>外國訪客需票；官方 e-ticket</v>
      </c>
      <c r="J44" s="1146" t="str">
        <v>❗️</v>
      </c>
      <c r="K44" s="1146" t="str">
        <v>12/29</v>
      </c>
      <c r="L44" s="1146"/>
      <c r="M44" s="1146" t="str">
        <v>https://www.google.com/maps/search/?api=1&amp;query=Y%C4%B1ld%C4%B1z%20Palace%20Istanbul</v>
      </c>
      <c r="N44" s="1146" t="str">
        <v>https://www.millisaraylar.gov.tr/Lokasyon/5/Yildiz-Sarayi?culture=en</v>
      </c>
      <c r="O44" s="1148" t="str">
        <v>★★★★★ 重遊必去</v>
      </c>
      <c r="P44" s="1146" t="str">
        <v>直接取代 Dolmabahçe；你已看過大路皇宮，Yıldız 更有新鮮感。</v>
      </c>
      <c r="Q44" s="1146" t="str">
        <v>景點實拍
照片來源：https://tonkosti.ru/%D0%94%D0%B2%D0%BE%D1%80%D0%B5%D1%86_%D0%99%D1%8B%D0%BB%D0%B4%D1%8B%D0%B7
來源頁實拍；僅作私人行程辨識。</v>
      </c>
      <c r="R44" s="1146" t="str">
        <v>Beşiktaş/Yıldız；巴士或短車程</v>
      </c>
      <c r="S44" s="1146" t="str">
        <v>09:00 開門；宮苑人較少</v>
      </c>
      <c r="T44" s="1146" t="str">
        <v>只有 1 小時就看 Mabeyn＋Abdülhamid 部分。</v>
      </c>
      <c r="U44" s="1146" t="str">
        <v>Yıldız Palace 不是 Topkapı 的早期帝國，也不是 Dolmabahçe 的歐洲式展示宮，而是 19 世紀末真正的行政與安全中心。Abdülhamid II 在此形成更封閉、分散的宮廷與官僚空間，因此看法完全不同。
本次旅行怎樣理解它：你已去過 Topkapı／Dolmabahçe，Yıldız 才是這次更合適的 palace：它是鄂圖曼最後行政中心與 Abdülhamid II 時代政治空間，2024 修復後才重新大規模開放。 建議停留 2h。不要只完成『到過』，而是先看整體空間，再選 2–3 個真正有興趣的細節深看。</v>
      </c>
      <c r="V44" s="1146" t="str">
        <v>官方 Milli Saraylar 把它定義為 Ottoman Empire 最後的 administrative center 和最後一位在此居住的 Sultan residence；長年修復後重新開放，使它成為近年才重新能完整看的重要遺產。
城市脈絡：它位於 Beşiktaş / Yıldız，屬於 晚期鄂圖曼皇宮／政治史。把它和周邊街區一起看，會比單獨拍一張正面照片更容易理解 伊斯坦堡 的歷史層次。</v>
      </c>
      <c r="W44" s="1146" t="str">
        <v>先看 Mabeyn／Abdülhamid II、library／photo collection；花園有時間才走。
現場觀察清單：
① Büyük/Küçük Mabeyn、Abdülhamid II Museum、library、carpentry workshop、Photo Museum、Harem、Has Bahçe。
② 走法：09:00 開門進；先行政／Abdülhamid 空間，再視體力看 Harem／garden。
③ 如果兩人興趣不同，先一起完成核心看點，再各自自由看 15–20 分鐘。</v>
      </c>
      <c r="X44" s="1146" t="str">
        <v>早餐 Çakmak → Yıldız → Beşiktaş specialist lunch。
交通／串聯：Beşiktaş/Yıldız；巴士或短車程。同區餐飲不在景點頁重複，請回「伊斯坦堡餐廳／伊斯坦堡茶咖啡」查看。</v>
      </c>
      <c r="Y44" s="1146" t="str">
        <v>宮區面積大；不要每棟都看滿，否則後面 Adam Mickiewicz 會趕。
冬季實戰：官方：Wednesday closed；ticket office 09:00–17:00。12/29/2026 是 Tuesday。；門票／預約：外國訪客需票；官方 e-ticket ❗️
拍照：09:00 開門；宮苑人較少
時間不足：只有 1 小時就看 Mabeyn＋Abdülhamid 部分。</v>
      </c>
    </row>
    <row r="45" ht="280" customHeight="1">
      <c r="A45" s="1146" t="str">
        <v>Adam Mickiewicz Museum</v>
      </c>
      <c r="B45" s="1146" t="str">
        <v>Beyoğlu / Dolapdere</v>
      </c>
      <c r="C45" s="1146" t="str">
        <v>波蘭－土耳其／文學史</v>
      </c>
      <c r="D45" s="1146" t="str">
        <v>45–55m</v>
      </c>
      <c r="E45" s="1146" t="str">
        <v>非常適合你這趟 Warsaw＋Istanbul：波蘭浪漫派詩人 Adam Mickiewicz 1855 年在這棟 Istanbul house 度過生命最後階段，與 Polish independence、Crimean War 及 Ottoman connection 直接相連。</v>
      </c>
      <c r="F45" s="1146" t="str">
        <v>詩人最後居所、文件／肖像、Istanbul period、Polish independence materials、symbolic tomb。</v>
      </c>
      <c r="G45" s="1146" t="str">
        <v>冬季早關；14:00 左右去最安全。館不大，不要預留兩小時。</v>
      </c>
      <c r="H45" s="1146" t="str">
        <v>官方冬季（31 Oct–1 Apr）：10:00–16:00；ticket office 15:30；Monday closed。</v>
      </c>
      <c r="I45" s="1146" t="str">
        <v>免費</v>
      </c>
      <c r="J45" s="1146"/>
      <c r="K45" s="1146" t="str">
        <v>12/29</v>
      </c>
      <c r="L45" s="1146"/>
      <c r="M45" s="1146" t="str">
        <v>https://www.google.com/maps/search/?api=1&amp;query=Adam%20Mickiewicz%20Museum%20Istanbul%20Istanbul</v>
      </c>
      <c r="N45" s="1146" t="str">
        <v>https://istanbul.ktb.gov.tr/EN-307566/adam-mickiewicz-museum.html</v>
      </c>
      <c r="O45" s="1148" t="str">
        <v>★★★★★ 這趟專屬必去</v>
      </c>
      <c r="P45" s="1146" t="str">
        <v>這是 Warsaw＋Istanbul 兩個城市最有趣的歷史連結之一，優先於普通網紅景點。</v>
      </c>
      <c r="Q45" s="1146" t="str">
        <v>景點實拍
照片來源：https://museumpass.istanbul/adam-mickiewicz-museum/
來源頁實拍；僅作私人行程辨識。</v>
      </c>
      <c r="R45" s="1146" t="str">
        <v>Beyoğlu；由 Beşiktaş 短車程較省時間</v>
      </c>
      <c r="S45" s="1146" t="str">
        <v>13:45–14:40；冬季不要拖到 15:30 後</v>
      </c>
      <c r="T45" s="1146" t="str">
        <v>時間非常緊也保留 35–40 分鐘。</v>
      </c>
      <c r="U45" s="1146" t="str">
        <v>這個小館最大的意義不是藏品規模，而是把你的兩段旅行真正接起來。Mickiewicz 是波蘭民族文化核心人物之一，他因 Polish independence 理想與 Crimean War 背景來到 Ottoman Istanbul，並在 Beyoğlu 租住的房子中去世。
本次旅行怎樣理解它：非常適合你這趟 Warsaw＋Istanbul：波蘭浪漫派詩人 Adam Mickiewicz 1855 年在這棟 Istanbul house 度過生命最後階段，與 Polish independence、Crimean War 及 Ottoman connection 直接相連。 建議停留 45–55m。不要只完成『到過』，而是先看整體空間，再選 2–3 個真正有興趣的細節深看。</v>
      </c>
      <c r="V45" s="1146" t="str">
        <v>土耳其文化部將這裡稱作 Poland–Turkey friendship 的象徵；館內也涉及 Polonezköy founding circle、Polish emigrés 與 19 世紀 Ottoman context。
城市脈絡：它位於 Beyoğlu / Dolapdere，屬於 波蘭－土耳其／文學史。把它和周邊街區一起看，會比單獨拍一張正面照片更容易理解 伊斯坦堡 的歷史層次。</v>
      </c>
      <c r="W45" s="1146" t="str">
        <v>先看他的 Istanbul period 與 independence documents，再看象徵性墓室；不需要逐字讀所有生平。
現場觀察清單：
① 詩人最後居所、文件／肖像、Istanbul period、Polish independence materials、symbolic tomb。
② 走法：冬季早關；14:00 左右去最安全。館不大，不要預留兩小時。
③ 如果兩人興趣不同，先一起完成核心看點，再各自自由看 15–20 分鐘。</v>
      </c>
      <c r="X45" s="1146" t="str">
        <v>13:45–14:45 Mickiewicz；14:45–15:15 預留交通到 Şişhane／Galata，再選咖啡或已確認開放的 Mevlevi。</v>
      </c>
      <c r="Y45" s="1146" t="str">
        <v>Monday closed 是關鍵；因此安排 Tuesday 12/29。
冬季實戰：官方冬季（31 Oct–1 Apr）：10:00–16:00；ticket office 15:30；Monday closed。；門票／預約：免費 
拍照：13:45–14:40；冬季不要拖到 15:30 後
時間不足：時間非常緊也保留 35–40 分鐘。</v>
      </c>
    </row>
    <row r="46" ht="280" customHeight="1">
      <c r="A46" s="1146" t="str">
        <v>Arap Mosque</v>
      </c>
      <c r="B46" s="1146" t="str">
        <v>Galata / Perşembe Pazarı</v>
      </c>
      <c r="C46" s="1146" t="str">
        <v>Gothic 建築／宗教轉換</v>
      </c>
      <c r="D46" s="1146" t="str">
        <v>35–45m</v>
      </c>
      <c r="E46" s="1146" t="str">
        <v>伊斯坦堡極少見的 pre-conquest Gothic church architecture；後來改成 mosque。對已經看過 Ottoman 名清真寺的人，這種建築混合反而更有意思。</v>
      </c>
      <c r="F46" s="1146" t="str">
        <v>方形鐘樓式 minaret、Gothic verticality、former church layout、Galata 工匠商業區。</v>
      </c>
      <c r="G46" s="1146" t="str">
        <v>從 Galata Mevlevi 往下走；先看外觀與 tower，再依禮拜進內部。</v>
      </c>
      <c r="H46" s="1146" t="str">
        <v>宗教場所依禮拜暫停訪客。</v>
      </c>
      <c r="I46" s="1146" t="str">
        <v>免費</v>
      </c>
      <c r="J46" s="1146"/>
      <c r="K46" s="1146" t="str">
        <v>12/29</v>
      </c>
      <c r="L46" s="1146"/>
      <c r="M46" s="1146" t="str">
        <v>https://www.google.com/maps/search/?api=1&amp;query=Arap%20Mosque%20Istanbul</v>
      </c>
      <c r="N46" s="1146" t="str">
        <v>https://visit.istanbul/arap-mosque</v>
      </c>
      <c r="O46" s="1148" t="str">
        <v>★★★★★ 小眾必去</v>
      </c>
      <c r="P46" s="1146" t="str">
        <v>建築類型在 Istanbul 很少見；比再次排 Galata Tower 更值得。</v>
      </c>
      <c r="Q46" s="1146" t="str">
        <v>景點實拍
照片來源：https://gabrielsussmanrodriguez.com/istanbul
來源頁實拍；僅作私人行程辨識。</v>
      </c>
      <c r="R46" s="1146" t="str">
        <v>Şişhane/Karaköy＋步行</v>
      </c>
      <c r="S46" s="1146" t="str">
        <v>16:00 左右；Perşembe Pazarı 街景一起拍</v>
      </c>
      <c r="T46" s="1146" t="str">
        <v>時間不足只看外觀＋周邊 20 分鐘。</v>
      </c>
      <c r="U46" s="1146" t="str">
        <v>Arap Mosque 很適合『第二次 Istanbul』：第一趟通常會看 Ottoman mosque，但這裡保留 Gothic church 的體量與垂直感。它讓你看到 Galata 在 Ottoman conquest 以前的 Latin／Genoese religious landscape。
本次旅行怎樣理解它：伊斯坦堡極少見的 pre-conquest Gothic church architecture；後來改成 mosque。對已經看過 Ottoman 名清真寺的人，這種建築混合反而更有意思。 建議停留 35–45m。不要只完成『到過』，而是先看整體空間，再選 2–3 個真正有興趣的細節深看。</v>
      </c>
      <c r="V46" s="1146" t="str">
        <v>官方 Visit Istanbul 指出它是 Istanbul 唯一仍存、源自 conquest 之前的 Gothic church architecture 之一，之後改作 mosque。
城市脈絡：它位於 Galata / Perşembe Pazarı，屬於 Gothic 建築／宗教轉換。把它和周邊街區一起看，會比單獨拍一張正面照片更容易理解 伊斯坦堡 的歷史層次。</v>
      </c>
      <c r="W46" s="1146" t="str">
        <v>外觀 tower 最重要；內部只在不妨礙禮拜時短看。
現場觀察清單：
① 方形鐘樓式 minaret、Gothic verticality、former church layout、Galata 工匠商業區。
② 走法：從 Galata Mevlevi 往下走；先看外觀與 tower，再依禮拜進內部。
③ 如果兩人興趣不同，先一起完成核心看點，再各自自由看 15–20 分鐘。</v>
      </c>
      <c r="X46" s="1146" t="str">
        <v>16:00–17:10 Arap Mosque → Perşembe Pazarı → Karaköy；避開禮拜，雨天縮短。</v>
      </c>
      <c r="Y46" s="1146" t="str">
        <v>周邊是工作型街區，不是觀光 pedestrian zone，注意車流。
冬季實戰：宗教場所依禮拜暫停訪客。；門票／預約：免費 
拍照：16:00 左右；Perşembe Pazarı 街景一起拍
時間不足：時間不足只看外觀＋周邊 20 分鐘。</v>
      </c>
    </row>
    <row r="47" ht="280" customHeight="1">
      <c r="A47" s="1146" t="str">
        <v>Kuzguncuk</v>
      </c>
      <c r="B47" s="1146" t="str">
        <v>Asian side / Üsküdar</v>
      </c>
      <c r="C47" s="1146" t="str">
        <v>多宗教居民街區</v>
      </c>
      <c r="D47" s="1146" t="str">
        <v>1.5h</v>
      </c>
      <c r="E47" s="1146" t="str">
        <v>木屋、Bostan、synagogue、Greek Orthodox church、mosque 和 Bosphorus waterfront 同時存在；比 Sultanahmet 更能看到居民日常和多宗教街區史。</v>
      </c>
      <c r="F47" s="1146" t="str">
        <v>İcadiye、Perihan Abla Street、Kuzguncuk Bostanı、Bet Yaakov/Bet Nissim 外觀、church/mosque streets、waterfront。</v>
      </c>
      <c r="G47" s="1146" t="str">
        <v>不要只追彩色木屋；按『Bostan→宗教街→水岸』走一個 loop。</v>
      </c>
      <c r="H47" s="1146" t="str">
        <v>公共街區全年；synagogue 入內需向 Chief Rabbinate 取得許可。</v>
      </c>
      <c r="I47" s="1146" t="str">
        <v>街區免費；宗教場所視規定</v>
      </c>
      <c r="J47" s="1146"/>
      <c r="K47" s="1146" t="str">
        <v>12/30</v>
      </c>
      <c r="L47" s="1146"/>
      <c r="M47" s="1146" t="str">
        <v>https://www.google.com/maps/search/?api=1&amp;query=Kuzguncuk%20Istanbul</v>
      </c>
      <c r="N47" s="1146" t="str">
        <v>https://visit.istanbul/kuzguncuk</v>
      </c>
      <c r="O47" s="1148" t="str">
        <v>★★★★★ 小眾必去</v>
      </c>
      <c r="P47" s="1146" t="str">
        <v>亞洲岸主線；取代 12/30 Hagia Sophia／Cistern／Grand Bazaar 重複遊覽。</v>
      </c>
      <c r="Q47" s="1146" t="str">
        <v>景點實拍
照片來源：https://letstraveltoturkiye.com/kuzguncuk-travel-guide/
來源頁實拍；僅作私人行程辨識。</v>
      </c>
      <c r="R47" s="1146" t="str">
        <v>Marmaray Üsküdar＋巴士／短車程</v>
      </c>
      <c r="S47" s="1146" t="str">
        <v>09:00–10:30；居民區避免太早大聲拍攝</v>
      </c>
      <c r="T47" s="1146" t="str">
        <v>時間不足保留 Bostan＋İcadiye＋水岸。</v>
      </c>
      <c r="U47" s="1146" t="str">
        <v>Kuzguncuk 的吸引力不是某一座 monument，而是宗教社群與木造住宅在很小尺度中並存。你會看到 synagogue、church、mosque 幾乎成為同一條居民生活網絡的一部分。
本次旅行怎樣理解它：木屋、Bostan、synagogue、Greek Orthodox church、mosque 和 Bosphorus waterfront 同時存在；比 Sultanahmet 更能看到居民日常和多宗教街區史。 建議停留 1.5h。不要只完成『到過』，而是先看整體空間，再選 2–3 個真正有興趣的細節深看。</v>
      </c>
      <c r="V47" s="1146" t="str">
        <v>Visit Istanbul 特別列出 Bet Yaakov Synagogue、Ayios Panteleimon Church、Kuzguncuk Bostanı、wooden houses 和 Fethi Pasha Grove；這種組合非常適合第二次旅行。
城市脈絡：它位於 Asian side / Üsküdar，屬於 多宗教居民街區。把它和周邊街區一起看，會比單獨拍一張正面照片更容易理解 伊斯坦堡 的歷史層次。</v>
      </c>
      <c r="W47" s="1146" t="str">
        <v>從 Bostan 開始，沿 İcadiye 走到宗教建築與水岸；不要只在網紅木屋門口停留。
現場觀察清單：
① İcadiye、Perihan Abla Street、Kuzguncuk Bostanı、Bet Yaakov/Bet Nissim 外觀、church/mosque streets、waterfront。
② 走法：不要只追彩色木屋；按『Bostan→宗教街→水岸』走一個 loop。
③ 如果兩人興趣不同，先一起完成核心看點，再各自自由看 15–20 分鐘。</v>
      </c>
      <c r="X47" s="1146" t="str">
        <v>Boris breakfast → Marmaray/Üsküdar → Kuzguncuk → Fethi Paşa → Kadıköy。
交通／串聯：Marmaray Üsküdar＋巴士／短車程。同區餐飲不在景點頁重複，請回「伊斯坦堡餐廳／伊斯坦堡茶咖啡」查看。</v>
      </c>
      <c r="Y47" s="1146" t="str">
        <v>Synagogue 通常不能直接 walk-in；本行程以外觀／街區史為主。
冬季實戰：公共街區全年；synagogue 入內需向 Chief Rabbinate 取得許可。；門票／預約：街區免費；宗教場所視規定 
拍照：09:00–10:30；居民區避免太早大聲拍攝
時間不足：時間不足保留 Bostan＋İcadiye＋水岸。</v>
      </c>
    </row>
    <row r="48" ht="280" customHeight="1">
      <c r="A48" s="1146" t="str">
        <v>Fethi Paşa Korusu</v>
      </c>
      <c r="B48" s="1146" t="str">
        <v>Üsküdar / Kuzguncuk</v>
      </c>
      <c r="C48" s="1146" t="str">
        <v>Bosphorus grove／觀景</v>
      </c>
      <c r="D48" s="1146" t="str">
        <v>40–50m</v>
      </c>
      <c r="E48" s="1146" t="str">
        <v>不是觀景台式打卡點，而是 Kuzguncuk 上方居民會使用的大型綠地；冬天可看 Bosphorus、European shore 與樹林。</v>
      </c>
      <c r="F48" s="1146" t="str">
        <v>海峽視角、步道、Kuzguncuk／Üsküdar 綠地連接。</v>
      </c>
      <c r="G48" s="1146" t="str">
        <v>Kuzguncuk 後只走靠景觀的一段；不要在冬天把整個 grove 走完。</v>
      </c>
      <c r="H48" s="1146" t="str">
        <v>公共 park；按市政管理時段。</v>
      </c>
      <c r="I48" s="1146" t="str">
        <v>免費</v>
      </c>
      <c r="J48" s="1146"/>
      <c r="K48" s="1146" t="str">
        <v>12/30</v>
      </c>
      <c r="L48" s="1146"/>
      <c r="M48" s="1146" t="str">
        <v>https://www.google.com/maps/search/?api=1&amp;query=Fethi%20Pa%C5%9Fa%20Korusu%20Istanbul</v>
      </c>
      <c r="N48" s="1146" t="str">
        <v>https://visit.istanbul/kuzguncuk</v>
      </c>
      <c r="O48" s="1149" t="str">
        <v>★★★★☆ 很推薦</v>
      </c>
      <c r="P48" s="1146" t="str">
        <v>天氣好加；下雨／風大直接取消，不影響核心。</v>
      </c>
      <c r="Q48" s="1146" t="str">
        <v>景點實拍
照片來源：https://mindtrip.ai/attraction/istanbul-turkiye/fethi-pasa-korusu/at-bbXR9tWH
來源頁實拍；僅作私人行程辨識。</v>
      </c>
      <c r="R48" s="1146" t="str">
        <v>Kuzguncuk 上坡／短車程</v>
      </c>
      <c r="S48" s="1146" t="str">
        <v>10:30–11:15；晴天視野最好</v>
      </c>
      <c r="T48" s="1146" t="str">
        <v>天氣差直接去 Kadıköy 午餐。</v>
      </c>
      <c r="U48" s="1146" t="str">
        <v>Fethi Paşa Grove 的角色是讓 Kuzguncuk 行程有一段真正的 Bosphorus landscape，而不是每一站都是建築。冬季樹葉較少，視線反而可能更開。
本次旅行怎樣理解它：不是觀景台式打卡點，而是 Kuzguncuk 上方居民會使用的大型綠地；冬天可看 Bosphorus、European shore 與樹林。 建議停留 40–50m。不要只完成『到過』，而是先看整體空間，再選 2–3 個真正有興趣的細節深看。</v>
      </c>
      <c r="V48" s="1146" t="str">
        <v>它與 Kuzguncuk 社區緊鄰，官方 Visit Istanbul 也把它列為該區重要免費景點。
城市脈絡：它位於 Üsküdar / Kuzguncuk，屬於 Bosphorus grove／觀景。把它和周邊街區一起看，會比單獨拍一張正面照片更容易理解 伊斯坦堡 的歷史層次。</v>
      </c>
      <c r="W48" s="1146" t="str">
        <v>只走最有 view 的一段，不需要完成 full loop。
現場觀察清單：
① 海峽視角、步道、Kuzguncuk／Üsküdar 綠地連接。
② 走法：Kuzguncuk 後只走靠景觀的一段；不要在冬天把整個 grove 走完。
③ 如果兩人興趣不同，先一起完成核心看點，再各自自由看 15–20 分鐘。</v>
      </c>
      <c r="X48" s="1146" t="str">
        <v>Kuzguncuk → Fethi Paşa → Kadıköy。
交通／串聯：Kuzguncuk 上坡／短車程。同區餐飲不在景點頁重複，請回「伊斯坦堡餐廳／伊斯坦堡茶咖啡」查看。</v>
      </c>
      <c r="Y48" s="1146" t="str">
        <v>坡度與泥濘是冬季最大問題；穿防滑鞋。
冬季實戰：公共 park；按市政管理時段。；門票／預約：免費 
拍照：10:30–11:15；晴天視野最好
時間不足：天氣差直接去 Kadıköy 午餐。</v>
      </c>
    </row>
    <row r="49" ht="280" customHeight="1">
      <c r="A49" s="1127" t="str">
        <v>Aşiyan Museum</v>
      </c>
      <c r="B49" s="1127" t="str">
        <v>Bebek / Aşiyan</v>
      </c>
      <c r="C49" s="1127" t="str">
        <v>文學館／Bosphorus house</v>
      </c>
      <c r="D49" s="1127" t="str">
        <v>1h</v>
      </c>
      <c r="E49" s="1127" t="str">
        <v>土耳其詩人 Tevfik Fikret 的故居，手稿、書、個人物品與 Bosphorus garden 把文學和生活空間連起來。</v>
      </c>
      <c r="F49" s="1127" t="str">
        <v>Fikret manuscripts/books、house interiors、garden/Bosphorus view。</v>
      </c>
      <c r="G49" s="1127" t="str">
        <v>如果 12/29 想把 Yıldız 換成更輕的文學／海峽日，可和 Bebek–Arnavutköy 散步一起排。</v>
      </c>
      <c r="H49" s="1127" t="str">
        <v>Visit Istanbul 2026 確認館舍；具體當日 hours 近出發再核。</v>
      </c>
      <c r="I49" s="1127" t="str">
        <v>市政館舍；票制近出發核</v>
      </c>
      <c r="J49" s="1127" t="str">
        <v>❗️</v>
      </c>
      <c r="K49" s="1127" t="str">
        <v>○ 備選</v>
      </c>
      <c r="L49" s="1127"/>
      <c r="M49" s="1127" t="str">
        <v>https://www.google.com/maps/search/?api=1&amp;query=A%C5%9Fiyan%20Museum%20Istanbul</v>
      </c>
      <c r="N49" s="1127" t="str">
        <v>https://visit.istanbul/asiyan-museum</v>
      </c>
      <c r="O49" s="1130" t="str">
        <v>★★★★☆ 小眾備選</v>
      </c>
      <c r="P49" s="1127" t="str">
        <v>如果你偏文學／故居多於宮殿，可用它取代 Yıldız Palace 半日的一部分。</v>
      </c>
      <c r="Q49" s="1127" t="str">
        <v>景點實拍
照片來源：https://wanderboat.ai/attractions/turkey/besiktas/asiyan-museum/0595eGT-Tfa61hSUScFeLQ
來源頁實拍；僅作私人行程辨識。</v>
      </c>
      <c r="R49" s="1127" t="str">
        <v>Bebek／Boğaziçi University 一帶</v>
      </c>
      <c r="S49" s="1127" t="str">
        <v>下午 Bosphorus garden</v>
      </c>
      <c r="T49" s="1127" t="str">
        <v>三天時間緊時先保留 Adam Mickiewicz。</v>
      </c>
      <c r="U49" s="1127" t="str">
        <v>Aşiyan Museum 是一種很不同的 Istanbul museum：不是帝國收藏，而是私人住宅、詩人生活與 Bosphorus view。它能讓旅行從『王朝』轉向 20 世紀 Ottoman/Turkish intellectual life。
本次旅行怎樣理解它：土耳其詩人 Tevfik Fikret 的故居，手稿、書、個人物品與 Bosphorus garden 把文學和生活空間連起來。 建議停留 1h。不要只完成『到過』，而是先看整體空間，再選 2–3 個真正有興趣的細節深看。</v>
      </c>
      <c r="V49" s="1127" t="str">
        <v>故居由 Tevfik Fikret 親自設計，後成為 museum；個人物品、manuscripts 和 library 讓空間很有居住感。
城市脈絡：它位於 Bebek / Aşiyan，屬於 文學館／Bosphorus house。把它和周邊街區一起看，會比單獨拍一張正面照片更容易理解 伊斯坦堡 的歷史層次。</v>
      </c>
      <c r="W49" s="1127" t="str">
        <v>控制一小時，看 house＋garden；不需要做學術式細讀。
現場觀察清單：
① Fikret manuscripts/books、house interiors、garden/Bosphorus view。
② 走法：如果 12/29 想把 Yıldız 換成更輕的文學／海峽日，可和 Bebek–Arnavutköy 散步一起排。
③ 如果兩人興趣不同，先一起完成核心看點，再各自自由看 15–20 分鐘。</v>
      </c>
      <c r="X49" s="1127" t="str">
        <v>可接 Bebek／Arnavutköy waterfront。
交通／串聯：Bebek／Boğaziçi University 一帶。同區餐飲不在景點頁重複，請回「伊斯坦堡餐廳／伊斯坦堡茶咖啡」查看。</v>
      </c>
      <c r="Y49" s="1127" t="str">
        <v>不是主行程必塞；天氣好、想看文學故居才換入。
冬季實戰：Visit Istanbul 2026 確認館舍；具體當日 hours 近出發再核。；門票／預約：市政館舍；票制近出發核 ❗️
拍照：下午 Bosphorus garden
時間不足：三天時間緊時先保留 Adam Mickiewicz。</v>
      </c>
    </row>
    <row r="50">
      <c r="L50"/>
    </row>
    <row r="51">
      <c r="A51" t="str">
        <f>HYPERLINK("#'每日行程'!A1","返回每日行程")</f>
        <v>返回每日行程</v>
      </c>
    </row>
  </sheetData>
  <mergeCells>
    <mergeCell ref="A1:Y1"/>
    <mergeCell ref="A2:Y2"/>
    <mergeCell ref="A3:Y3"/>
  </mergeCells>
  <pageMargins left="0.7" right="0.7" top="0.75" bottom="0.75" header="0.3" footer="0.3"/>
  <drawing ns1:id="Raaf775ac14b746d9"/>
  <tableParts count="1">
    <tablePart ns1:id="R0ae6737080764ba1"/>
  </tableParts>
</worksheet>
</file>

<file path=xl/worksheets/sheet8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4" topLeftCell="B5" activePane="bottomRight" state="frozen"/>
    </sheetView>
  </sheetViews>
  <sheetFormatPr defaultRowHeight="15"/>
  <cols>
    <col min="1" max="1" width="16" hidden="0" customWidth="1"/>
    <col min="2" max="2" width="34" hidden="0" customWidth="1"/>
    <col min="3" max="3" width="20" hidden="0" customWidth="1"/>
    <col min="4" max="4" width="23" hidden="0" customWidth="1"/>
    <col min="5" max="5" width="48" hidden="0" customWidth="1"/>
    <col min="6" max="6" width="24" hidden="0" customWidth="1"/>
    <col min="7" max="7" width="36" hidden="0" customWidth="1"/>
    <col min="8" max="8" width="42" hidden="0" customWidth="1"/>
    <col min="9" max="9" width="38" hidden="0" customWidth="1"/>
    <col min="10" max="10" width="36" hidden="0" customWidth="1"/>
    <col min="11" max="11" width="32" hidden="0" customWidth="1"/>
    <col min="12" max="12" width="38" hidden="0" customWidth="1"/>
  </cols>
  <sheetData>
    <row r="1" ht="32" customHeight="1">
      <c r="A1" s="1140" t="str">
        <v>華沙｜推薦總覽｜索引頁</v>
      </c>
      <c r="B1" s="1136"/>
      <c r="C1" s="1136"/>
      <c r="D1" s="1136"/>
      <c r="E1" s="1136"/>
      <c r="F1" s="1136"/>
      <c r="G1" s="1136"/>
      <c r="H1" s="871"/>
      <c r="I1" s="871"/>
      <c r="J1" s="871"/>
      <c r="K1" s="871"/>
      <c r="L1" s="872"/>
    </row>
    <row r="2" ht="32" customHeight="1">
      <c r="A2" s="1137" t="str">
        <v>只列最值得保留的項目與詳情頁位置，不重複長篇餐廳、景點或菜色內容。</v>
      </c>
      <c r="B2" s="1137"/>
      <c r="C2" s="1137"/>
      <c r="D2" s="1137"/>
      <c r="E2" s="1137"/>
      <c r="F2" s="1137"/>
      <c r="G2" s="1137"/>
      <c r="H2" s="873"/>
      <c r="I2" s="873"/>
      <c r="J2" s="873"/>
      <c r="K2" s="873"/>
      <c r="L2" s="874"/>
    </row>
    <row r="3" ht="86" customHeight="1">
      <c r="A3" s="1138"/>
      <c r="B3" s="1138"/>
      <c r="C3" s="1138"/>
      <c r="D3" s="1138"/>
      <c r="E3" s="1138"/>
      <c r="F3" s="1138"/>
      <c r="G3" s="1138"/>
      <c r="H3" s="599"/>
      <c r="I3" s="599"/>
      <c r="J3" s="599"/>
    </row>
    <row r="4" ht="40" customHeight="1">
      <c r="A4" s="1267" t="str">
        <v>類別</v>
      </c>
      <c r="B4" s="1267" t="str">
        <v>名稱</v>
      </c>
      <c r="C4" s="1267" t="str">
        <v>推薦度／狀態</v>
      </c>
      <c r="D4" s="1267" t="str">
        <v>日期／行程</v>
      </c>
      <c r="E4" s="1267" t="str">
        <v>一句理由</v>
      </c>
      <c r="F4" s="1267" t="str">
        <v>詳情頁</v>
      </c>
      <c r="G4" s="1267" t="str">
        <v>備註</v>
      </c>
      <c r="H4" s="875"/>
      <c r="I4" s="875"/>
      <c r="J4" s="875"/>
      <c r="K4" s="876"/>
      <c r="L4" s="876"/>
    </row>
    <row r="5" ht="90" customHeight="1">
      <c r="A5" s="1168" t="str">
        <v>餐廳</v>
      </c>
      <c r="B5" s="1168" t="str">
        <v>Bar Mleczny Bambino</v>
      </c>
      <c r="C5" s="1168" t="str">
        <v>★★★★★ 必吃</v>
      </c>
      <c r="D5" s="1168" t="str">
        <v>● 已排入 12/23 早餐</v>
      </c>
      <c r="E5" s="1168" t="str">
        <v>真正的 bar mleczny（日常平價食堂）路線，不是為遊客設計的酒店早餐；落機第一餐可以一次理解華沙日常飲食。</v>
      </c>
      <c r="F5" s="1168" t="str">
        <f>HYPERLINK("#'華沙餐廳'!C5","查看詳情／照片")</f>
        <v>查看詳情／照片</v>
      </c>
      <c r="G5" s="1168" t="str">
        <v>✅ 主行程保留</v>
      </c>
      <c r="H5" s="877"/>
      <c r="I5" s="877"/>
      <c r="J5" s="877"/>
      <c r="K5" s="819"/>
      <c r="L5" s="819"/>
    </row>
    <row r="6" ht="90" customHeight="1">
      <c r="A6" s="1123" t="str">
        <v>餐廳</v>
      </c>
      <c r="B6" s="1123" t="str">
        <v>Gdański Bar Mleczny</v>
      </c>
      <c r="C6" s="1123" t="str">
        <v>★★★★☆ 很推薦</v>
      </c>
      <c r="D6" s="1123" t="str">
        <v>● 已排入 12/23 午餐</v>
      </c>
      <c r="E6" s="1122" t="str">
        <v>POLIN 後不用為吃飯跨區，仍然是奶吧型在地食堂；比老城觀光餐更自然，適合午餐快速補充體力。</v>
      </c>
      <c r="F6" s="1122" t="str">
        <f>HYPERLINK("#'華沙餐廳'!C6","查看詳情／照片")</f>
        <v>查看詳情／照片</v>
      </c>
      <c r="G6" s="1122" t="str">
        <v>✅ 主行程保留</v>
      </c>
      <c r="H6" s="256"/>
      <c r="I6" s="545"/>
      <c r="J6" s="256"/>
      <c r="K6" s="256"/>
      <c r="L6" s="256"/>
    </row>
    <row r="7" ht="90" customHeight="1">
      <c r="A7" s="1123" t="str">
        <v>餐廳</v>
      </c>
      <c r="B7" s="1123" t="str">
        <v>Stary Dom</v>
      </c>
      <c r="C7" s="1123" t="str">
        <v>★★★★★ 必吃</v>
      </c>
      <c r="D7" s="1123" t="str">
        <v>● 已排入 12/23 晚餐</v>
      </c>
      <c r="E7" s="1122" t="str">
        <v>老派正式波蘭菜做得完整，服務與用餐氣氛比奶吧精緻；這趟只需要一至兩餐正式波蘭晚餐，我會把它放第一順位。</v>
      </c>
      <c r="F7" s="1122" t="str">
        <f>HYPERLINK("#'華沙餐廳'!C7","查看詳情／照片")</f>
        <v>查看詳情／照片</v>
      </c>
      <c r="G7" s="1122" t="str">
        <v>✅ 只留 12/23 一餐</v>
      </c>
      <c r="H7" s="256"/>
      <c r="I7" s="545"/>
      <c r="J7" s="256"/>
      <c r="K7" s="256"/>
      <c r="L7" s="256"/>
    </row>
    <row r="8" ht="90" customHeight="1">
      <c r="A8" s="1128" t="str">
        <v>餐廳</v>
      </c>
      <c r="B8" s="1128" t="str">
        <v>Podwale 25 Kompania Piwna</v>
      </c>
      <c r="C8" s="1128" t="str">
        <v>★★★★☆ 很推薦</v>
      </c>
      <c r="D8" s="1128" t="str">
        <v>● 已排入 12/24 午餐；12/25 晚備選</v>
      </c>
      <c r="E8" s="1127" t="str">
        <v>地點在老城旁但不是只靠景觀賣套餐；份量大、傳統菜種類完整，聖誕期間若確認營業，是很實用的『有把握吃飽』選擇。</v>
      </c>
      <c r="F8" s="1127" t="str">
        <f>HYPERLINK("#'華沙餐廳'!C8","查看詳情／照片")</f>
        <v>查看詳情／照片</v>
      </c>
      <c r="G8" s="1127" t="str">
        <v>✅ 12/24 午餐</v>
      </c>
      <c r="H8" s="256"/>
      <c r="I8" s="256"/>
      <c r="J8" s="256"/>
      <c r="K8" s="256"/>
      <c r="L8" s="256"/>
    </row>
    <row r="9" ht="90" customHeight="1">
      <c r="A9" s="1123" t="str">
        <v>餐廳</v>
      </c>
      <c r="B9" s="1123" t="str">
        <v>NUTA（待定）</v>
      </c>
      <c r="C9" s="1123" t="str">
        <v>★★★★★ 優先・你指定</v>
      </c>
      <c r="D9" s="1123" t="str">
        <v>● 12/24 晚餐候選・未訂位</v>
      </c>
      <c r="E9" s="1122" t="str">
        <v>把你們的平安夜留作一頓慢慢享用的約會晚餐。NUTA（待定） 只供季節品嚐套餐，從輕盈前菜走到主菜、甜點；主廚以波蘭在地食材與傳統為起點，用現代技法呈現。開放式廚房讓你們能看料理完成，也適合邊吃邊聊每道菜的味道。和日常波蘭家常菜不同，這餐重點是完整體驗；預留 2–3 小時，不再接趕時間的景點。</v>
      </c>
      <c r="F9" s="1122" t="str">
        <f>HYPERLINK("#'華沙餐廳'!C9","查看詳情／照片")</f>
        <v>查看詳情／照片</v>
      </c>
      <c r="G9" s="1122" t="str">
        <v>優先訂位・聖誕營業待確認</v>
      </c>
      <c r="H9" s="256"/>
      <c r="I9" s="545"/>
      <c r="J9" s="256"/>
      <c r="K9" s="256"/>
      <c r="L9" s="256"/>
    </row>
    <row r="10" ht="90" customHeight="1">
      <c r="A10" s="1123" t="str">
        <v>餐廳</v>
      </c>
      <c r="B10" s="1123" t="str">
        <v>Floor No.2（待定）</v>
      </c>
      <c r="C10" s="1123" t="str">
        <v>★★★★☆ 聖誕實用推薦</v>
      </c>
      <c r="D10" s="1123" t="str">
        <v>● 12/25 晚餐候選・未訂位</v>
      </c>
      <c r="E10" s="1122" t="str">
        <v>聖誕日先找得到明確供餐安排，再放心散步。位於 Warsaw Presidential Hotel 的 Floor No.2（待定） 以波蘭與地中海風格 buffet 為主，兩人可以各取少量、比較口味，避免一開始吃太飽。環境偏正式酒店聚餐，並非傳統小店；這一餐的優點是市中心位置與官網明列 2026 聖誕活動，適合結束公園散步後回酒店休息再來。</v>
      </c>
      <c r="F10" s="1122" t="str">
        <f>HYPERLINK("#'華沙餐廳'!C12","查看詳情／照片")</f>
        <v>查看詳情／照片</v>
      </c>
      <c r="G10" s="1122" t="str">
        <v>2026 活動已公布・未訂位</v>
      </c>
      <c r="H10" s="256"/>
      <c r="I10" s="545"/>
      <c r="J10" s="256"/>
      <c r="K10" s="256"/>
      <c r="L10" s="256"/>
    </row>
    <row r="11" ht="90" customHeight="1">
      <c r="A11" s="1123" t="str">
        <v>餐廳</v>
      </c>
      <c r="B11" s="1123" t="str">
        <v>Restauracja Belvedere（待定）</v>
      </c>
      <c r="C11" s="1123" t="str">
        <v>★★★★☆ 情侶／公園午餐推薦</v>
      </c>
      <c r="D11" s="1123" t="str">
        <v>● 12/25 午餐候選・未訂位</v>
      </c>
      <c r="E11" s="1122" t="str">
        <v>就在皇家浴場公園的 New Orangery，建築已有逾 150 年歷史，室內熱帶植物把冬天的午餐變成溫暖的溫室約會。它的吸引力是公園、歷史建築與季節波蘭料理可以接在同一段行程，省去為午餐再跨區的折返。料理以波蘭傳統與當季食材結合法式技術，呈現比奶吧更精緻；適合兩人走完湖邊後慢慢吃。聖誕午市尚未確認，景觀與一般營業不能當成假日開門證據。</v>
      </c>
      <c r="F11" s="1122" t="str">
        <f>HYPERLINK("#'華沙餐廳'!C13","查看詳情／照片")</f>
        <v>查看詳情／照片</v>
      </c>
      <c r="G11" s="1122" t="str">
        <v>聖誕午市待確認</v>
      </c>
      <c r="H11" s="256"/>
      <c r="I11" s="545"/>
      <c r="J11" s="256"/>
      <c r="K11" s="256"/>
      <c r="L11" s="256"/>
    </row>
    <row r="12" ht="90" customHeight="1">
      <c r="A12" s="1123" t="str">
        <v>餐廳</v>
      </c>
      <c r="B12" s="1123" t="str">
        <v>Restauracja Kameralna</v>
      </c>
      <c r="C12" s="1123" t="str">
        <v>★★★★☆ 很推薦</v>
      </c>
      <c r="D12" s="1125" t="str">
        <v>● 已排入 12/26 午餐</v>
      </c>
      <c r="E12" s="1122" t="str">
        <v>不是景點型餐廳，位置又剛好夾在皇家大道與 Powiśle／MSN 之間；適合 12/26 中午吃一頓直接、傳統、不必繞遠的波蘭菜。</v>
      </c>
      <c r="F12" s="1122" t="str">
        <f>HYPERLINK("#'華沙餐廳'!C14","查看詳情／照片")</f>
        <v>查看詳情／照片</v>
      </c>
      <c r="G12" s="1122" t="str">
        <v>✅ 12/26 午餐</v>
      </c>
      <c r="H12" s="256"/>
      <c r="I12" s="545"/>
      <c r="J12" s="256"/>
      <c r="K12" s="256"/>
      <c r="L12" s="256"/>
    </row>
    <row r="13" ht="90" customHeight="1">
      <c r="A13" s="1123" t="str">
        <v>餐廳</v>
      </c>
      <c r="B13" s="1123" t="str">
        <v>Restauracja U Wieniawy</v>
      </c>
      <c r="C13" s="1123" t="str">
        <v>★★★★☆ 很推薦</v>
      </c>
      <c r="D13" s="1125" t="str">
        <v>● 改排 12/26 晚餐候選</v>
      </c>
      <c r="E13" s="1122" t="str">
        <v>保留你喜歡的老华沙餐廳，改放到 12/26。以戰前華沙與 Wieniawa 將軍的軍官俱樂部文化為靈感，從室內氣氛到菜單都重視歷史感；華沙式牛肚湯、牛肉他他和鴨料理讓這餐有地方特色。適合你們結束現代藝術館後，回到傳統華沙餐桌慢慢吃，無需為晚餐再跨河。12/26 也是假日，仍須確認營業與可訂時段。</v>
      </c>
      <c r="F13" s="1122" t="str">
        <f>HYPERLINK("#'華沙餐廳'!C17","查看詳情／照片")</f>
        <v>查看詳情／照片</v>
      </c>
      <c r="G13" s="1122" t="str">
        <v>優先候選・12/26 待確認</v>
      </c>
      <c r="H13" s="256"/>
      <c r="I13" s="545"/>
      <c r="J13" s="256"/>
      <c r="K13" s="256"/>
      <c r="L13" s="256"/>
    </row>
    <row r="14" ht="90" customHeight="1">
      <c r="A14" s="1169" t="str">
        <v>景點</v>
      </c>
      <c r="B14" s="1169" t="str">
        <v>POLIN Museum of the History of Polish Jews</v>
      </c>
      <c r="C14" s="1169" t="str">
        <v>★★★★★ 必去</v>
      </c>
      <c r="D14" s="1169" t="str">
        <v>12/23</v>
      </c>
      <c r="E14" s="1146" t="str">
        <v>理解華沙與波蘭猶太人千年歷史，內容比只看二戰更完整。</v>
      </c>
      <c r="F14" s="1146" t="str">
        <f>HYPERLINK("#'華沙景點指南'!A5","查看詳情／照片")</f>
        <v>查看詳情／照片</v>
      </c>
      <c r="G14" s="1146" t="str">
        <v>華沙歷史線最重要；12/23 優先保留，至少 2.5 小時。</v>
      </c>
      <c r="H14" s="256"/>
      <c r="I14" s="545"/>
      <c r="J14" s="256"/>
      <c r="K14" s="256"/>
      <c r="L14" s="256"/>
    </row>
    <row r="15" ht="90" customHeight="1">
      <c r="A15" s="1146" t="str">
        <v>景點</v>
      </c>
      <c r="B15" s="1169" t="str">
        <v>Monument to the Ghetto Heroes</v>
      </c>
      <c r="C15" s="1148" t="str">
        <v>★★★★☆ 很推薦</v>
      </c>
      <c r="D15" s="1169" t="str">
        <v>12/23</v>
      </c>
      <c r="E15" s="1146" t="str">
        <v>就在 POLIN 前方，把博物館敘事落到真實城市位置。</v>
      </c>
      <c r="F15" s="1146" t="str">
        <f>HYPERLINK("#'華沙景點指南'!A6","查看詳情／照片")</f>
        <v>查看詳情／照片</v>
      </c>
      <c r="G15" s="1146" t="str">
        <v>若當天體力與時間足夠就保留；時間不足先刪三星，再刪四星。</v>
      </c>
      <c r="H15" s="256"/>
      <c r="I15" s="545"/>
      <c r="J15" s="256"/>
      <c r="K15" s="256"/>
      <c r="L15" s="256"/>
    </row>
    <row r="16" ht="90" customHeight="1">
      <c r="A16" s="1170" t="str">
        <v>景點</v>
      </c>
      <c r="B16" s="1170" t="str">
        <v>Muranów Memory Walk</v>
      </c>
      <c r="C16" s="1170" t="str">
        <v>★★★★☆ 很推薦</v>
      </c>
      <c r="D16" s="1170" t="str">
        <v>12/23</v>
      </c>
      <c r="E16" s="1170" t="str">
        <v>用街區理解戰前與隔都遺址，不只是單一博物館。</v>
      </c>
      <c r="F16" s="1170" t="str">
        <f>HYPERLINK("#'華沙景點指南'!A7","查看詳情／照片")</f>
        <v>查看詳情／照片</v>
      </c>
      <c r="G16" s="1170" t="str">
        <v>若當天體力與時間足夠就保留；時間不足先刪三星，再刪四星。</v>
      </c>
      <c r="H16" s="749"/>
      <c r="I16" s="749"/>
      <c r="J16" s="749"/>
      <c r="K16" s="749"/>
      <c r="L16" s="749"/>
    </row>
    <row r="17" ht="90" customHeight="1">
      <c r="A17" s="1170" t="str">
        <v>景點</v>
      </c>
      <c r="B17" s="1170" t="str">
        <v>Old Town Market Square</v>
      </c>
      <c r="C17" s="1170" t="str">
        <v>★★★★★ 必去</v>
      </c>
      <c r="D17" s="1170" t="str">
        <v>12/24 晨</v>
      </c>
      <c r="E17" s="1170" t="str">
        <v>華沙戰後復原最具象徵性的區域，冬季燈飾氣氛最好。</v>
      </c>
      <c r="F17" s="1170" t="str">
        <f>HYPERLINK("#'華沙景點指南'!A8","查看詳情／照片")</f>
        <v>查看詳情／照片</v>
      </c>
      <c r="G17" s="1170" t="str">
        <v>第一次華沙不要刪；和 Castle Square、Royal Route 一起走。</v>
      </c>
      <c r="H17" s="755"/>
      <c r="I17" s="755"/>
      <c r="J17" s="755"/>
      <c r="K17" s="755"/>
      <c r="L17" s="755"/>
    </row>
    <row r="18" ht="90" customHeight="1">
      <c r="A18" s="1146" t="str">
        <v>景點</v>
      </c>
      <c r="B18" s="1146" t="str">
        <v>Castle Square &amp; Sigismund's Column</v>
      </c>
      <c r="C18" s="1148" t="str">
        <v>★★★★★ 必去</v>
      </c>
      <c r="D18" s="1171" t="str">
        <v>12/24／12/26</v>
      </c>
      <c r="E18" s="1146" t="str">
        <v>皇家大道與老城入口，適合日景與藍調。</v>
      </c>
      <c r="F18" s="1146" t="str">
        <f>HYPERLINK("#'華沙景點指南'!A9","查看詳情／照片")</f>
        <v>查看詳情／照片</v>
      </c>
      <c r="G18" s="1146" t="str">
        <v>若當天體力與時間足夠就保留；時間不足先刪三星，再刪四星。</v>
      </c>
      <c r="H18" s="256"/>
      <c r="I18" s="545"/>
      <c r="J18" s="256"/>
      <c r="K18" s="256"/>
      <c r="L18" s="256"/>
    </row>
    <row r="19" ht="90" customHeight="1">
      <c r="A19" s="1146" t="str">
        <v>景點</v>
      </c>
      <c r="B19" s="1169" t="str">
        <v>Kanonia &amp; Gnojna Góra</v>
      </c>
      <c r="C19" s="1169" t="str">
        <v>★★★★☆ 很推薦</v>
      </c>
      <c r="D19" s="1169" t="str">
        <v>12/24</v>
      </c>
      <c r="E19" s="1146" t="str">
        <v>老城最適合拍細節、又比主廣場少人的位置。</v>
      </c>
      <c r="F19" s="1146" t="str">
        <f>HYPERLINK("#'華沙景點指南'!A10","查看詳情／照片")</f>
        <v>查看詳情／照片</v>
      </c>
      <c r="G19" s="1146" t="str">
        <v>若當天體力與時間足夠就保留；時間不足先刪三星，再刪四星。</v>
      </c>
      <c r="H19" s="256"/>
      <c r="I19" s="256"/>
      <c r="J19" s="256"/>
      <c r="K19" s="256"/>
      <c r="L19" s="256"/>
    </row>
    <row r="20" ht="90" customHeight="1">
      <c r="A20" s="1146" t="str">
        <v>景點</v>
      </c>
      <c r="B20" s="1169" t="str">
        <v>Warsaw Barbican &amp; New Town</v>
      </c>
      <c r="C20" s="1149" t="str">
        <v>★★★★☆ 很推薦</v>
      </c>
      <c r="D20" s="1169" t="str">
        <v>12/24</v>
      </c>
      <c r="E20" s="1146" t="str">
        <v>把老城延伸到新城，不會只在最擠的幾條街打轉。</v>
      </c>
      <c r="F20" s="1146" t="str">
        <f>HYPERLINK("#'華沙景點指南'!A11","查看詳情／照片")</f>
        <v>查看詳情／照片</v>
      </c>
      <c r="G20" s="1146" t="str">
        <v>若當天體力與時間足夠就保留；時間不足先刪三星，再刪四星。</v>
      </c>
      <c r="H20" s="256"/>
      <c r="I20" s="256"/>
      <c r="J20" s="256"/>
      <c r="K20" s="256"/>
      <c r="L20" s="256"/>
    </row>
    <row r="21" ht="90" customHeight="1">
      <c r="A21" s="1146" t="str">
        <v>景點</v>
      </c>
      <c r="B21" s="1169" t="str">
        <v>Royal Route: Krakowskie Przedmieście</v>
      </c>
      <c r="C21" s="1148" t="str">
        <v>★★★★★ 必去</v>
      </c>
      <c r="D21" s="1169" t="str">
        <v>12/24 晚</v>
      </c>
      <c r="E21" s="1146" t="str">
        <v>冬季燈飾與華沙代表性軸線，24–25 日博物館關門時仍值得走。</v>
      </c>
      <c r="F21" s="1146" t="str">
        <f>HYPERLINK("#'華沙景點指南'!A12","查看詳情／照片")</f>
        <v>查看詳情／照片</v>
      </c>
      <c r="G21" s="1146" t="str">
        <v>當成一路逛的街區主線；聖誕期間尤其值得。</v>
      </c>
      <c r="H21" s="256"/>
      <c r="I21" s="545"/>
      <c r="J21" s="256"/>
      <c r="K21" s="256"/>
      <c r="L21" s="256"/>
    </row>
    <row r="22" ht="90" customHeight="1">
      <c r="A22" s="1146" t="str">
        <v>景點</v>
      </c>
      <c r="B22" s="1169" t="str">
        <v>Saxon Garden &amp; Tomb of the Unknown Soldier</v>
      </c>
      <c r="C22" s="1148" t="str">
        <v>★★★★☆ 很推薦</v>
      </c>
      <c r="D22" s="1169" t="str">
        <v>12/24 下午</v>
      </c>
      <c r="E22" s="1146" t="str">
        <v>位置中央、適合串聯皇家大道與市中心。</v>
      </c>
      <c r="F22" s="1146" t="str">
        <f>HYPERLINK("#'華沙景點指南'!A13","查看詳情／照片")</f>
        <v>查看詳情／照片</v>
      </c>
      <c r="G22" s="1146" t="str">
        <v>若當天體力與時間足夠就保留；時間不足先刪三星，再刪四星。</v>
      </c>
      <c r="H22" s="256"/>
      <c r="I22" s="545"/>
      <c r="J22" s="256"/>
      <c r="K22" s="256"/>
      <c r="L22" s="256"/>
    </row>
    <row r="23" ht="90" customHeight="1">
      <c r="A23" s="1146" t="str">
        <v>景點</v>
      </c>
      <c r="B23" s="1169" t="str">
        <v>Łazienki Królewskie</v>
      </c>
      <c r="C23" s="1149" t="str">
        <v>★★★★★ 必去</v>
      </c>
      <c r="D23" s="1169" t="str">
        <v>12/25</v>
      </c>
      <c r="E23" s="1146" t="str">
        <v>冬日華沙最值得慢走的公園之一，聖誕即使室內有限也有完整戶外體驗。</v>
      </c>
      <c r="F23" s="1146" t="str">
        <f>HYPERLINK("#'華沙景點指南'!A14","查看詳情／照片")</f>
        <v>查看詳情／照片</v>
      </c>
      <c r="G23" s="1146" t="str">
        <v>天氣好必去；冬天仍值得看宮園氛圍。</v>
      </c>
      <c r="H23" s="256"/>
      <c r="I23" s="545"/>
      <c r="J23" s="256"/>
      <c r="K23" s="256"/>
      <c r="L23" s="256"/>
    </row>
    <row r="24" ht="90" customHeight="1">
      <c r="A24" s="1146" t="str">
        <v>景點</v>
      </c>
      <c r="B24" s="1169" t="str">
        <v>Chopin Monument</v>
      </c>
      <c r="C24" s="1148" t="str">
        <v>★★★★☆ 很推薦</v>
      </c>
      <c r="D24" s="1169" t="str">
        <v>12/25</v>
      </c>
      <c r="E24" s="1146" t="str">
        <v>最具波蘭文化辨識度之一，和公園一起看最順。</v>
      </c>
      <c r="F24" s="1146" t="str">
        <f>HYPERLINK("#'華沙景點指南'!A15","查看詳情／照片")</f>
        <v>查看詳情／照片</v>
      </c>
      <c r="G24" s="1146" t="str">
        <v>若當天體力與時間足夠就保留；時間不足先刪三星，再刪四星。</v>
      </c>
      <c r="H24" s="256"/>
      <c r="I24" s="545"/>
      <c r="J24" s="256"/>
      <c r="K24" s="256"/>
      <c r="L24" s="256"/>
    </row>
    <row r="25" ht="90" customHeight="1">
      <c r="A25" s="1146" t="str">
        <v>景點</v>
      </c>
      <c r="B25" s="1169" t="str">
        <v>Mokotowska → Plac Zbawiciela → Plac Konstytucji</v>
      </c>
      <c r="C25" s="1148" t="str">
        <v>★★★★☆ 很推薦</v>
      </c>
      <c r="D25" s="1169" t="str">
        <v>12/25 下午</v>
      </c>
      <c r="E25" s="1146" t="str">
        <v>12/25 多數大型景點關門時，仍可看住宅、街景與咖啡文化。</v>
      </c>
      <c r="F25" s="1146" t="str">
        <f>HYPERLINK("#'華沙景點指南'!A16","查看詳情／照片")</f>
        <v>查看詳情／照片</v>
      </c>
      <c r="G25" s="1146" t="str">
        <v>若當天體力與時間足夠就保留；時間不足先刪三星，再刪四星。</v>
      </c>
      <c r="H25" s="256"/>
      <c r="I25" s="545"/>
      <c r="J25" s="256"/>
      <c r="K25" s="256"/>
      <c r="L25" s="256"/>
    </row>
    <row r="26" ht="90" customHeight="1">
      <c r="A26" s="1170" t="str">
        <v>景點</v>
      </c>
      <c r="B26" s="1170" t="str">
        <v>Royal Castle in Warsaw</v>
      </c>
      <c r="C26" s="1170" t="str">
        <v>★★★★★ 必去</v>
      </c>
      <c r="D26" s="1170" t="str">
        <v>12/26</v>
      </c>
      <c r="E26" s="1170" t="str">
        <v>華沙王室與國家史核心景點，內部重建本身就是戰後歷史。</v>
      </c>
      <c r="F26" s="1170" t="str">
        <f>HYPERLINK("#'華沙景點指南'!A17","查看詳情／照片")</f>
        <v>查看詳情／照片</v>
      </c>
      <c r="G26" s="1170" t="str">
        <v>12/26 核心室內景點，優先提早入場。</v>
      </c>
      <c r="H26" s="761"/>
      <c r="I26" s="761"/>
      <c r="J26" s="761"/>
      <c r="K26" s="761"/>
      <c r="L26" s="761"/>
    </row>
    <row r="27" ht="90" customHeight="1">
      <c r="A27" s="1170" t="str">
        <v>景點</v>
      </c>
      <c r="B27" s="1170" t="str">
        <v>Mariensztat</v>
      </c>
      <c r="C27" s="1170" t="str">
        <v>★★★★☆ 很推薦</v>
      </c>
      <c r="D27" s="1170" t="str">
        <v>12/26</v>
      </c>
      <c r="E27" s="1170" t="str">
        <v>就在城堡下面卻比老城安靜，適合拍戰後住宅與小廣場。</v>
      </c>
      <c r="F27" s="1170" t="str">
        <f>HYPERLINK("#'華沙景點指南'!A18","查看詳情／照片")</f>
        <v>查看詳情／照片</v>
      </c>
      <c r="G27" s="1170" t="str">
        <v>若當天體力與時間足夠就保留；時間不足先刪三星，再刪四星。</v>
      </c>
      <c r="H27" s="766"/>
      <c r="I27" s="766"/>
      <c r="J27" s="766"/>
      <c r="K27" s="766"/>
      <c r="L27" s="766"/>
    </row>
    <row r="28" ht="90" customHeight="1">
      <c r="A28" s="1146" t="str">
        <v>景點</v>
      </c>
      <c r="B28" s="1146" t="str">
        <v>Museum of Modern Art in Warsaw</v>
      </c>
      <c r="C28" s="1149" t="str">
        <v>★★★★☆ 很推薦</v>
      </c>
      <c r="D28" s="1148" t="str">
        <v>12/26 下午</v>
      </c>
      <c r="E28" s="1146" t="str">
        <v>新館是 2026 華沙很值得看的建築與展覽節點，也能補足古城／歷史博物館之外的城市面貌。</v>
      </c>
      <c r="F28" s="1146" t="str">
        <f>HYPERLINK("#'華沙景點指南'!A19","查看詳情／照片")</f>
        <v>查看詳情／照片</v>
      </c>
      <c r="G28" s="1146" t="str">
        <v>若當天體力與時間足夠就保留；時間不足先刪三星，再刪四星。</v>
      </c>
      <c r="H28" s="256"/>
      <c r="I28" s="256"/>
      <c r="J28" s="256"/>
      <c r="K28" s="256"/>
      <c r="L28" s="256"/>
    </row>
    <row r="29" ht="90" customHeight="1">
      <c r="A29" s="1146" t="str">
        <v>景點</v>
      </c>
      <c r="B29" s="1146" t="str">
        <v>Palace of Culture and Science</v>
      </c>
      <c r="C29" s="1148" t="str">
        <v>★★★☆☆ 順路可去</v>
      </c>
      <c r="D29" s="1148" t="str">
        <v>12/26</v>
      </c>
      <c r="E29" s="1146" t="str">
        <v>華沙天際線與共產時期城市史的代表。</v>
      </c>
      <c r="F29" s="1146" t="str">
        <f>HYPERLINK("#'華沙景點指南'!A20","查看詳情／照片")</f>
        <v>查看詳情／照片</v>
      </c>
      <c r="G29" s="1146" t="str">
        <v>看外觀即可；這趟不需要為觀景台投入太多時間。</v>
      </c>
      <c r="H29" s="256"/>
      <c r="I29" s="256"/>
      <c r="J29" s="256"/>
      <c r="K29" s="256"/>
      <c r="L29" s="256"/>
    </row>
    <row r="30" ht="90" customHeight="1">
      <c r="A30" s="1146" t="str">
        <v>景點</v>
      </c>
      <c r="B30" s="1169" t="str">
        <v>2026 Christmas Illumination Route</v>
      </c>
      <c r="C30" s="1149" t="str">
        <v>★★★★★ 必去</v>
      </c>
      <c r="D30" s="1169" t="str">
        <v>12/24 晚</v>
      </c>
      <c r="E30" s="1146" t="str">
        <v>2026 年官方已宣布換成全新燈飾，路線比以往更長，正好填滿 12/24 晚上不適合跑博物館的時段。</v>
      </c>
      <c r="F30" s="1146" t="str">
        <f>HYPERLINK("#'華沙景點指南'!A24","查看詳情／照片")</f>
        <v>查看詳情／照片</v>
      </c>
      <c r="G30" s="1146" t="str">
        <v>12/24 晚優先保留，當作聖誕夜主活動。</v>
      </c>
      <c r="H30" s="256"/>
      <c r="I30" s="545"/>
      <c r="J30" s="256"/>
      <c r="K30" s="256"/>
      <c r="L30" s="256"/>
    </row>
    <row r="31" ht="90" customHeight="1">
      <c r="A31" s="1146" t="str">
        <v>景點</v>
      </c>
      <c r="B31" s="1169" t="str">
        <v>Holy Cross Church</v>
      </c>
      <c r="C31" s="1148" t="str">
        <v>★★★★☆ 很推薦</v>
      </c>
      <c r="D31" s="1169" t="str">
        <v>12/24 皇家大道</v>
      </c>
      <c r="E31" s="1146" t="str">
        <v>教堂本身就在皇家大道，最特別是蕭邦心臟安放於柱內；不必繞路就能補足文化故事。</v>
      </c>
      <c r="F31" s="1146" t="str">
        <f>HYPERLINK("#'華沙景點指南'!A28","查看詳情／照片")</f>
        <v>查看詳情／照片</v>
      </c>
      <c r="G31" s="1146" t="str">
        <v>幾乎零額外交通成本，值得加進皇家大道，不用另排半天。</v>
      </c>
      <c r="H31" s="256"/>
      <c r="I31" s="545"/>
      <c r="J31" s="256"/>
      <c r="K31" s="256"/>
      <c r="L31" s="256"/>
    </row>
    <row r="32" ht="90" customHeight="1">
      <c r="A32" s="1172" t="str">
        <v>茶／咖啡</v>
      </c>
      <c r="B32" s="1173" t="str">
        <v>Coffee Karma</v>
      </c>
      <c r="C32" s="1174" t="str">
        <v>★★★☆☆ 順路可去</v>
      </c>
      <c r="D32" s="1173" t="str">
        <v>● 已排入 12/24 早餐</v>
      </c>
      <c r="E32" s="1172" t="str">
        <v>重點不是『必喝神店』，而是 Plac Zbawiciela 動線好，適合平安夜早上先坐下喝咖啡再走老城；本行程價值主要是位置。</v>
      </c>
      <c r="F32" s="1172" t="str">
        <f>HYPERLINK("#'華沙茶咖啡'!C5","查看詳情／照片")</f>
        <v>查看詳情／照片</v>
      </c>
      <c r="G32" s="1172" t="str">
        <v>主行程保留是因位置與聖誕早上實用，不是因為它是全城最好咖啡。</v>
      </c>
      <c r="H32" s="256"/>
      <c r="I32" s="545"/>
      <c r="J32" s="256"/>
      <c r="K32" s="256"/>
      <c r="L32" s="256"/>
    </row>
    <row r="33" ht="90" customHeight="1">
      <c r="A33" s="1175" t="str">
        <v>茶／咖啡</v>
      </c>
      <c r="B33" s="1175" t="str">
        <v>Ministerstwo Kawy</v>
      </c>
      <c r="C33" s="1175" t="str">
        <v>★★★★★ 必喝</v>
      </c>
      <c r="D33" s="1175" t="str">
        <v>● 已排入 12/25 早餐</v>
      </c>
      <c r="E33" s="1175" t="str">
        <v>如果華沙只留一間精品咖啡，我會選它；咖啡本身比『打卡裝潢』更值得，位置也能接 Mokotowska／Plac Zbawiciela。</v>
      </c>
      <c r="F33" s="1175" t="str">
        <f>HYPERLINK("#'華沙茶咖啡'!C6","查看詳情／照片")</f>
        <v>查看詳情／照片</v>
      </c>
      <c r="G33" s="1175" t="str">
        <v>華沙咖啡第一順位；若 12/25 不開，移到其他日，不要直接刪掉。</v>
      </c>
      <c r="H33" s="884"/>
      <c r="I33" s="884"/>
      <c r="J33" s="884"/>
      <c r="K33" s="884"/>
      <c r="L33" s="884"/>
    </row>
    <row r="34" ht="90" customHeight="1">
      <c r="A34" s="1175" t="str">
        <v>茶／咖啡</v>
      </c>
      <c r="B34" s="1175" t="str">
        <v>Shabby Chic Coffee &amp; Wine Bar（待定）</v>
      </c>
      <c r="C34" s="1175" t="str">
        <v>★★★★☆ 老城順路推薦</v>
      </c>
      <c r="D34" s="1175" t="str">
        <v>● 12/26 早餐候選</v>
      </c>
      <c r="E34" s="1175" t="str">
        <v>在老城 Piwna 街，早餐後走到皇家城堡即可接上參觀，不必先繞到南邊住宅區。小型、溫馨的老城咖啡館適合兩人冬天坐下暖身、慢慢開始一天；它的特色是街區氣氛和方便的動線，並非用精品咖啡獎項來推薦。先確認聖誕第二天早餐供應，當日若不開便在出門前吃酒店早餐。</v>
      </c>
      <c r="F34" s="1175" t="str">
        <f>HYPERLINK("#'華沙茶咖啡'!C7","查看詳情／照片")</f>
        <v>查看詳情／照片</v>
      </c>
      <c r="G34" s="1175" t="str">
        <v>09:00–09:45 早餐，之後老城短走／城堡廣場；10:30 參觀時間不變。</v>
      </c>
      <c r="H34" s="888"/>
      <c r="I34" s="888"/>
      <c r="J34" s="888"/>
      <c r="K34" s="888"/>
      <c r="L34" s="888"/>
    </row>
    <row r="35" ht="90" customHeight="1">
      <c r="A35" s="1128" t="str">
        <v>茶／咖啡</v>
      </c>
      <c r="B35" s="1128" t="str">
        <v>STOR Cafe</v>
      </c>
      <c r="C35" s="1135" t="str">
        <v>★★★★★ 必喝</v>
      </c>
      <c r="D35" s="1128" t="str">
        <v>○ 強力備選</v>
      </c>
      <c r="E35" s="1127" t="str">
        <v>Powiśle 精品咖啡很強的代表之一，若你們在河岸／現代藝術館附近，STOR 比回市中心喝連鎖更值得。</v>
      </c>
      <c r="F35" s="1127" t="str">
        <f>HYPERLINK("#'華沙茶咖啡'!C9","查看詳情／照片")</f>
        <v>查看詳情／照片</v>
      </c>
      <c r="G35" s="1127" t="str">
        <v>如果 12/25 Ministerstwo 不開，這是咖啡備選第一順位之一。</v>
      </c>
      <c r="H35" s="256"/>
      <c r="I35" s="545"/>
      <c r="J35" s="256"/>
      <c r="K35" s="256"/>
      <c r="L35" s="256"/>
    </row>
    <row r="36" ht="90" customHeight="1">
      <c r="A36" s="1176" t="str">
        <v>當地特色菜</v>
      </c>
      <c r="B36" s="1176" t="str">
        <v>Śledź po warszawsku / śledź w oleju</v>
      </c>
      <c r="C36" s="1177" t="str">
        <v>★★★★★</v>
      </c>
      <c r="D36" s="1176" t="str">
        <v>✅ 12/24 晚候選</v>
      </c>
      <c r="E36" s="1178" t="str">
        <v>華沙式鯡魚／油漬鯡魚</v>
      </c>
      <c r="F36" s="1178" t="str">
        <f>HYPERLINK("#'華沙當地特色菜'!B5","查看詳情／照片")</f>
        <v>查看詳情／照片</v>
      </c>
      <c r="G36" s="1178" t="str">
        <v>尚未安排；向保留的傳統波蘭餐廳核對供應，不保證在新餐廳吃到</v>
      </c>
      <c r="H36" s="256"/>
      <c r="I36" s="256"/>
      <c r="J36" s="256"/>
      <c r="K36" s="256"/>
      <c r="L36" s="256"/>
    </row>
    <row r="37" ht="90" customHeight="1">
      <c r="A37" s="1176" t="str">
        <v>當地特色菜</v>
      </c>
      <c r="B37" s="1176" t="str">
        <v>Nóżki w galarecie / zimne nóżki</v>
      </c>
      <c r="C37" s="1178" t="str">
        <v>★★★★★</v>
      </c>
      <c r="D37" s="1177" t="str">
        <v>✅ 12/24 午餐</v>
      </c>
      <c r="E37" s="1178" t="str">
        <v>豬腳凍／豬肉啫喱冷盤</v>
      </c>
      <c r="F37" s="1178" t="str">
        <f>HYPERLINK("#'華沙當地特色菜'!B6","查看詳情／照片")</f>
        <v>查看詳情／照片</v>
      </c>
      <c r="G37" s="1178" t="str">
        <v>Podwale 25：Zimne nóżki</v>
      </c>
      <c r="H37" s="256"/>
      <c r="I37" s="256"/>
      <c r="J37" s="256"/>
      <c r="K37" s="207"/>
      <c r="L37" s="207"/>
    </row>
    <row r="38" ht="90" customHeight="1">
      <c r="A38" s="1176" t="str">
        <v>當地特色菜</v>
      </c>
      <c r="B38" s="1176" t="str">
        <v>Pyzy z mięsem</v>
      </c>
      <c r="C38" s="1179" t="str">
        <v>★★★★★</v>
      </c>
      <c r="D38" s="1179" t="str">
        <v>✅ 12/26 晚餐</v>
      </c>
      <c r="E38" s="1179" t="str">
        <v>肉餡馬鈴薯糰子</v>
      </c>
      <c r="F38" s="1179" t="str">
        <f>HYPERLINK("#'華沙當地特色菜'!B7","查看詳情／照片")</f>
        <v>查看詳情／照片</v>
      </c>
      <c r="G38" s="1179" t="str">
        <v>尚未安排；向保留的傳統波蘭餐廳核對供應，不保證在新餐廳吃到</v>
      </c>
      <c r="H38" s="794"/>
      <c r="I38" s="794"/>
      <c r="J38" s="794"/>
      <c r="K38" s="645"/>
      <c r="L38" s="645"/>
    </row>
    <row r="39" ht="90" customHeight="1">
      <c r="A39" s="1180" t="str">
        <v>當地特色菜</v>
      </c>
      <c r="B39" s="1180" t="str">
        <v>Flaki po warszawsku z pulpetami</v>
      </c>
      <c r="C39" s="1181" t="str">
        <v>★★★★★</v>
      </c>
      <c r="D39" s="1181" t="str">
        <v>✅ 12/25 晚候選</v>
      </c>
      <c r="E39" s="1181" t="str">
        <v>華沙式牛肚湯＋肉丸</v>
      </c>
      <c r="F39" s="1181" t="str">
        <f>HYPERLINK("#'華沙當地特色菜'!B8","查看詳情／照片")</f>
        <v>查看詳情／照片</v>
      </c>
      <c r="G39" s="1181" t="str">
        <v>12/26 U Wieniawy 候選；先確認供應</v>
      </c>
      <c r="H39" s="678"/>
      <c r="I39" s="678"/>
      <c r="J39" s="678"/>
      <c r="K39" s="351"/>
      <c r="L39" s="351"/>
    </row>
    <row r="40" ht="90" customHeight="1">
      <c r="A40" s="1180" t="str">
        <v>當地特色菜</v>
      </c>
      <c r="B40" s="1180" t="str">
        <v>Żurek</v>
      </c>
      <c r="C40" s="1181" t="str">
        <v>★★★★★</v>
      </c>
      <c r="D40" s="1181" t="str">
        <v>✅ 12/23 晚餐</v>
      </c>
      <c r="E40" s="1181" t="str">
        <v>酸黑麥發酵湯，常有白腸＋蛋</v>
      </c>
      <c r="F40" s="1181" t="str">
        <f>HYPERLINK("#'華沙當地特色菜'!B12","查看詳情／照片")</f>
        <v>查看詳情／照片</v>
      </c>
      <c r="G40" s="1181" t="str">
        <v>Stary Dom</v>
      </c>
      <c r="H40" s="778"/>
      <c r="I40" s="778"/>
      <c r="J40" s="778"/>
      <c r="K40" s="256"/>
      <c r="L40" s="256"/>
    </row>
    <row r="41" ht="90" customHeight="1">
      <c r="A41" s="1176" t="str">
        <v>當地特色菜</v>
      </c>
      <c r="B41" s="1176" t="str">
        <v>Barszcz czerwony z uszkami</v>
      </c>
      <c r="C41" s="1182" t="str">
        <v>★★★★★</v>
      </c>
      <c r="D41" s="1182" t="str">
        <v>✅ 12/24 晚候選</v>
      </c>
      <c r="E41" s="1178" t="str">
        <v>紅菜頭湯＋迷你蘑菇耳朵餃</v>
      </c>
      <c r="F41" s="1178" t="str">
        <f>HYPERLINK("#'華沙當地特色菜'!B14","查看詳情／照片")</f>
        <v>查看詳情／照片</v>
      </c>
      <c r="G41" s="1178" t="str">
        <v>尚未安排；向保留的傳統波蘭餐廳核對供應，不保證在新餐廳吃到</v>
      </c>
      <c r="H41" s="256"/>
      <c r="I41" s="256"/>
      <c r="J41" s="256"/>
      <c r="K41" s="256"/>
      <c r="L41" s="256"/>
    </row>
    <row r="42" ht="90" customHeight="1">
      <c r="A42" s="1180" t="str">
        <v>當地特色菜</v>
      </c>
      <c r="B42" s="1180" t="str">
        <v>Pierogi z kapustą i grzybami</v>
      </c>
      <c r="C42" s="1183" t="str">
        <v>★★★★★</v>
      </c>
      <c r="D42" s="1181" t="str">
        <v>✅ 12/24 晚候選</v>
      </c>
      <c r="E42" s="1181" t="str">
        <v>酸椰菜＋蘑菇餃子</v>
      </c>
      <c r="F42" s="1181" t="str">
        <f>HYPERLINK("#'華沙當地特色菜'!B21","查看詳情／照片")</f>
        <v>查看詳情／照片</v>
      </c>
      <c r="G42" s="1178" t="str">
        <v>尚未安排；向保留的傳統波蘭餐廳核對供應，不保證在新餐廳吃到</v>
      </c>
      <c r="H42" s="256"/>
      <c r="I42" s="256"/>
      <c r="J42" s="256"/>
      <c r="K42" s="256"/>
      <c r="L42" s="256"/>
    </row>
    <row r="43" ht="90" customHeight="1">
      <c r="A43" s="1176" t="str">
        <v>當地特色菜</v>
      </c>
      <c r="B43" s="1176" t="str">
        <v>Gołąbki</v>
      </c>
      <c r="C43" s="1177" t="str">
        <v>★★★★★</v>
      </c>
      <c r="D43" s="1182" t="str">
        <v>✅ 12/23 午餐</v>
      </c>
      <c r="E43" s="1178" t="str">
        <v>肉飯包心菜卷</v>
      </c>
      <c r="F43" s="1178" t="str">
        <f>HYPERLINK("#'華沙當地特色菜'!B23","查看詳情／照片")</f>
        <v>查看詳情／照片</v>
      </c>
      <c r="G43" s="1178" t="str">
        <v>Gdański Bar Mleczny</v>
      </c>
      <c r="H43" s="256"/>
      <c r="I43" s="256"/>
      <c r="J43" s="256"/>
      <c r="K43" s="256"/>
      <c r="L43" s="256"/>
    </row>
    <row r="44" ht="90" customHeight="1">
      <c r="A44" s="1178" t="str">
        <v>當地特色菜</v>
      </c>
      <c r="B44" s="1178" t="str">
        <v>Bigos</v>
      </c>
      <c r="C44" s="1182" t="str">
        <v>★★★★★</v>
      </c>
      <c r="D44" s="1177" t="str">
        <v>✅ 12/26 午餐</v>
      </c>
      <c r="E44" s="1178" t="str">
        <v>酸椰菜＋多種肉慢燉</v>
      </c>
      <c r="F44" s="1178" t="str">
        <f>HYPERLINK("#'華沙當地特色菜'!B24","查看詳情／照片")</f>
        <v>查看詳情／照片</v>
      </c>
      <c r="G44" s="1178" t="str">
        <v>Kameralna</v>
      </c>
      <c r="H44" s="256"/>
      <c r="I44" s="256"/>
      <c r="J44" s="256"/>
      <c r="K44" s="256"/>
      <c r="L44" s="256"/>
    </row>
    <row r="45" ht="90" customHeight="1">
      <c r="A45" s="1178" t="str">
        <v>當地特色菜</v>
      </c>
      <c r="B45" s="1178" t="str">
        <v>Kotlet schabowy</v>
      </c>
      <c r="C45" s="1182" t="str">
        <v>★★★★★</v>
      </c>
      <c r="D45" s="1177" t="str">
        <v>✅ 12/26 午餐</v>
      </c>
      <c r="E45" s="1178" t="str">
        <v>波蘭炸豬排</v>
      </c>
      <c r="F45" s="1178" t="str">
        <f>HYPERLINK("#'華沙當地特色菜'!B25","查看詳情／照片")</f>
        <v>查看詳情／照片</v>
      </c>
      <c r="G45" s="1178" t="str">
        <v>Kameralna</v>
      </c>
      <c r="H45" s="256"/>
      <c r="I45" s="256"/>
      <c r="J45" s="256"/>
      <c r="K45" s="256"/>
      <c r="L45" s="256"/>
    </row>
    <row r="46" ht="90" customHeight="1">
      <c r="A46" s="1178" t="str">
        <v>當地特色菜</v>
      </c>
      <c r="B46" s="1178" t="str">
        <v>Pączek z różą</v>
      </c>
      <c r="C46" s="1177" t="str">
        <v>★★★★★</v>
      </c>
      <c r="D46" s="1182" t="str">
        <v>✅ 12/27 早餐</v>
      </c>
      <c r="E46" s="1178" t="str">
        <v>玫瑰果醬波蘭甜甜圈</v>
      </c>
      <c r="F46" s="1178" t="str">
        <f>HYPERLINK("#'華沙當地特色菜'!B41","查看詳情／照片")</f>
        <v>查看詳情／照片</v>
      </c>
      <c r="G46" s="1178" t="str">
        <v>Lukullus Chmielna／Cukiernia Pawłowicz；Zagoździński 若聖誕營業日吻合</v>
      </c>
      <c r="H46" s="256"/>
      <c r="I46" s="256"/>
      <c r="J46" s="256"/>
      <c r="K46" s="256"/>
      <c r="L46" s="256"/>
    </row>
    <row r="47" ht="90" customHeight="1">
      <c r="A47" s="1178" t="str">
        <v>當地特色菜</v>
      </c>
      <c r="B47" s="1178" t="str">
        <v>Sernik</v>
      </c>
      <c r="C47" s="1177" t="str">
        <v>★★★★★</v>
      </c>
      <c r="D47" s="1177" t="str">
        <v>✅ 12/27 早餐</v>
      </c>
      <c r="E47" s="1178" t="str">
        <v>波蘭芝士蛋糕</v>
      </c>
      <c r="F47" s="1178" t="str">
        <f>HYPERLINK("#'華沙當地特色菜'!B42","查看詳情／照片")</f>
        <v>查看詳情／照片</v>
      </c>
      <c r="G47" s="1178" t="str">
        <v>Lukullus Chmielna；12/27 與 pączek 分食</v>
      </c>
      <c r="H47" s="256"/>
      <c r="I47" s="256"/>
      <c r="J47" s="256"/>
      <c r="K47" s="256"/>
      <c r="L47" s="256"/>
    </row>
    <row r="48" ht="90" customHeight="1">
      <c r="A48" s="1178" t="str">
        <v>當地特色菜</v>
      </c>
      <c r="B48" s="1178" t="str">
        <v>Ryba po grecku</v>
      </c>
      <c r="C48" s="1182" t="str">
        <v>★★★★★</v>
      </c>
      <c r="D48" s="1177" t="str">
        <v>✅ 12/24 晚候選</v>
      </c>
      <c r="E48" s="1178" t="str">
        <v>炸／煎魚配紅蘿蔔番茄蔬菜醬</v>
      </c>
      <c r="F48" s="1178" t="str">
        <f>HYPERLINK("#'華沙當地特色菜'!B49","查看詳情／照片")</f>
        <v>查看詳情／照片</v>
      </c>
      <c r="G48" s="1178" t="str">
        <v>尚未安排；向保留的傳統波蘭餐廳核對供應，不保證在新餐廳吃到</v>
      </c>
      <c r="H48" s="256"/>
      <c r="I48" s="256"/>
      <c r="J48" s="256"/>
      <c r="K48" s="256"/>
      <c r="L48" s="256"/>
    </row>
    <row r="49" ht="90" customHeight="1">
      <c r="A49" s="1178" t="str">
        <v>當地特色菜</v>
      </c>
      <c r="B49" s="1178" t="str">
        <v>Kapusta z grzybami</v>
      </c>
      <c r="C49" s="1177" t="str">
        <v>★★★★★</v>
      </c>
      <c r="D49" s="1177" t="str">
        <v>✅ 12/24 晚候選</v>
      </c>
      <c r="E49" s="1178" t="str">
        <v>酸椰菜燉蘑菇</v>
      </c>
      <c r="F49" s="1178" t="str">
        <f>HYPERLINK("#'華沙當地特色菜'!B50","查看詳情／照片")</f>
        <v>查看詳情／照片</v>
      </c>
      <c r="G49" s="1178" t="str">
        <v>尚未安排；向保留的傳統波蘭餐廳核對供應，不保證在新餐廳吃到</v>
      </c>
      <c r="H49" s="256"/>
      <c r="I49" s="256"/>
      <c r="J49" s="256"/>
      <c r="K49" s="256"/>
      <c r="L49" s="256"/>
    </row>
    <row r="50" ht="58" customHeight="1">
      <c r="A50" s="256"/>
      <c r="B50" s="256"/>
      <c r="C50" s="542"/>
      <c r="D50" s="542"/>
      <c r="E50" s="256"/>
      <c r="F50" s="256"/>
      <c r="G50" s="256"/>
      <c r="H50" s="256"/>
      <c r="I50" s="256"/>
      <c r="J50" s="256"/>
      <c r="K50" s="256"/>
      <c r="L50" s="256"/>
    </row>
    <row r="51" ht="58" customHeight="1">
      <c r="A51" s="256" t="str">
        <f>HYPERLINK("#'每日行程'!A1","返回每日行程")</f>
        <v>返回每日行程</v>
      </c>
      <c r="B51" s="256"/>
      <c r="C51" s="543"/>
      <c r="D51" s="542"/>
      <c r="E51" s="256"/>
      <c r="F51" s="256"/>
      <c r="G51" s="256"/>
      <c r="H51" s="256"/>
      <c r="I51" s="256"/>
      <c r="J51" s="256"/>
      <c r="K51" s="256"/>
      <c r="L51" s="256"/>
    </row>
    <row r="52" ht="58" customHeight="1">
      <c r="A52" s="256"/>
      <c r="B52" s="256"/>
      <c r="C52" s="543"/>
      <c r="D52" s="542"/>
      <c r="E52" s="256"/>
      <c r="F52" s="256"/>
      <c r="G52" s="256"/>
      <c r="H52" s="256"/>
      <c r="I52" s="256"/>
      <c r="J52" s="256"/>
      <c r="K52" s="256"/>
      <c r="L52" s="256"/>
    </row>
    <row r="53" ht="58" customHeight="1">
      <c r="A53" s="256"/>
      <c r="B53" s="256"/>
      <c r="C53" s="542"/>
      <c r="D53" s="543"/>
      <c r="E53" s="256"/>
      <c r="F53" s="256"/>
      <c r="G53" s="256"/>
      <c r="H53" s="256"/>
      <c r="I53" s="256"/>
      <c r="J53" s="256"/>
      <c r="K53" s="256"/>
      <c r="L53" s="256"/>
    </row>
    <row r="54" ht="58" customHeight="1">
      <c r="A54" s="256"/>
      <c r="B54" s="256"/>
      <c r="C54" s="543"/>
      <c r="D54" s="542"/>
      <c r="E54" s="256"/>
      <c r="F54" s="256"/>
      <c r="G54" s="256"/>
      <c r="H54" s="256"/>
      <c r="I54" s="256"/>
      <c r="J54" s="256"/>
      <c r="K54" s="256"/>
      <c r="L54" s="256"/>
    </row>
    <row r="55" ht="58" customHeight="1">
      <c r="A55" s="256"/>
      <c r="B55" s="256"/>
      <c r="C55" s="543"/>
      <c r="D55" s="543"/>
      <c r="E55" s="256"/>
      <c r="F55" s="256"/>
      <c r="G55" s="256"/>
      <c r="H55" s="256"/>
      <c r="I55" s="256"/>
      <c r="J55" s="256"/>
      <c r="K55" s="256"/>
      <c r="L55" s="256"/>
    </row>
    <row r="56" ht="58" customHeight="1">
      <c r="A56" s="256"/>
      <c r="B56" s="256"/>
      <c r="C56" s="543"/>
      <c r="D56" s="542"/>
      <c r="E56" s="256"/>
      <c r="F56" s="256"/>
      <c r="G56" s="256"/>
      <c r="H56" s="256"/>
      <c r="I56" s="256"/>
      <c r="J56" s="256"/>
      <c r="K56" s="256"/>
      <c r="L56" s="256"/>
    </row>
    <row r="57" ht="58" customHeight="1">
      <c r="A57" s="256"/>
      <c r="B57" s="256"/>
      <c r="C57" s="542"/>
      <c r="D57" s="543"/>
      <c r="E57" s="256"/>
      <c r="F57" s="256"/>
      <c r="G57" s="256"/>
      <c r="H57" s="256"/>
      <c r="I57" s="256"/>
      <c r="J57" s="256"/>
    </row>
    <row r="58" ht="58" customHeight="1">
      <c r="A58" s="256"/>
      <c r="B58" s="256"/>
      <c r="C58" s="543"/>
      <c r="D58" s="543"/>
      <c r="E58" s="256"/>
      <c r="F58" s="256"/>
      <c r="G58" s="256"/>
      <c r="H58" s="256"/>
      <c r="I58" s="256"/>
      <c r="J58" s="256"/>
    </row>
    <row r="59" ht="58" customHeight="1">
      <c r="A59" s="256"/>
      <c r="B59" s="256"/>
      <c r="C59" s="543"/>
      <c r="D59" s="542"/>
      <c r="E59" s="256"/>
      <c r="F59" s="256"/>
      <c r="G59" s="256"/>
      <c r="H59" s="256"/>
      <c r="I59" s="256"/>
      <c r="J59" s="256"/>
    </row>
    <row r="60" ht="58" customHeight="1">
      <c r="A60" s="256"/>
      <c r="B60" s="256"/>
      <c r="C60" s="543"/>
      <c r="D60" s="543"/>
      <c r="E60" s="256"/>
      <c r="F60" s="256"/>
      <c r="G60" s="256"/>
      <c r="H60" s="256"/>
      <c r="I60" s="256"/>
      <c r="J60" s="256"/>
    </row>
    <row r="61" ht="58" customHeight="1">
      <c r="A61" s="256"/>
      <c r="B61" s="256"/>
      <c r="C61" s="543"/>
      <c r="D61" s="542"/>
      <c r="E61" s="256"/>
      <c r="F61" s="256"/>
      <c r="G61" s="256"/>
      <c r="H61" s="256"/>
      <c r="I61" s="256"/>
      <c r="J61" s="256"/>
    </row>
    <row r="62" ht="58" customHeight="1">
      <c r="A62" s="256"/>
      <c r="B62" s="256"/>
      <c r="C62" s="543"/>
      <c r="D62" s="542"/>
      <c r="E62" s="256"/>
      <c r="F62" s="256"/>
      <c r="G62" s="256"/>
      <c r="H62" s="256"/>
      <c r="I62" s="256"/>
      <c r="J62" s="256"/>
    </row>
    <row r="63" ht="58" customHeight="1">
      <c r="A63" s="256"/>
      <c r="B63" s="256"/>
      <c r="C63" s="542"/>
      <c r="D63" s="543"/>
      <c r="E63" s="256"/>
      <c r="F63" s="256"/>
      <c r="G63" s="256"/>
      <c r="H63" s="256"/>
      <c r="I63" s="256"/>
      <c r="J63" s="256"/>
    </row>
    <row r="64" ht="58" customHeight="1">
      <c r="A64" s="256"/>
      <c r="B64" s="256"/>
      <c r="C64" s="542"/>
      <c r="D64" s="543"/>
      <c r="E64" s="256"/>
      <c r="F64" s="256"/>
      <c r="G64" s="256"/>
      <c r="H64" s="256"/>
      <c r="I64" s="256"/>
      <c r="J64" s="256"/>
    </row>
    <row r="65" ht="58" customHeight="1">
      <c r="A65" s="256"/>
      <c r="B65" s="256"/>
      <c r="C65" s="543"/>
      <c r="D65" s="542"/>
      <c r="E65" s="256"/>
      <c r="F65" s="256"/>
      <c r="G65" s="256"/>
      <c r="H65" s="256"/>
      <c r="I65" s="256"/>
      <c r="J65" s="256"/>
    </row>
    <row r="66" ht="58" customHeight="1">
      <c r="A66" s="256"/>
      <c r="B66" s="256"/>
      <c r="C66" s="542"/>
      <c r="D66" s="542"/>
      <c r="E66" s="256"/>
      <c r="F66" s="256"/>
      <c r="G66" s="256"/>
      <c r="H66" s="256"/>
      <c r="I66" s="256"/>
      <c r="J66" s="256"/>
    </row>
    <row r="67" ht="58" customHeight="1">
      <c r="A67" s="256"/>
      <c r="B67" s="256"/>
      <c r="C67" s="543"/>
      <c r="D67" s="542"/>
      <c r="E67" s="256"/>
      <c r="F67" s="256"/>
      <c r="G67" s="256"/>
      <c r="H67" s="256"/>
      <c r="I67" s="256"/>
      <c r="J67" s="256"/>
    </row>
    <row r="68" ht="58" customHeight="1">
      <c r="A68" s="256"/>
      <c r="B68" s="256"/>
      <c r="C68" s="542"/>
      <c r="D68" s="543"/>
      <c r="E68" s="256"/>
      <c r="F68" s="256"/>
      <c r="G68" s="256"/>
      <c r="H68" s="256"/>
      <c r="I68" s="256"/>
      <c r="J68" s="256"/>
    </row>
    <row r="69" ht="58" customHeight="1">
      <c r="A69" s="256"/>
      <c r="B69" s="256"/>
      <c r="C69" s="543"/>
      <c r="D69" s="543"/>
      <c r="E69" s="256"/>
      <c r="F69" s="256"/>
      <c r="G69" s="256"/>
      <c r="H69" s="256"/>
      <c r="I69" s="256"/>
      <c r="J69" s="256"/>
    </row>
    <row r="70" ht="58" customHeight="1">
      <c r="A70" s="256"/>
      <c r="B70" s="256"/>
      <c r="C70" s="543"/>
      <c r="D70" s="543"/>
      <c r="E70" s="256"/>
      <c r="F70" s="256"/>
      <c r="G70" s="256"/>
      <c r="H70" s="256"/>
      <c r="I70" s="256"/>
      <c r="J70" s="256"/>
    </row>
    <row r="71" ht="58" customHeight="1">
      <c r="A71" s="256"/>
      <c r="B71" s="256"/>
      <c r="C71" s="542"/>
      <c r="D71" s="543"/>
      <c r="E71" s="256"/>
      <c r="F71" s="256"/>
      <c r="G71" s="256"/>
      <c r="H71" s="256"/>
      <c r="I71" s="256"/>
      <c r="J71" s="256"/>
    </row>
    <row r="72" ht="58" customHeight="1">
      <c r="A72" s="256"/>
      <c r="B72" s="256"/>
      <c r="C72" s="543"/>
      <c r="D72" s="256"/>
      <c r="E72" s="256"/>
      <c r="F72" s="256"/>
      <c r="G72" s="256"/>
      <c r="H72" s="256"/>
      <c r="I72" s="256"/>
      <c r="J72" s="256"/>
    </row>
    <row r="73" ht="58" customHeight="1">
      <c r="A73" s="256"/>
      <c r="B73" s="256"/>
      <c r="C73" s="542"/>
      <c r="D73" s="256"/>
      <c r="E73" s="256"/>
      <c r="F73" s="256"/>
      <c r="G73" s="256"/>
      <c r="H73" s="256"/>
      <c r="I73" s="256"/>
      <c r="J73" s="256"/>
    </row>
    <row r="74" ht="58" customHeight="1">
      <c r="A74" s="256"/>
      <c r="B74" s="256"/>
      <c r="C74" s="542"/>
      <c r="D74" s="256"/>
      <c r="E74" s="256"/>
      <c r="F74" s="256"/>
      <c r="G74" s="256"/>
      <c r="H74" s="256"/>
      <c r="I74" s="256"/>
      <c r="J74" s="256"/>
    </row>
    <row r="75" ht="72" customHeight="1">
      <c r="A75" s="256"/>
      <c r="B75" s="256"/>
      <c r="C75" s="610"/>
      <c r="D75" s="256"/>
      <c r="E75" s="256"/>
      <c r="F75" s="256"/>
      <c r="G75" s="256"/>
      <c r="H75" s="256"/>
      <c r="I75" s="256"/>
      <c r="J75" s="256"/>
    </row>
    <row r="76" ht="72" customHeight="1">
      <c r="A76" s="256"/>
      <c r="B76" s="256"/>
      <c r="C76" s="610"/>
      <c r="D76" s="256"/>
      <c r="E76" s="256"/>
      <c r="F76" s="256"/>
      <c r="G76" s="256"/>
      <c r="H76" s="256"/>
      <c r="I76" s="256"/>
      <c r="J76" s="256"/>
    </row>
    <row r="77" ht="72" customHeight="1">
      <c r="A77" s="256"/>
      <c r="B77" s="256"/>
      <c r="C77" s="608"/>
      <c r="D77" s="256"/>
      <c r="E77" s="256"/>
      <c r="F77" s="256"/>
      <c r="G77" s="256"/>
      <c r="H77" s="256"/>
      <c r="I77" s="256"/>
      <c r="J77" s="256"/>
    </row>
    <row r="78" ht="72" customHeight="1">
      <c r="A78" s="256"/>
      <c r="B78" s="256"/>
      <c r="C78" s="608"/>
      <c r="D78" s="256"/>
      <c r="E78" s="256"/>
      <c r="F78" s="256"/>
      <c r="G78" s="256"/>
      <c r="H78" s="256"/>
      <c r="I78" s="256"/>
      <c r="J78" s="256"/>
    </row>
    <row r="79" ht="72" customHeight="1">
      <c r="A79" s="256"/>
      <c r="B79" s="256"/>
      <c r="C79" s="608"/>
      <c r="D79" s="256"/>
      <c r="E79" s="256"/>
      <c r="F79" s="256"/>
      <c r="G79" s="256"/>
      <c r="H79" s="256"/>
      <c r="I79" s="256"/>
      <c r="J79" s="256"/>
    </row>
    <row r="80" ht="72" customHeight="1">
      <c r="A80" s="256"/>
      <c r="B80" s="256"/>
      <c r="C80" s="610"/>
      <c r="D80" s="256"/>
      <c r="E80" s="256"/>
      <c r="F80" s="256"/>
      <c r="G80" s="256"/>
      <c r="H80" s="256"/>
      <c r="I80" s="256"/>
      <c r="J80" s="256"/>
    </row>
    <row r="81" ht="72" customHeight="1">
      <c r="A81" s="256"/>
      <c r="B81" s="256"/>
      <c r="C81" s="610"/>
      <c r="D81" s="256"/>
      <c r="E81" s="256"/>
      <c r="F81" s="256"/>
      <c r="G81" s="256"/>
      <c r="H81" s="256"/>
      <c r="I81" s="256"/>
      <c r="J81" s="256"/>
    </row>
    <row r="82" ht="72" customHeight="1">
      <c r="A82" s="256"/>
      <c r="B82" s="256"/>
      <c r="C82" s="610"/>
      <c r="D82" s="256"/>
      <c r="E82" s="256"/>
      <c r="F82" s="256"/>
      <c r="G82" s="256"/>
      <c r="H82" s="256"/>
      <c r="I82" s="256"/>
      <c r="J82" s="256"/>
    </row>
    <row r="83" ht="72" customHeight="1">
      <c r="A83" s="256"/>
      <c r="B83" s="256"/>
      <c r="C83" s="610"/>
      <c r="D83" s="256"/>
      <c r="E83" s="256"/>
      <c r="F83" s="256"/>
      <c r="G83" s="256"/>
      <c r="H83" s="256"/>
      <c r="I83" s="256"/>
      <c r="J83" s="256"/>
    </row>
    <row r="84" ht="72" customHeight="1">
      <c r="A84" s="256"/>
      <c r="B84" s="256"/>
      <c r="C84" s="610"/>
      <c r="D84" s="256"/>
      <c r="E84" s="256"/>
      <c r="F84" s="256"/>
      <c r="G84" s="256"/>
      <c r="H84" s="256"/>
      <c r="I84" s="256"/>
      <c r="J84" s="256"/>
    </row>
    <row r="85" ht="72" customHeight="1">
      <c r="A85" s="256"/>
      <c r="B85" s="256"/>
      <c r="C85" s="610"/>
      <c r="D85" s="256"/>
      <c r="E85" s="256"/>
      <c r="F85" s="256"/>
      <c r="G85" s="256"/>
      <c r="H85" s="256"/>
      <c r="I85" s="256"/>
      <c r="J85" s="256"/>
    </row>
    <row r="86" ht="72" customHeight="1">
      <c r="A86" s="256"/>
      <c r="B86" s="256"/>
      <c r="C86" s="610"/>
      <c r="D86" s="256"/>
      <c r="E86" s="256"/>
      <c r="F86" s="256"/>
      <c r="G86" s="256"/>
      <c r="H86" s="256"/>
      <c r="I86" s="256"/>
      <c r="J86" s="256"/>
    </row>
    <row r="87" ht="72" customHeight="1">
      <c r="A87" s="256"/>
      <c r="B87" s="256"/>
      <c r="C87" s="610"/>
      <c r="D87" s="256"/>
      <c r="E87" s="256"/>
      <c r="F87" s="256"/>
      <c r="G87" s="256"/>
      <c r="H87" s="256"/>
      <c r="I87" s="256"/>
      <c r="J87" s="256"/>
    </row>
    <row r="88" ht="72" customHeight="1">
      <c r="A88" s="256"/>
      <c r="B88" s="256"/>
      <c r="C88" s="610"/>
      <c r="D88" s="256"/>
      <c r="E88" s="256"/>
      <c r="F88" s="256"/>
      <c r="G88" s="256"/>
      <c r="H88" s="256"/>
      <c r="I88" s="256"/>
      <c r="J88" s="256"/>
    </row>
    <row r="89" ht="72" customHeight="1">
      <c r="A89" s="256"/>
      <c r="B89" s="256"/>
      <c r="C89" s="610"/>
      <c r="D89" s="256"/>
      <c r="E89" s="256"/>
      <c r="F89" s="256"/>
      <c r="G89" s="256"/>
      <c r="H89" s="256"/>
      <c r="I89" s="256"/>
      <c r="J89" s="256"/>
    </row>
    <row r="90" ht="72" customHeight="1">
      <c r="A90" s="256"/>
      <c r="B90" s="256"/>
      <c r="C90" s="610"/>
      <c r="D90" s="256"/>
      <c r="E90" s="256"/>
      <c r="F90" s="256"/>
      <c r="G90" s="256"/>
      <c r="H90" s="256"/>
      <c r="I90" s="256"/>
      <c r="J90" s="256"/>
    </row>
    <row r="91" ht="72" customHeight="1">
      <c r="A91" s="256"/>
      <c r="B91" s="256"/>
      <c r="C91" s="610"/>
      <c r="D91" s="256"/>
      <c r="E91" s="256"/>
      <c r="F91" s="256"/>
      <c r="G91" s="256"/>
      <c r="H91" s="256"/>
      <c r="I91" s="256"/>
      <c r="J91" s="256"/>
    </row>
    <row r="92" ht="72" customHeight="1">
      <c r="A92" s="256"/>
      <c r="B92" s="256"/>
      <c r="C92" s="610"/>
      <c r="D92" s="256"/>
      <c r="E92" s="256"/>
      <c r="F92" s="256"/>
      <c r="G92" s="256"/>
      <c r="H92" s="256"/>
      <c r="I92" s="256"/>
      <c r="J92" s="256"/>
    </row>
  </sheetData>
  <mergeCells>
    <mergeCell ref="A1:G1"/>
    <mergeCell ref="A2:G2"/>
  </mergeCells>
  <pageMargins left="0.7" right="0.7" top="0.75" bottom="0.75" header="0.3" footer="0.3"/>
  <tableParts count="1">
    <tablePart ns1:id="Rf7ae4bad343347f2"/>
  </tableParts>
</worksheet>
</file>

<file path=xl/worksheets/sheet9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3" ySplit="4" topLeftCell="D5" activePane="bottomRight" state="frozen"/>
    </sheetView>
  </sheetViews>
  <sheetFormatPr defaultRowHeight="15"/>
  <cols>
    <col min="1" max="1" width="18" hidden="0" customWidth="1"/>
    <col min="2" max="2" width="18" hidden="0" customWidth="1"/>
    <col min="3" max="3" width="31" hidden="0" customWidth="1"/>
    <col min="4" max="4" width="10" hidden="0" customWidth="1"/>
    <col min="5" max="5" width="24" hidden="0" customWidth="1"/>
    <col min="6" max="6" width="8" hidden="0" customWidth="1"/>
    <col min="7" max="7" width="34" hidden="0" customWidth="1"/>
    <col min="8" max="8" width="42" hidden="0" customWidth="1"/>
    <col min="9" max="9" width="36" hidden="0" customWidth="1"/>
    <col min="10" max="10" width="30" hidden="0" customWidth="1"/>
    <col min="11" max="11" width="34" hidden="0" customWidth="1"/>
    <col min="12" max="12" width="38" hidden="0" customWidth="1"/>
    <col min="13" max="13" width="31" hidden="0" customWidth="1"/>
    <col min="14" max="14" width="31" hidden="0" customWidth="1"/>
    <col min="15" max="15" width="18" hidden="0" customWidth="1"/>
    <col min="16" max="16" width="38" hidden="0" customWidth="1"/>
    <col min="17" max="17" width="24" hidden="0" customWidth="1"/>
    <col min="18" max="18" width="24" hidden="0" customWidth="1"/>
  </cols>
  <sheetData>
    <row r="1">
      <c r="A1" s="1192" t="str">
        <v>華沙｜茶・咖啡｜只放喝的地方</v>
      </c>
      <c r="B1" s="1189"/>
      <c r="C1" s="1189"/>
      <c r="D1" s="1189"/>
      <c r="E1" s="1189"/>
      <c r="F1" s="1189"/>
      <c r="G1" s="1189"/>
      <c r="H1" s="1189"/>
      <c r="I1" s="1189"/>
      <c r="J1" s="1189"/>
      <c r="K1" s="1189"/>
      <c r="L1" s="1189"/>
      <c r="M1" s="1189"/>
      <c r="N1" s="1189"/>
      <c r="O1" s="1189"/>
      <c r="P1" s="1189"/>
      <c r="Q1" s="702"/>
    </row>
    <row r="2">
      <c r="A2" s="1190" t="str">
        <v>這頁只放咖啡／茶店與飲品資料；其他內容全部回到各自分類頁。</v>
      </c>
      <c r="B2" s="1190"/>
      <c r="C2" s="1190"/>
      <c r="D2" s="1190"/>
      <c r="E2" s="1190"/>
      <c r="F2" s="1190"/>
      <c r="G2" s="1190"/>
      <c r="H2" s="1190"/>
      <c r="I2" s="1190"/>
      <c r="J2" s="1190"/>
      <c r="K2" s="1190"/>
      <c r="L2" s="1190"/>
      <c r="M2" s="1190"/>
      <c r="N2" s="1190"/>
      <c r="O2" s="1190"/>
      <c r="P2" s="1190"/>
      <c r="Q2" s="704"/>
    </row>
    <row r="3">
      <c r="A3" s="1138" t="str">
        <v>店舖照片／飲品照片只放對應店家或真實飲品頁面連結。</v>
      </c>
      <c r="B3" s="1138"/>
      <c r="C3" s="1138"/>
      <c r="D3" s="1138"/>
      <c r="E3" s="1138"/>
      <c r="F3" s="1138"/>
      <c r="G3" s="1138"/>
      <c r="H3" s="1138"/>
      <c r="I3" s="1138"/>
      <c r="J3" s="1138"/>
      <c r="K3" s="1138"/>
      <c r="L3" s="1138"/>
      <c r="M3" s="1138"/>
      <c r="N3" s="1138"/>
      <c r="O3" s="1138"/>
      <c r="P3" s="1138"/>
      <c r="Q3" s="684"/>
    </row>
    <row r="4" ht="40" customHeight="1">
      <c r="A4" s="1267" t="str">
        <v>類型</v>
      </c>
      <c r="B4" s="1267" t="str">
        <v>區域</v>
      </c>
      <c r="C4" s="1267" t="str">
        <v>店名</v>
      </c>
      <c r="D4" s="1267" t="str">
        <v>參考評分</v>
      </c>
      <c r="E4" s="1267" t="str">
        <v>主行程標記</v>
      </c>
      <c r="F4" s="1267" t="str">
        <v>❗️</v>
      </c>
      <c r="G4" s="1267" t="str">
        <v>必喝</v>
      </c>
      <c r="H4" s="1267" t="str">
        <v>為什麼值得</v>
      </c>
      <c r="I4" s="1267" t="str">
        <v>兩人怎樣喝</v>
      </c>
      <c r="J4" s="1267" t="str">
        <v>常規營業／休息</v>
      </c>
      <c r="K4" s="1267" t="str">
        <v>節日提醒</v>
      </c>
      <c r="L4" s="1267" t="str">
        <v>實際照片（直接嵌入）</v>
      </c>
      <c r="M4" s="1267" t="str">
        <v>飲品照片</v>
      </c>
      <c r="N4" s="1267" t="str">
        <v>資料來源</v>
      </c>
      <c r="O4" s="1267" t="str">
        <v>推薦度</v>
      </c>
      <c r="P4" s="1267" t="str">
        <v>取捨建議</v>
      </c>
      <c r="Q4" s="1274" t="str">
        <v>營業／訂位狀態</v>
      </c>
      <c r="R4" s="1275" t="str">
        <v>地圖</v>
      </c>
    </row>
    <row r="5" ht="180" customHeight="1">
      <c r="A5" s="1172" t="str">
        <v>咖啡／早餐</v>
      </c>
      <c r="B5" s="1172" t="str">
        <v>Plac Zbawiciela</v>
      </c>
      <c r="C5" s="1173" t="str">
        <v>Coffee Karma</v>
      </c>
      <c r="D5" s="1173" t="str">
        <v>3.9</v>
      </c>
      <c r="E5" s="1173" t="str">
        <v>● 已排入 12/24 早餐</v>
      </c>
      <c r="F5" s="1173" t="str">
        <v>❗️</v>
      </c>
      <c r="G5" s="1172" t="str">
        <v>Flat white／Espresso／Filter coffee</v>
      </c>
      <c r="H5" s="1172" t="str">
        <v>重點不是『必喝神店』，而是 Plac Zbawiciela 動線好，適合平安夜早上先坐下喝咖啡再走老城；本行程價值主要是位置。</v>
      </c>
      <c r="I5" s="1172" t="str">
        <v>兩人各選一杯不同咖啡比較；這頁不列早餐食物。</v>
      </c>
      <c r="J5" s="1172" t="str">
        <v>一般早上起營業</v>
      </c>
      <c r="K5" s="1172" t="str">
        <v>❗️12/24 2026 時段需再確認</v>
      </c>
      <c r="L5" s="1172"/>
      <c r="M5" s="1172" t="str">
        <v>店家實拍（以來源頁辨識）
照片來源：https://mindtrip.ai/restaurant/warsaw-mazovia/shabby-coffee-wine-books/re-TwCy9XIs
來源頁實拍；僅作私人行程辨識。</v>
      </c>
      <c r="N5" s="1172" t="str">
        <v>https://www.google.com/maps/search/?api=1&amp;query=Coffee%20Karma%20Mokotowska%2017%20Warsaw</v>
      </c>
      <c r="O5" s="1172" t="str">
        <v>★★★☆☆ 順路可去</v>
      </c>
      <c r="P5" s="1172" t="str">
        <v>主行程保留是因位置與聖誕早上實用，不是因為它是全城最好咖啡。</v>
      </c>
      <c r="Q5" s="256" t="str">
        <f>'訂位與待辦'!F8</f>
        <v>營業待確認</v>
      </c>
      <c r="R5" t="str">
        <f>HYPERLINK("https://www.google.com/maps/search/?api=1&amp;query=Coffee%20Karma%20Mokotowska%2017%20Warsaw","開啟地圖")</f>
        <v>開啟地圖</v>
      </c>
    </row>
    <row r="6" ht="180" customHeight="1">
      <c r="A6" s="1172" t="str">
        <v>精品咖啡</v>
      </c>
      <c r="B6" s="1172" t="str">
        <v>Śródmieście</v>
      </c>
      <c r="C6" s="1173" t="str">
        <v>Ministerstwo Kawy</v>
      </c>
      <c r="D6" s="1173" t="str">
        <v>4.6</v>
      </c>
      <c r="E6" s="1173" t="str">
        <v>● 已排入 12/25 早餐</v>
      </c>
      <c r="F6" s="1173" t="str">
        <v>❗️</v>
      </c>
      <c r="G6" s="1172" t="str">
        <v>Kawa przelewowa（手沖／濾泡）／Flat white</v>
      </c>
      <c r="H6" s="1172" t="str">
        <v>如果華沙只留一間精品咖啡，我會選它；咖啡本身比『打卡裝潢』更值得，位置也能接 Mokotowska／Plac Zbawiciela。</v>
      </c>
      <c r="I6" s="1172" t="str">
        <v>一人 filter、一人 flat white；只比較咖啡本身。</v>
      </c>
      <c r="J6" s="1172" t="str">
        <v>Mon–Fri 約 08:00–20:00；weekend 約 08:30–20:00</v>
      </c>
      <c r="K6" s="1172" t="str">
        <v>❗️2026 12/25 是否開門要再確認</v>
      </c>
      <c r="L6" s="1172"/>
      <c r="M6" s="1172" t="str">
        <v>店家實拍（以來源頁辨識）
照片來源：https://www.tripadvisor.com/Restaurant_Review-g274856-d8611904-Reviews-Ministerstwo_Kawy-Warsaw_Mazovia_Province_Central_Poland.html
來源頁實拍；僅作私人行程辨識。</v>
      </c>
      <c r="N6" s="1172" t="str">
        <v>https://ministerstwokawy.pl/</v>
      </c>
      <c r="O6" s="1172" t="str">
        <v>★★★★★ 必喝</v>
      </c>
      <c r="P6" s="1187" t="str">
        <v>華沙咖啡第一順位；若 12/25 不開，移到其他日，不要直接刪掉。</v>
      </c>
      <c r="Q6" s="256" t="str">
        <f>'訂位與待辦'!F11</f>
        <v>營業待確認</v>
      </c>
      <c r="R6" t="str">
        <f>HYPERLINK("https://www.google.com/maps/search/?api=1&amp;query=Ministerstwo%20Kawy%20Marsza%C5%82kowska%20Warsaw","開啟地圖")</f>
        <v>開啟地圖</v>
      </c>
    </row>
    <row r="7" ht="180" customHeight="1">
      <c r="A7" s="1172" t="str">
        <v>老城咖啡／早餐</v>
      </c>
      <c r="B7" s="1172" t="str">
        <v>Old Town・Piwna</v>
      </c>
      <c r="C7" s="1173" t="str">
        <v>Shabby Chic Coffee &amp; Wine Bar（待定）</v>
      </c>
      <c r="D7" s="1173" t="str">
        <v>—</v>
      </c>
      <c r="E7" s="1173" t="str">
        <v>● 12/26 早餐候選</v>
      </c>
      <c r="F7" s="1173" t="str">
        <v>❗️</v>
      </c>
      <c r="G7" s="1172" t="str">
        <v>咖啡／茶；飲品選擇以現場菜單為準</v>
      </c>
      <c r="H7" s="1172" t="str">
        <v>在老城 Piwna 街，早餐後走到皇家城堡即可接上參觀，不必先繞到南邊住宅區。小型、溫馨的老城咖啡館適合兩人冬天坐下暖身、慢慢開始一天；它的特色是街區氣氛和方便的動線，並非用精品咖啡獎項來推薦。先確認聖誕第二天早餐供應，當日若不開便在出門前吃酒店早餐。</v>
      </c>
      <c r="I7" s="1172" t="str">
        <v>兩人各一杯，配輕早餐；餐後步行到城堡廣場，不需要跨區搭車。</v>
      </c>
      <c r="J7" s="1172" t="str">
        <v>官網一般每日 09:00 起；Sat 09:00–20:30</v>
      </c>
      <c r="K7" s="1172" t="str">
        <v>❗️12/26/2026 聖誕第二天開門與早餐供應待確認</v>
      </c>
      <c r="L7" s="1172"/>
      <c r="M7" s="1172"/>
      <c r="N7" s="1172" t="str">
        <v>https://shabbychiccoffeewinebar.eatbu.com/?lang=en
Piwna 20/26；核對日：2026-10-01</v>
      </c>
      <c r="O7" s="1172" t="str">
        <v>★★★★☆ 老城順路推薦</v>
      </c>
      <c r="P7" s="1174" t="str">
        <v>09:00–09:45 早餐，之後老城短走／城堡廣場；10:30 參觀時間不變。</v>
      </c>
      <c r="Q7" s="256" t="str">
        <f>'訂位與待辦'!F14</f>
        <v>營業待確認</v>
      </c>
      <c r="R7" t="str">
        <f>HYPERLINK("https://www.google.com/maps/search/?api=1&amp;query=Shabby%20Chic%20Piwna%2020/26%20Warsaw","開啟地圖")</f>
        <v>開啟地圖</v>
      </c>
    </row>
    <row r="8" ht="180" customHeight="1">
      <c r="A8" s="1127" t="str">
        <v>咖啡／輕食</v>
      </c>
      <c r="B8" s="1127" t="str">
        <v>Powiśle</v>
      </c>
      <c r="C8" s="1127" t="str">
        <v>Kawiarnia Kafka</v>
      </c>
      <c r="D8" s="1127" t="str">
        <v>—</v>
      </c>
      <c r="E8" s="1127" t="str">
        <v>○ Powiśle 備選</v>
      </c>
      <c r="F8" s="1127"/>
      <c r="G8" s="1127" t="str">
        <v>Kawa／Herbata</v>
      </c>
      <c r="H8" s="1127" t="str">
        <v>價值在書店咖啡館氣氛與 Powiśle 位置，不是專程跨區的目的地；適合河岸／Copernicus 動線臨時休息。</v>
      </c>
      <c r="I8" s="1127" t="str">
        <v>只作 Powiśle 休息點；兩人各一杯。</v>
      </c>
      <c r="J8" s="1127" t="str">
        <v>以店家當日公告為準</v>
      </c>
      <c r="K8" s="1127" t="str">
        <v>節日時段需核對</v>
      </c>
      <c r="L8" s="1127"/>
      <c r="M8" s="1127" t="str">
        <v>https://commons.wikimedia.org/wiki/Category:Coffee</v>
      </c>
      <c r="N8" s="1127" t="str">
        <v>https://www.google.com/maps/search/?api=1&amp;query=Kawiarnia%20Kafka%20Warsaw</v>
      </c>
      <c r="O8" s="1127" t="str">
        <v>★★★☆☆ 順路可去</v>
      </c>
      <c r="P8" s="1127" t="str">
        <v>只在 Powiśle 順路坐；時間緊可刪。</v>
      </c>
      <c r="Q8" s="256" t="str">
        <v>備選・前往前核對</v>
      </c>
      <c r="R8" t="str">
        <f>HYPERLINK("https://www.google.com/maps/search/?api=1&amp;query=Kawiarnia%20Kafka%20Warsaw","開啟地圖")</f>
        <v>開啟地圖</v>
      </c>
    </row>
    <row r="9" ht="180" customHeight="1">
      <c r="A9" s="1127" t="str">
        <v>精品咖啡</v>
      </c>
      <c r="B9" s="1127" t="str">
        <v>Powiśle</v>
      </c>
      <c r="C9" s="1128" t="str">
        <v>STOR Cafe</v>
      </c>
      <c r="D9" s="1128" t="str">
        <v>4.6</v>
      </c>
      <c r="E9" s="1128" t="str">
        <v>○ 強力備選</v>
      </c>
      <c r="F9" s="1127"/>
      <c r="G9" s="1127" t="str">
        <v>Kawa przelewowa／Flat white</v>
      </c>
      <c r="H9" s="1127" t="str">
        <v>Powiśle 精品咖啡很強的代表之一，若你們在河岸／現代藝術館附近，STOR 比回市中心喝連鎖更值得。</v>
      </c>
      <c r="I9" s="1127" t="str">
        <v>一人 filter、一人 milk coffee；只在 Powiśle 順路去。</v>
      </c>
      <c r="J9" s="1127" t="str">
        <v>約 08:30/09:30–21:00</v>
      </c>
      <c r="K9" s="1127" t="str">
        <v>假日時段待確認</v>
      </c>
      <c r="L9" s="1127"/>
      <c r="M9" s="1127" t="str">
        <v>店家實拍（以來源頁辨識）
照片來源：https://afterhours.coffeespots.pl/p/rowerowe-szlaki-i-maa-czarna-co-aczy
來源頁實拍；僅作私人行程辨識。</v>
      </c>
      <c r="N9" s="1127" t="str">
        <v>https://www.google.com/maps/search/?api=1&amp;query=STOR%20Cafe%20Tamka%2033%20Warsaw</v>
      </c>
      <c r="O9" s="1127" t="str">
        <v>★★★★★ 必喝</v>
      </c>
      <c r="P9" s="1130" t="str">
        <v>如果 12/25 Ministerstwo 不開，這是咖啡備選第一順位之一。</v>
      </c>
      <c r="Q9" s="256" t="str">
        <v>備選・前往前核對</v>
      </c>
      <c r="R9" t="str">
        <f>HYPERLINK("https://www.google.com/maps/search/?api=1&amp;query=STOR%20Cafe%20Tamka%2033%20Warsaw","開啟地圖")</f>
        <v>開啟地圖</v>
      </c>
    </row>
    <row r="10" ht="95" customHeight="1">
      <c r="A10" s="256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686"/>
      <c r="Q10" s="256"/>
    </row>
    <row r="11" ht="95" customHeight="1">
      <c r="A11" s="256" t="str">
        <f>HYPERLINK("#'每日行程'!A1","返回每日行程")</f>
        <v>返回每日行程</v>
      </c>
      <c r="B11" s="256"/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256"/>
    </row>
    <row r="12" ht="95" customHeight="1">
      <c r="A12" s="256"/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686"/>
      <c r="Q12" s="256"/>
    </row>
    <row r="13" ht="95" customHeight="1">
      <c r="A13" s="256"/>
      <c r="B13" s="256"/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687"/>
      <c r="Q13" s="256"/>
    </row>
  </sheetData>
  <mergeCells>
    <mergeCell ref="A1:P1"/>
    <mergeCell ref="A2:P2"/>
    <mergeCell ref="A3:P3"/>
  </mergeCells>
  <pageMargins left="0.7" right="0.7" top="0.75" bottom="0.75" header="0.3" footer="0.3"/>
  <drawing ns1:id="R9910d524a4d840de"/>
  <tableParts count="1">
    <tablePart ns1:id="R1aa710e435db4cc5"/>
  </tableParts>
</worksheet>
</file>

<file path=xl/worksheets/sheet10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3" ySplit="4" topLeftCell="D5" activePane="bottomRight" state="frozen"/>
    </sheetView>
  </sheetViews>
  <sheetFormatPr defaultRowHeight="15"/>
  <cols>
    <col min="1" max="1" width="18" hidden="0" customWidth="1"/>
    <col min="2" max="2" width="18" hidden="0" customWidth="1"/>
    <col min="3" max="3" width="31" hidden="0" customWidth="1"/>
    <col min="4" max="4" width="10" hidden="0" customWidth="1"/>
    <col min="5" max="5" width="24" hidden="0" customWidth="1"/>
    <col min="6" max="6" width="8" hidden="0" customWidth="1"/>
    <col min="7" max="7" width="34" hidden="0" customWidth="1"/>
    <col min="8" max="8" width="42" hidden="0" customWidth="1"/>
    <col min="9" max="9" width="36" hidden="0" customWidth="1"/>
    <col min="10" max="10" width="30" hidden="0" customWidth="1"/>
    <col min="11" max="11" width="34" hidden="0" customWidth="1"/>
    <col min="12" max="12" width="38" hidden="0" customWidth="1"/>
    <col min="13" max="13" width="31" hidden="0" customWidth="1"/>
    <col min="14" max="14" width="31" hidden="0" customWidth="1"/>
    <col min="15" max="15" width="18" hidden="0" customWidth="1"/>
    <col min="16" max="16" width="38" hidden="0" customWidth="1"/>
    <col min="17" max="17" width="24" hidden="0" customWidth="1"/>
    <col min="18" max="18" width="24" hidden="0" customWidth="1"/>
  </cols>
  <sheetData>
    <row r="1">
      <c r="A1" s="1192" t="str">
        <v>伊斯坦堡｜茶・咖啡｜只放喝的地方</v>
      </c>
      <c r="B1" s="1189"/>
      <c r="C1" s="1189"/>
      <c r="D1" s="1189"/>
      <c r="E1" s="1189"/>
      <c r="F1" s="1189"/>
      <c r="G1" s="1189"/>
      <c r="H1" s="1189"/>
      <c r="I1" s="1189"/>
      <c r="J1" s="1189"/>
      <c r="K1" s="1189"/>
      <c r="L1" s="1189"/>
      <c r="M1" s="1189"/>
      <c r="N1" s="1189"/>
      <c r="O1" s="1189"/>
      <c r="P1" s="1189"/>
      <c r="Q1" s="702"/>
    </row>
    <row r="2">
      <c r="A2" s="1190" t="str">
        <v>這頁只放 Çay／Türk kahvesi／其他飲品地點；其他內容全部回到各自分類頁。</v>
      </c>
      <c r="B2" s="1190"/>
      <c r="C2" s="1190"/>
      <c r="D2" s="1190"/>
      <c r="E2" s="1190"/>
      <c r="F2" s="1190"/>
      <c r="G2" s="1190"/>
      <c r="H2" s="1190"/>
      <c r="I2" s="1190"/>
      <c r="J2" s="1190"/>
      <c r="K2" s="1190"/>
      <c r="L2" s="1190"/>
      <c r="M2" s="1190"/>
      <c r="N2" s="1190"/>
      <c r="O2" s="1190"/>
      <c r="P2" s="1190"/>
      <c r="Q2" s="704"/>
    </row>
    <row r="3">
      <c r="A3" s="1138" t="str">
        <v>店舖照片／飲品照片只放對應店家或真實飲品頁面連結。</v>
      </c>
      <c r="B3" s="1138"/>
      <c r="C3" s="1138"/>
      <c r="D3" s="1138"/>
      <c r="E3" s="1138"/>
      <c r="F3" s="1138"/>
      <c r="G3" s="1138"/>
      <c r="H3" s="1138"/>
      <c r="I3" s="1138"/>
      <c r="J3" s="1138"/>
      <c r="K3" s="1138"/>
      <c r="L3" s="1138"/>
      <c r="M3" s="1138"/>
      <c r="N3" s="1138"/>
      <c r="O3" s="1138"/>
      <c r="P3" s="1138"/>
      <c r="Q3" s="684"/>
    </row>
    <row r="4" ht="40" customHeight="1">
      <c r="A4" s="1267" t="str">
        <v>類型</v>
      </c>
      <c r="B4" s="1267" t="str">
        <v>區域</v>
      </c>
      <c r="C4" s="1267" t="str">
        <v>店名</v>
      </c>
      <c r="D4" s="1267" t="str">
        <v>參考評分</v>
      </c>
      <c r="E4" s="1267" t="str">
        <v>主行程標記</v>
      </c>
      <c r="F4" s="1267" t="str">
        <v>❗️</v>
      </c>
      <c r="G4" s="1267" t="str">
        <v>必喝</v>
      </c>
      <c r="H4" s="1267" t="str">
        <v>為什麼值得</v>
      </c>
      <c r="I4" s="1267" t="str">
        <v>兩人怎樣喝</v>
      </c>
      <c r="J4" s="1267" t="str">
        <v>常規營業／休息</v>
      </c>
      <c r="K4" s="1267" t="str">
        <v>節日提醒</v>
      </c>
      <c r="L4" s="1267" t="str">
        <v>實際照片（直接嵌入）</v>
      </c>
      <c r="M4" s="1267" t="str">
        <v>飲品照片</v>
      </c>
      <c r="N4" s="1267" t="str">
        <v>資料來源</v>
      </c>
      <c r="O4" s="1267" t="str">
        <v>推薦度</v>
      </c>
      <c r="P4" s="1267" t="str">
        <v>取捨建議</v>
      </c>
      <c r="Q4" s="1274" t="str">
        <v>營業／訂位狀態</v>
      </c>
      <c r="R4" s="1275" t="str">
        <v>地圖</v>
      </c>
    </row>
    <row r="5" ht="180" customHeight="1">
      <c r="A5" s="1127" t="str">
        <v>茶館／歷史庭院</v>
      </c>
      <c r="B5" s="1127" t="str">
        <v>Beyazıt</v>
      </c>
      <c r="C5" s="1128" t="str">
        <v>Çorlulu Ali Paşa Medresesi</v>
      </c>
      <c r="D5" s="1128" t="str">
        <v>4.3</v>
      </c>
      <c r="E5" s="1128" t="str">
        <v>○ 老城備選</v>
      </c>
      <c r="F5" s="1127"/>
      <c r="G5" s="1127" t="str">
        <v>Çay／Türk kahvesi／Salep</v>
      </c>
      <c r="H5" s="1127" t="str">
        <v>不是『茶有多神』，而是 18 世紀庭院＋茶／咖啡的環境很有老城層次，和 Topkapı／Beyazıt 動線相配。</v>
      </c>
      <c r="I5" s="1127" t="str">
        <v>兩人各一杯 çay；想比較再加 Türk kahvesi 或冬季 salep。</v>
      </c>
      <c r="J5" s="1127" t="str">
        <v>每日長時段，常到深夜</v>
      </c>
      <c r="K5" s="1127" t="str">
        <v>有水煙；怕煙味就縮短停留或換戶外通風位</v>
      </c>
      <c r="L5" s="1127"/>
      <c r="M5" s="1127" t="str">
        <v>店家實拍（以來源頁辨識）
照片來源：https://www.bellekmekanlari.org/mekan/corlulu-ali-pasa-medresesi/
來源頁實拍；僅作私人行程辨識。</v>
      </c>
      <c r="N5" s="1127" t="str">
        <v>https://www.google.com/maps/search/?api=1&amp;query=%C3%87orlulu%20Ali%20Pa%C5%9Fa%20Medresesi%20Istanbul</v>
      </c>
      <c r="O5" s="1127" t="str">
        <v>★★★★★ 必去喝茶</v>
      </c>
      <c r="P5" s="1135" t="str">
        <v>老城 Çay 第一順位；氣氛＞飲品本身。</v>
      </c>
      <c r="Q5" s="256" t="str">
        <v>備選・前往前核對</v>
      </c>
      <c r="R5" t="str">
        <f>HYPERLINK("https://www.google.com/maps/search/?api=1&amp;query=%C3%87orlulu%20Ali%20Pa%C5%9Fa%20Medresesi%20Istanbul","開啟地圖")</f>
        <v>開啟地圖</v>
      </c>
    </row>
    <row r="6" ht="180" customHeight="1">
      <c r="A6" s="1127" t="str">
        <v>茶／咖啡</v>
      </c>
      <c r="B6" s="1127" t="str">
        <v>Grand Bazaar</v>
      </c>
      <c r="C6" s="1128" t="str">
        <v>Şark Kahvesi</v>
      </c>
      <c r="D6" s="1128" t="str">
        <v>3.8</v>
      </c>
      <c r="E6" s="1128" t="str">
        <v>○ Grand Bazaar 備選</v>
      </c>
      <c r="F6" s="1127"/>
      <c r="G6" s="1127" t="str">
        <v>Türk kahvesi／Çay</v>
      </c>
      <c r="H6" s="1127" t="str">
        <v>最大優點是就在大巴扎裡：逛一小時後直接坐下，不用出市集找咖啡。老派氣氛很強，但不是全城最精緻咖啡。</v>
      </c>
      <c r="I6" s="1127" t="str">
        <v>兩人各一杯不同飲品即可。</v>
      </c>
      <c r="J6" s="1127" t="str">
        <v>Mon–Sat 約 08:30–20:00；通常隨 Bazaar 節奏</v>
      </c>
      <c r="K6" s="1127" t="str">
        <v>大巴扎不在本次主線；只作另行改路時備選。</v>
      </c>
      <c r="L6" s="1127"/>
      <c r="M6" s="1127" t="str">
        <v>店家實拍（以來源頁辨識）
照片來源：https://mindtrip.ai/restaurant/istanbul-turkiye/sark-kahvesi/re-SsYHcGdD
來源頁實拍；僅作私人行程辨識。</v>
      </c>
      <c r="N6" s="1127" t="str">
        <v>https://www.google.com/maps/search/?api=1&amp;query=%C5%9Eark%20Kahvesi%20Grand%20Bazaar%20Istanbul</v>
      </c>
      <c r="O6" s="1127" t="str">
        <v>★★★★☆ 很推薦</v>
      </c>
      <c r="P6" s="1130" t="str">
        <v>大巴扎內休息點的價值很高，不必為它單獨去。</v>
      </c>
      <c r="Q6" s="256" t="str">
        <v>備選・前往前核對</v>
      </c>
      <c r="R6" t="str">
        <f>HYPERLINK("https://www.google.com/maps/search/?api=1&amp;query=%C5%9Eark%20Kahvesi%20Grand%20Bazaar%20Istanbul","開啟地圖")</f>
        <v>開啟地圖</v>
      </c>
    </row>
    <row r="7" ht="180" customHeight="1">
      <c r="A7" s="1127" t="str">
        <v>海邊茶園</v>
      </c>
      <c r="B7" s="1127" t="str">
        <v>Kadıköy / Moda</v>
      </c>
      <c r="C7" s="1127" t="str">
        <v>Moda Aile Çay Bahçesi</v>
      </c>
      <c r="D7" s="1127" t="str">
        <v>3.9</v>
      </c>
      <c r="E7" s="1127" t="str">
        <v>○ 12/30 Moda 可插入</v>
      </c>
      <c r="F7" s="1127"/>
      <c r="G7" s="1127" t="str">
        <v>Çay</v>
      </c>
      <c r="H7" s="1127" t="str">
        <v>這是『當地人坐海邊喝茶』的生活體驗，不是高級茶室；Kadıköy 市場走到 Moda 後坐半小時，很能感受城市日常。</v>
      </c>
      <c r="I7" s="1127" t="str">
        <v>兩杯 çay，重點是海邊坐 20–30 分鐘。</v>
      </c>
      <c r="J7" s="1127" t="str">
        <v>每日約 07:00–00:00</v>
      </c>
      <c r="K7" s="1127" t="str">
        <v>天氣差就取消海邊茶園</v>
      </c>
      <c r="L7" s="1127"/>
      <c r="M7" s="1127" t="str">
        <v>店家實拍（以來源頁辨識）
照片來源：https://nelerimeshur.com/istanbul/populer-restoranlar/moda-aile-cay-bahcesi
來源頁實拍；僅作私人行程辨識。</v>
      </c>
      <c r="N7" s="1127" t="str">
        <v>https://www.google.com/maps/search/?api=1&amp;query=Moda%20Aile%20%C3%87ay%20Bah%C3%A7esi%20Istanbul</v>
      </c>
      <c r="O7" s="1127" t="str">
        <v>★★★★★ 必去喝茶</v>
      </c>
      <c r="P7" s="1135" t="str">
        <v>若去亞洲岸，這間優先；不去 Kadıköy 就不用硬塞。</v>
      </c>
      <c r="Q7" s="256" t="str">
        <v>備選・前往前核對</v>
      </c>
      <c r="R7" t="str">
        <f>HYPERLINK("https://www.google.com/maps/search/?api=1&amp;query=Moda%20Aile%20%C3%87ay%20Bah%C3%A7esi%20Istanbul","開啟地圖")</f>
        <v>開啟地圖</v>
      </c>
    </row>
    <row r="8" ht="180" customHeight="1">
      <c r="A8" s="1127" t="str">
        <v>海峽茶園</v>
      </c>
      <c r="B8" s="1127" t="str">
        <v>Çengelköy</v>
      </c>
      <c r="C8" s="1127" t="str">
        <v>Tarihi Çınaraltı Aile Çay Bahçesi</v>
      </c>
      <c r="D8" s="1127" t="str">
        <v>4.2</v>
      </c>
      <c r="E8" s="1127" t="str">
        <v>○ Çengelköy 備選</v>
      </c>
      <c r="F8" s="1127"/>
      <c r="G8" s="1127" t="str">
        <v>Çay</v>
      </c>
      <c r="H8" s="1127" t="str">
        <v>大樹＋海峽就在桌邊，生活感比 Pierre Loti 更自然；如果想專門安排『喝茶看海』半日，我會選它。</v>
      </c>
      <c r="I8" s="1127" t="str">
        <v>兩杯 çay；重點是 Bosphorus 景觀。</v>
      </c>
      <c r="J8" s="1127" t="str">
        <v>24 小時／超長時段（以當日為準）</v>
      </c>
      <c r="K8" s="1127" t="str">
        <v>天氣與風勢決定體驗</v>
      </c>
      <c r="L8" s="1127"/>
      <c r="M8" s="1127" t="str">
        <v>店家實拍（以來源頁辨識）
照片來源：https://butaworld.com/branches/tarihi-cinaralti-aile-cay-bahcesi
來源頁實拍；僅作私人行程辨識。</v>
      </c>
      <c r="N8" s="1127" t="str">
        <v>https://www.google.com/maps/search/?api=1&amp;query=Tarihi%20%C3%87%C4%B1naralt%C4%B1%20Aile%20%C3%87ay%20Bah%C3%A7esi%20%C3%87engelk%C3%B6y%20Istanbul</v>
      </c>
      <c r="O8" s="1127" t="str">
        <v>★★★★☆ 很推薦</v>
      </c>
      <c r="P8" s="1130" t="str">
        <v>想加亞洲岸海峽茶園就選它；不與主行程搶時間。</v>
      </c>
      <c r="Q8" s="256" t="str">
        <v>備選・前往前核對</v>
      </c>
      <c r="R8" t="str">
        <f>HYPERLINK("https://www.google.com/maps/search/?api=1&amp;query=Tarihi%20%C3%87%C4%B1naralt%C4%B1%20Aile%20%C3%87ay%20Bah%C3%A7esi%20%C3%87engelk%C3%B6y%20Istanbul","開啟地圖")</f>
        <v>開啟地圖</v>
      </c>
    </row>
    <row r="9" ht="180" customHeight="1">
      <c r="A9" s="1127" t="str">
        <v>景觀茶館</v>
      </c>
      <c r="B9" s="1127" t="str">
        <v>Eyüp</v>
      </c>
      <c r="C9" s="1127" t="str">
        <v>Pierre Loti Tepesi 茶館</v>
      </c>
      <c r="D9" s="1127" t="str">
        <v>4.3</v>
      </c>
      <c r="E9" s="1127" t="str">
        <v>○ Eyüp 備選</v>
      </c>
      <c r="F9" s="1127"/>
      <c r="G9" s="1127" t="str">
        <v>Çay／Türk kahvesi</v>
      </c>
      <c r="H9" s="1127" t="str">
        <v>金角灣景色好，但觀光感比 Moda／Çengelköy 高；真正值得的是和 Eyüp Sultan＋纜車一起形成半日路線。</v>
      </c>
      <c r="I9" s="1127" t="str">
        <v>各一杯即可；不把這裡當餐廳。</v>
      </c>
      <c r="J9" s="1127" t="str">
        <v>每日約 08:30–00:00</v>
      </c>
      <c r="K9" s="1127" t="str">
        <v>只有安排 Eyüp 才去</v>
      </c>
      <c r="L9" s="1127"/>
      <c r="M9" s="1127" t="str">
        <v>https://commons.wikimedia.org/wiki/Category:Turkish_tea</v>
      </c>
      <c r="N9" s="1127" t="str">
        <v>https://www.google.com/maps/search/?api=1&amp;query=Pierre%20Loti%20Tepesi%20Istanbul</v>
      </c>
      <c r="O9" s="1127" t="str">
        <v>★★★☆☆ 順路可去</v>
      </c>
      <c r="P9" s="1127" t="str">
        <v>單純為喝茶不值得跨城；Moda／Çengelköy優先。</v>
      </c>
      <c r="Q9" s="256" t="str">
        <v>備選・前往前核對</v>
      </c>
      <c r="R9" t="str">
        <f>HYPERLINK("https://www.google.com/maps/search/?api=1&amp;query=Pierre%20Loti%20Tepesi%20Istanbul","開啟地圖")</f>
        <v>開啟地圖</v>
      </c>
    </row>
    <row r="10" ht="180" customHeight="1">
      <c r="A10" s="1127" t="str">
        <v>土耳其咖啡專門</v>
      </c>
      <c r="B10" s="1127" t="str">
        <v>Beyoğlu／İstiklal</v>
      </c>
      <c r="C10" s="1128" t="str">
        <v>Mandabatmaz</v>
      </c>
      <c r="D10" s="1128" t="str">
        <v>4.6</v>
      </c>
      <c r="E10" s="1128" t="str">
        <v>○ 12/29 夜間可選</v>
      </c>
      <c r="F10" s="1127"/>
      <c r="G10" s="1127" t="str">
        <v>Türk kahvesi</v>
      </c>
      <c r="H10" s="1127" t="str">
        <v>1967 年起的小店，品項非常單純；你喜歡專門店，這間比大型咖啡館更適合。最大優點是就在 İstiklal 側巷，晚餐／Hasan 後可看胃口決定。</v>
      </c>
      <c r="I10" s="1127" t="str">
        <v>一杯 sade、一杯 orta 比較甜度。</v>
      </c>
      <c r="J10" s="1127" t="str">
        <v>約 09:30–23:30，週六至午夜</v>
      </c>
      <c r="K10" s="1127" t="str">
        <v>正常日可用；不必預約</v>
      </c>
      <c r="L10" s="1127"/>
      <c r="M10" s="1127" t="str">
        <v>店家實拍（以來源頁辨識）
照片來源：https://www.moganddogtravels.com/blogs/best-cafes-in-istanbul
來源頁實拍；僅作私人行程辨識。</v>
      </c>
      <c r="N10" s="1127" t="str">
        <v>https://www.tripadvisor.com/Restaurant_Review-g293974-d2337837-Reviews-Mandabatmaz-Istanbul.html</v>
      </c>
      <c r="O10" s="1127" t="str">
        <v>★★★★★ 必喝</v>
      </c>
      <c r="P10" s="1135" t="str">
        <v>若 12/29 Hasan 吃完已很飽就跳過；它是咖啡而不是任務。</v>
      </c>
      <c r="Q10" s="256" t="str">
        <v>備選・前往前核對</v>
      </c>
      <c r="R10" t="str">
        <f>HYPERLINK("https://www.google.com/maps/search/?api=1&amp;query=Mandabatmaz%20Istanbul","開啟地圖")</f>
        <v>開啟地圖</v>
      </c>
    </row>
    <row r="11" ht="180" customHeight="1">
      <c r="A11" s="1127" t="str">
        <v>土耳其咖啡老店</v>
      </c>
      <c r="B11" s="1127" t="str">
        <v>Kadıköy</v>
      </c>
      <c r="C11" s="1127" t="str">
        <v>Fazıl Bey'in Türk Kahvesi</v>
      </c>
      <c r="D11" s="1127" t="str">
        <v>4.6</v>
      </c>
      <c r="E11" s="1127" t="str">
        <v>○ Kadıköy 備選</v>
      </c>
      <c r="F11" s="1127"/>
      <c r="G11" s="1127" t="str">
        <v>Türk kahvesi</v>
      </c>
      <c r="H11" s="1127" t="str">
        <v>如果你最後加 Kadıköy 半日，我會用它配 Yanyalı／Çiya，而不是去連鎖咖啡店。</v>
      </c>
      <c r="I11" s="1127" t="str">
        <v>一杯 sade、一杯 orta；只有去 Kadıköy 才排。</v>
      </c>
      <c r="J11" s="1127" t="str">
        <v>約 08:00–23:00</v>
      </c>
      <c r="K11" s="1127" t="str">
        <v>亞洲岸備選</v>
      </c>
      <c r="L11" s="1127"/>
      <c r="M11" s="1127" t="str">
        <v>店家實拍（以來源頁辨識）
照片來源：https://www.pinterest.com/pin/573716440003337139/
來源頁實拍；僅作私人行程辨識。</v>
      </c>
      <c r="N11" s="1127" t="str">
        <v>https://www.fazilbey.com.tr/</v>
      </c>
      <c r="O11" s="1127" t="str">
        <v>★★★★☆ 很推薦</v>
      </c>
      <c r="P11" s="1135" t="str">
        <v>只有去 Kadıköy 才排；不為一杯咖啡單獨跨海。</v>
      </c>
      <c r="Q11" s="256" t="str">
        <v>備選・前往前核對</v>
      </c>
      <c r="R11" t="str">
        <f>HYPERLINK("https://www.google.com/maps/search/?api=1&amp;query=Faz%C4%B1l%20Bey%27in%20T%C3%BCrk%20Kahvesi%20Kad%C4%B1k%C3%B6y%20Istanbul","開啟地圖")</f>
        <v>開啟地圖</v>
      </c>
    </row>
    <row r="12" ht="95" customHeight="1">
      <c r="A12" s="256"/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687"/>
      <c r="Q12" s="256"/>
    </row>
    <row r="13">
      <c r="A13" t="str">
        <f>HYPERLINK("#'每日行程'!A1","返回每日行程")</f>
        <v>返回每日行程</v>
      </c>
    </row>
  </sheetData>
  <mergeCells>
    <mergeCell ref="A1:P1"/>
    <mergeCell ref="A2:P2"/>
    <mergeCell ref="A3:P3"/>
  </mergeCells>
  <pageMargins left="0.7" right="0.7" top="0.75" bottom="0.75" header="0.3" footer="0.3"/>
  <drawing ns1:id="R833cfa060ab44115"/>
  <tableParts count="1">
    <tablePart ns1:id="R3cf7ac4dccea4b83"/>
  </tableParts>
</worksheet>
</file>

<file path=xl/worksheets/sheet11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1" ySplit="4" topLeftCell="B5" activePane="bottomRight" state="frozen"/>
    </sheetView>
  </sheetViews>
  <sheetFormatPr defaultRowHeight="15"/>
  <cols>
    <col min="1" max="1" width="16" hidden="0" customWidth="1"/>
    <col min="2" max="2" width="34" hidden="0" customWidth="1"/>
    <col min="3" max="3" width="20" hidden="0" customWidth="1"/>
    <col min="4" max="4" width="23" hidden="0" customWidth="1"/>
    <col min="5" max="5" width="48" hidden="0" customWidth="1"/>
    <col min="6" max="6" width="24" hidden="0" customWidth="1"/>
    <col min="7" max="7" width="36" hidden="0" customWidth="1"/>
    <col min="8" max="8" width="42" hidden="0" customWidth="1"/>
    <col min="9" max="9" width="38" hidden="0" customWidth="1"/>
    <col min="10" max="10" width="42" hidden="0" customWidth="1"/>
    <col min="11" max="11" width="24" hidden="0" customWidth="1"/>
    <col min="12" max="12" width="32" hidden="0" customWidth="1"/>
  </cols>
  <sheetData>
    <row r="1" ht="32" customHeight="1">
      <c r="A1" s="1140" t="str">
        <v>伊斯坦堡｜推薦總覽｜索引頁</v>
      </c>
      <c r="B1" s="1136"/>
      <c r="C1" s="1136"/>
      <c r="D1" s="1136"/>
      <c r="E1" s="1136"/>
      <c r="F1" s="1136"/>
      <c r="G1" s="1136"/>
      <c r="H1" s="872"/>
      <c r="I1" s="872"/>
      <c r="J1" s="872"/>
      <c r="K1" s="872"/>
      <c r="L1" s="872"/>
    </row>
    <row r="2" ht="32" customHeight="1">
      <c r="A2" s="1146" t="str">
        <v>只列最值得保留的項目與詳情頁位置，不重複長篇餐廳、景點或菜色內容。</v>
      </c>
      <c r="B2" s="1146"/>
      <c r="C2" s="1146"/>
      <c r="D2" s="1146"/>
      <c r="E2" s="1146"/>
      <c r="F2" s="1146"/>
      <c r="G2" s="1146"/>
      <c r="H2" s="874"/>
      <c r="I2" s="874"/>
      <c r="J2" s="874"/>
      <c r="K2" s="874"/>
      <c r="L2" s="874"/>
    </row>
    <row r="3" ht="86" customHeight="1">
      <c r="A3" s="1094"/>
      <c r="B3" s="1094"/>
      <c r="C3" s="1094"/>
      <c r="D3" s="1094"/>
      <c r="E3" s="1094"/>
      <c r="F3" s="1094"/>
      <c r="G3" s="1094"/>
    </row>
    <row r="4" ht="40" customHeight="1">
      <c r="A4" s="1267" t="str">
        <v>類別</v>
      </c>
      <c r="B4" s="1267" t="str">
        <v>名稱</v>
      </c>
      <c r="C4" s="1267" t="str">
        <v>推薦度／狀態</v>
      </c>
      <c r="D4" s="1267" t="str">
        <v>日期／行程</v>
      </c>
      <c r="E4" s="1267" t="str">
        <v>一句理由</v>
      </c>
      <c r="F4" s="1267" t="str">
        <v>詳情頁</v>
      </c>
      <c r="G4" s="1267" t="str">
        <v>備註</v>
      </c>
      <c r="H4" s="893"/>
      <c r="I4" s="893"/>
      <c r="J4" s="893"/>
      <c r="K4" s="893"/>
      <c r="L4" s="893"/>
    </row>
    <row r="5" ht="90" customHeight="1">
      <c r="A5" s="1195" t="str">
        <v>餐廳</v>
      </c>
      <c r="B5" s="1195" t="str">
        <v>Namlı Gurme</v>
      </c>
      <c r="C5" s="1195" t="str">
        <v>★★★★☆ 很推薦</v>
      </c>
      <c r="D5" s="1195" t="str">
        <v>○ 參考資料・本次不排三餐</v>
      </c>
      <c r="E5" s="1195" t="str">
        <v>Karaköy 的熟食市場感很強，早餐選擇多而且不用排『網紅早餐塔』；住 Karaköy 周邊時動線尤其好，但它本身不是酒店餐廳。</v>
      </c>
      <c r="F5" s="1195" t="str">
        <f>HYPERLINK("#'伊斯坦堡餐廳'!C5","查看詳情／照片")</f>
        <v>查看詳情／照片</v>
      </c>
      <c r="G5" s="1195" t="str">
        <v>本次依你指定五家安排；不作三餐備選</v>
      </c>
      <c r="H5" s="894"/>
      <c r="I5" s="894"/>
      <c r="J5" s="894"/>
      <c r="K5" s="894"/>
      <c r="L5" s="894"/>
    </row>
    <row r="6" ht="90" customHeight="1">
      <c r="A6" s="1123" t="str">
        <v>餐廳</v>
      </c>
      <c r="B6" s="1123" t="str">
        <v>Çakmak Kahvaltı Salonu</v>
      </c>
      <c r="C6" s="1123" t="str">
        <v>★★★★★ 必吃</v>
      </c>
      <c r="D6" s="1122" t="str">
        <v>○ 參考資料・本次不排三餐</v>
      </c>
      <c r="E6" s="1122" t="str">
        <v>Beşiktaş 早餐文化本來就是當地生活的一部分；這間老派、簡單、沒有『拍照早餐塔』負擔，而且吃完前往 Yıldız Palace。</v>
      </c>
      <c r="F6" s="1122" t="str">
        <f>HYPERLINK("#'伊斯坦堡餐廳'!C7","查看詳情／照片")</f>
        <v>查看詳情／照片</v>
      </c>
      <c r="G6" s="1122" t="str">
        <v>本次依你指定五家安排；不作三餐備選</v>
      </c>
      <c r="H6" s="256"/>
      <c r="I6" s="256"/>
      <c r="J6" s="256"/>
      <c r="K6" s="256"/>
      <c r="L6" s="256"/>
    </row>
    <row r="7" ht="90" customHeight="1">
      <c r="A7" s="1123" t="str">
        <v>餐廳</v>
      </c>
      <c r="B7" s="1123" t="str">
        <v>Hacı Abdullah Lokantası</v>
      </c>
      <c r="C7" s="1123" t="str">
        <v>★★★★★ 必吃</v>
      </c>
      <c r="D7" s="1122" t="str">
        <v>○ 參考資料・本次不排三餐</v>
      </c>
      <c r="E7" s="1122" t="str">
        <v>歷史老 lokanta 的價值是『看熟食櫃選菜』和大量非 kebab 家常／宮廷菜；能把伊斯坦堡飲食從烤肉擴展到真正的燉菜、冷前菜與米飯系統。</v>
      </c>
      <c r="F7" s="1122" t="str">
        <f>HYPERLINK("#'伊斯坦堡餐廳'!C10","查看詳情／照片")</f>
        <v>查看詳情／照片</v>
      </c>
      <c r="G7" s="1122" t="str">
        <v>本次依你指定五家安排；不作三餐備選</v>
      </c>
      <c r="H7" s="256"/>
      <c r="I7" s="256"/>
      <c r="J7" s="256"/>
      <c r="K7" s="256"/>
      <c r="L7" s="256"/>
    </row>
    <row r="8" ht="90" customHeight="1">
      <c r="A8" s="1123" t="str">
        <v>餐廳</v>
      </c>
      <c r="B8" s="1123" t="str">
        <v>Hayvore</v>
      </c>
      <c r="C8" s="1123" t="str">
        <v>★★★★★ 必吃</v>
      </c>
      <c r="D8" s="1122" t="str">
        <v>○ 參考資料・本次不排三餐</v>
      </c>
      <c r="E8" s="1122" t="str">
        <v>黑海菜讓這趟不會每餐都變 kebab；hamsi、muhlama、karalahana 都有明顯地域個性，比一般觀光餐廳更值得。</v>
      </c>
      <c r="F8" s="1122" t="str">
        <f>HYPERLINK("#'伊斯坦堡餐廳'!C11","查看詳情／照片")</f>
        <v>查看詳情／照片</v>
      </c>
      <c r="G8" s="1122" t="str">
        <v>本次依你指定五家安排；不作三餐備選</v>
      </c>
      <c r="H8" s="256"/>
      <c r="I8" s="256"/>
      <c r="J8" s="256"/>
      <c r="K8" s="256"/>
      <c r="L8" s="256"/>
    </row>
    <row r="9" ht="90" customHeight="1">
      <c r="A9" s="1123" t="str">
        <v>餐廳</v>
      </c>
      <c r="B9" s="1123" t="str">
        <v>MAFish Wrap</v>
      </c>
      <c r="C9" s="1123" t="str">
        <v>★★★★★ 🎉 你的必吃</v>
      </c>
      <c r="D9" s="1122" t="str">
        <v>🎉 12/27 晚、12/28 晚、12/29 午、12/30 午</v>
      </c>
      <c r="E9" s="1122" t="str">
        <v>這間完全符合你喜歡的方向：小、專一、直接把一種東西做好。更重要是 Karaköy、營業到很晚，剛好解決落機後『不想回酒店吃』的問題。</v>
      </c>
      <c r="F9" s="1122" t="str">
        <f>HYPERLINK("#'伊斯坦堡餐廳'!C17","查看詳情／照片")</f>
        <v>查看詳情／照片</v>
      </c>
      <c r="G9" s="1122"/>
      <c r="H9" s="256"/>
      <c r="I9" s="256"/>
      <c r="J9" s="256"/>
      <c r="K9" s="256"/>
      <c r="L9" s="256"/>
    </row>
    <row r="10" ht="90" customHeight="1">
      <c r="A10" s="1123" t="str">
        <v>餐廳</v>
      </c>
      <c r="B10" s="1123" t="str">
        <v>Dürümcü Raif Usta</v>
      </c>
      <c r="C10" s="1123" t="str">
        <v>★★★★★ 🎉 你的必吃</v>
      </c>
      <c r="D10" s="1122" t="str">
        <v>🎉 12/29 早晚餐 17:45</v>
      </c>
      <c r="E10" s="1122" t="str">
        <v>和你列出的其他店一樣，它不是靠裝潢：小凳子、快節奏、炭火現烤。資料與評論反覆提到 Adana、ciğer、tavuk şiş 以及烤辣椒，專門度很高。</v>
      </c>
      <c r="F10" s="1122" t="str">
        <f>HYPERLINK("#'伊斯坦堡餐廳'!C18","查看詳情／照片")</f>
        <v>查看詳情／照片</v>
      </c>
      <c r="G10" s="1122"/>
      <c r="H10" s="256"/>
      <c r="I10" s="256"/>
      <c r="J10" s="256"/>
      <c r="K10" s="256"/>
      <c r="L10" s="256"/>
    </row>
    <row r="11" ht="90" customHeight="1">
      <c r="A11" s="1123" t="str">
        <v>餐廳</v>
      </c>
      <c r="B11" s="1123" t="str">
        <v>HASAN FEHMİ ÖZSÜT 1915</v>
      </c>
      <c r="C11" s="1123" t="str">
        <v>★★★★★ 🎉 你的必吃</v>
      </c>
      <c r="D11" s="1122" t="str">
        <v>🎉 12/29、12/31 早餐</v>
      </c>
      <c r="E11" s="1122" t="str">
        <v>這間應該以『早餐乳品老店』理解，而不是晚間甜點店。1915 老店的真正特色是 kaymak、蜂蜜、乳製品與蛋類早餐；放早上才能吃到它最有代表性的樣子。</v>
      </c>
      <c r="F11" s="1122" t="str">
        <f>HYPERLINK("#'伊斯坦堡餐廳'!C19","查看詳情／照片")</f>
        <v>查看詳情／照片</v>
      </c>
      <c r="G11" s="1122"/>
      <c r="H11" s="256"/>
      <c r="I11" s="256"/>
      <c r="J11" s="256"/>
      <c r="K11" s="256"/>
      <c r="L11" s="256"/>
    </row>
    <row r="12" ht="90" customHeight="1">
      <c r="A12" s="1123" t="str">
        <v>餐廳</v>
      </c>
      <c r="B12" s="1123" t="str">
        <v>Boris'in Yeri (Boris's Place)</v>
      </c>
      <c r="C12" s="1123" t="str">
        <v>★★★★★ 🎉 你的必吃</v>
      </c>
      <c r="D12" s="1122" t="str">
        <v>🎉 12/28、12/30 早餐</v>
      </c>
      <c r="E12" s="1122" t="str">
        <v>1936 年起的乳品早餐店，評分不是四間裡最高，但你的口味重點顯然不是『Google 排名第一』，而是老店、乳品、早餐專門感。這一點 Boris 很準。</v>
      </c>
      <c r="F12" s="1122" t="str">
        <f>HYPERLINK("#'伊斯坦堡餐廳'!C20","查看詳情／照片")</f>
        <v>查看詳情／照片</v>
      </c>
      <c r="G12" s="1122"/>
      <c r="H12" s="256"/>
      <c r="I12" s="256"/>
      <c r="J12" s="256"/>
      <c r="K12" s="256"/>
      <c r="L12" s="256"/>
    </row>
    <row r="13" ht="90" customHeight="1">
      <c r="A13" s="1123" t="str">
        <v>餐廳</v>
      </c>
      <c r="B13" s="1123" t="str">
        <v>Şöhretler Beşiktaş Köftecisi</v>
      </c>
      <c r="C13" s="1123" t="str">
        <v>★★★★★ 很符合你的口味</v>
      </c>
      <c r="D13" s="1122" t="str">
        <v>○ 參考資料・本次不排三餐</v>
      </c>
      <c r="E13" s="1122" t="str">
        <v>專門度比一般 lokanta 高，而且就在 Yıldız／Beşiktaş 動線；2026 近期評論對 köfte、piyaz 有正面回饋。</v>
      </c>
      <c r="F13" s="1122" t="str">
        <f>HYPERLINK("#'伊斯坦堡餐廳'!C26","查看詳情／照片")</f>
        <v>查看詳情／照片</v>
      </c>
      <c r="G13" s="1122" t="str">
        <v>本次依你指定五家安排；不作三餐備選</v>
      </c>
      <c r="H13" s="256"/>
      <c r="I13" s="256"/>
      <c r="J13" s="256"/>
      <c r="K13" s="256"/>
      <c r="L13" s="256"/>
    </row>
    <row r="14" ht="90" customHeight="1">
      <c r="A14" s="1123" t="str">
        <v>餐廳</v>
      </c>
      <c r="B14" s="1123" t="str">
        <v>Borsam Taşfırın Bahariye</v>
      </c>
      <c r="C14" s="1123" t="str">
        <v>★★★★★ 專門店推薦</v>
      </c>
      <c r="D14" s="1122" t="str">
        <v>○ 參考資料・本次不排三餐</v>
      </c>
      <c r="E14" s="1122" t="str">
        <v>你的偏好很適合這種只把麵餅／石爐做好吃的店。2026 多則近期評論提到現烤、脆、新鮮，且 Kadıköy 動線完全吻合。</v>
      </c>
      <c r="F14" s="1122" t="str">
        <f>HYPERLINK("#'伊斯坦堡餐廳'!C27","查看詳情／照片")</f>
        <v>查看詳情／照片</v>
      </c>
      <c r="G14" s="1122" t="str">
        <v>本次依你指定五家安排；不作三餐備選</v>
      </c>
      <c r="H14" s="256"/>
      <c r="I14" s="256"/>
      <c r="J14" s="256"/>
      <c r="K14" s="256"/>
      <c r="L14" s="256"/>
    </row>
    <row r="15" ht="90" customHeight="1">
      <c r="A15" s="1123" t="str">
        <v>餐廳</v>
      </c>
      <c r="B15" s="1123" t="str">
        <v>Karaköy Lokantası</v>
      </c>
      <c r="C15" s="1123" t="str">
        <v>★★★★☆ 食物值得</v>
      </c>
      <c r="D15" s="1122" t="str">
        <v>○ 參考資料・本次不排三餐</v>
      </c>
      <c r="E15" s="1122" t="str">
        <v>最後一晚想吃不同於 kebab、pide 的東西，這間用 meze＋海鮮收尾最合理；Google 約 4.3、Michelin Bib Gourmand，但不是便宜小店。</v>
      </c>
      <c r="F15" s="1122" t="str">
        <f>HYPERLINK("#'伊斯坦堡餐廳'!C28","查看詳情／照片")</f>
        <v>查看詳情／照片</v>
      </c>
      <c r="G15" s="1122" t="str">
        <v>本次依你指定五家安排；不作三餐備選</v>
      </c>
      <c r="H15" s="256"/>
      <c r="I15" s="256"/>
      <c r="J15" s="256"/>
      <c r="K15" s="256"/>
      <c r="L15" s="256"/>
    </row>
    <row r="16" ht="90" customHeight="1">
      <c r="A16" s="1169" t="str">
        <v>景點</v>
      </c>
      <c r="B16" s="1169" t="str">
        <v>Beşiktaş Çarşı</v>
      </c>
      <c r="C16" s="1169" t="str">
        <v>★★★★☆ 很推薦</v>
      </c>
      <c r="D16" s="1146" t="str">
        <v>12/29</v>
      </c>
      <c r="E16" s="1146" t="str">
        <v>很日常的商圈，適合宮殿後吃午餐、看魚市與球迷文化。</v>
      </c>
      <c r="F16" s="1146" t="str">
        <f>HYPERLINK("#'伊斯坦堡景點指南'!A11","查看詳情／照片")</f>
        <v>查看詳情／照片</v>
      </c>
      <c r="G16" s="1146" t="str">
        <v>若當天體力與時間足夠就保留；時間不足先刪三星，再刪四星。</v>
      </c>
      <c r="H16" s="256"/>
      <c r="I16" s="256"/>
      <c r="J16" s="256"/>
      <c r="K16" s="256"/>
      <c r="L16" s="256"/>
    </row>
    <row r="17" ht="90" customHeight="1">
      <c r="A17" s="1146" t="str">
        <v>景點</v>
      </c>
      <c r="B17" s="1146" t="str">
        <v>Kadıköy Market</v>
      </c>
      <c r="C17" s="1146" t="str">
        <v>★★★★★ 本地生活</v>
      </c>
      <c r="D17" s="1146" t="str">
        <v>12/30</v>
      </c>
      <c r="E17" s="1146" t="str">
        <v>想看本地生活與食物，亞洲岸比歷史半島更日常。</v>
      </c>
      <c r="F17" s="1146" t="str">
        <f>HYPERLINK("#'伊斯坦堡景點指南'!A22","查看詳情／照片")</f>
        <v>查看詳情／照片</v>
      </c>
      <c r="G17" s="1146" t="str">
        <v>12/30 午餐回 Karaköy；先逛市場後街，再提早搭渡輪。</v>
      </c>
    </row>
    <row r="18" ht="90" customHeight="1">
      <c r="A18" s="1170" t="str">
        <v>景點</v>
      </c>
      <c r="B18" s="1170" t="str">
        <v>Moda Waterfront</v>
      </c>
      <c r="C18" s="1170" t="str">
        <v>★★★★☆ 本地生活</v>
      </c>
      <c r="D18" s="1170" t="str">
        <v>○ 本次取消</v>
      </c>
      <c r="E18" s="1170" t="str">
        <v>當地人喝茶、看海、散步的日常場景；配 Moda tea garden 很完整。</v>
      </c>
      <c r="F18" s="1170" t="str">
        <f>HYPERLINK("#'伊斯坦堡景點指南'!A23","查看詳情／照片")</f>
        <v>查看詳情／照片</v>
      </c>
      <c r="G18" s="1170" t="str">
        <v>為配合指定午餐及渡輪時間，本次不排 Moda。</v>
      </c>
      <c r="H18" s="895"/>
      <c r="I18" s="895"/>
      <c r="J18" s="895"/>
      <c r="K18" s="895"/>
      <c r="L18" s="895"/>
    </row>
    <row r="19" ht="90" customHeight="1">
      <c r="A19" s="1170" t="str">
        <v>景點</v>
      </c>
      <c r="B19" s="1170" t="str">
        <v>Fener &amp; Balat</v>
      </c>
      <c r="C19" s="1170" t="str">
        <v>★★★★★ 小眾主線</v>
      </c>
      <c r="D19" s="1170" t="str">
        <v>12/28</v>
      </c>
      <c r="E19" s="1170" t="str">
        <v>希臘正教、猶太與奧斯曼住宅歷史混合，適合街拍。</v>
      </c>
      <c r="F19" s="1170" t="str">
        <f>HYPERLINK("#'伊斯坦堡景點指南'!A24","查看詳情／照片")</f>
        <v>查看詳情／照片</v>
      </c>
      <c r="G19" s="1170" t="str">
        <v>不再只拍彩色屋：用鐵教堂、Patriarchate、St Mary of Mongols、居民坡巷做深度路線。</v>
      </c>
      <c r="H19" s="896"/>
      <c r="I19" s="896"/>
      <c r="J19" s="896"/>
      <c r="K19" s="896"/>
      <c r="L19" s="896"/>
    </row>
    <row r="20" ht="90" customHeight="1">
      <c r="A20" s="1146" t="str">
        <v>景點</v>
      </c>
      <c r="B20" s="1146" t="str">
        <v>Galata Mevlevi Lodge Museum</v>
      </c>
      <c r="C20" s="1146" t="str">
        <v>★★★★★ 小眾主線</v>
      </c>
      <c r="D20" s="1146" t="str">
        <v>12/29 備選・待確認</v>
      </c>
      <c r="E20" s="1146" t="str">
        <v>比『看旋轉舞表演』更適合先理解 Mevlevi／蘇菲文化與修道院空間。</v>
      </c>
      <c r="F20" s="1146" t="str">
        <f>HYPERLINK("#'伊斯坦堡景點指南'!A32","查看詳情／照片")</f>
        <v>查看詳情／照片</v>
      </c>
      <c r="G20" s="1146" t="str">
        <v>取得最新可入內確認才去；否則咖啡暖身／Galata 側巷。</v>
      </c>
      <c r="H20" s="897"/>
      <c r="I20" s="897"/>
      <c r="J20" s="897"/>
      <c r="K20" s="897"/>
      <c r="L20" s="897"/>
    </row>
    <row r="21" ht="90" customHeight="1">
      <c r="A21" s="1146" t="str">
        <v>景點</v>
      </c>
      <c r="B21" s="1146" t="str">
        <v>İstiklal Avenue &amp; Çiçek Pasajı</v>
      </c>
      <c r="C21" s="1146" t="str">
        <v>★★★★☆ 很推薦</v>
      </c>
      <c r="D21" s="1146" t="str">
        <v>12/28／12/29 晚</v>
      </c>
      <c r="E21" s="1146" t="str">
        <v>這條線不是一個『景點』，而是晚餐前後感受 Beyoğlu 夜生活、歷史立面與人流的城市體驗。</v>
      </c>
      <c r="F21" s="1146" t="str">
        <f>HYPERLINK("#'伊斯坦堡景點指南'!A34","查看詳情／照片")</f>
        <v>查看詳情／照片</v>
      </c>
      <c r="G21" s="1146" t="str">
        <v>已經在晚餐後行程裡，值得具體當作『逛街』而不是空白時間。</v>
      </c>
      <c r="H21" s="897"/>
      <c r="I21" s="897"/>
      <c r="J21" s="897"/>
      <c r="K21" s="897"/>
      <c r="L21" s="897"/>
    </row>
    <row r="22" ht="90" customHeight="1">
      <c r="A22" s="1146" t="str">
        <v>景點</v>
      </c>
      <c r="B22" s="1146" t="str">
        <v>İslam Bilim ve Teknoloji Tarihi Müzesi</v>
      </c>
      <c r="C22" s="1146" t="str">
        <v>★★★★★ 小眾必去</v>
      </c>
      <c r="D22" s="1146" t="str">
        <v>12/28</v>
      </c>
      <c r="E22" s="1146" t="str">
        <v>比皇宮／宗教大景點更少一般旅客；用實物模型看伊斯蘭世界在天文、航海、醫學、數學、光學等領域的科學史。</v>
      </c>
      <c r="F22" s="1146" t="str">
        <f>HYPERLINK("#'伊斯坦堡景點指南'!A39","查看詳情／照片")</f>
        <v>查看詳情／照片</v>
      </c>
      <c r="G22" s="1146" t="str">
        <v>取代 Topkapı；第一次重遊伊斯坦堡很值得，且 12/28 Monday 仍開。</v>
      </c>
      <c r="H22" s="897"/>
      <c r="I22" s="897"/>
      <c r="J22" s="897"/>
      <c r="K22" s="897"/>
      <c r="L22" s="897"/>
    </row>
    <row r="23" ht="90" customHeight="1">
      <c r="A23" s="1146" t="str">
        <v>景點</v>
      </c>
      <c r="B23" s="1146" t="str">
        <v>Şehzade Mosque</v>
      </c>
      <c r="C23" s="1146" t="str">
        <v>★★★★☆ 很推薦</v>
      </c>
      <c r="D23" s="1146" t="str">
        <v>12/28</v>
      </c>
      <c r="E23" s="1146" t="str">
        <v>Mimar Sinan 的早期皇室清真寺，通常遠少於 Sultanahmet／Süleymaniye 的遊客；很適合看他早期如何處理中央穹頂。</v>
      </c>
      <c r="F23" s="1146" t="str">
        <f>HYPERLINK("#'伊斯坦堡景點指南'!A40","查看詳情／照片")</f>
        <v>查看詳情／照片</v>
      </c>
      <c r="G23" s="1146" t="str">
        <v>不是『另一座大清真寺』，而是 Sinan 建築學習線；30 分鐘就很有價值。</v>
      </c>
      <c r="H23" s="256"/>
      <c r="I23" s="256"/>
      <c r="J23" s="256"/>
      <c r="K23" s="256"/>
      <c r="L23" s="256"/>
    </row>
    <row r="24" ht="90" customHeight="1">
      <c r="A24" s="1170" t="str">
        <v>景點</v>
      </c>
      <c r="B24" s="1170" t="str">
        <v>Kalenderhane Mosque</v>
      </c>
      <c r="C24" s="1170" t="str">
        <v>★★★★★ 小眾必去</v>
      </c>
      <c r="D24" s="1170" t="str">
        <v>12/28</v>
      </c>
      <c r="E24" s="1170" t="str">
        <v>它原是拜占庭 Theotokos Kyriotissa Church，保留少見的希臘十字拱頂類型；後來改為清真寺，是看城市宗教層疊非常好的小眾點。</v>
      </c>
      <c r="F24" s="1170" t="str">
        <f>HYPERLINK("#'伊斯坦堡景點指南'!A41","查看詳情／照片")</f>
        <v>查看詳情／照片</v>
      </c>
      <c r="G24" s="1170" t="str">
        <v>比再看一座著名 Ottoman mosque 更適合你這次重遊。</v>
      </c>
      <c r="H24" s="899"/>
      <c r="I24" s="899"/>
      <c r="J24" s="899"/>
      <c r="K24" s="899"/>
      <c r="L24" s="899"/>
    </row>
    <row r="25" ht="90" customHeight="1">
      <c r="A25" s="1170" t="str">
        <v>景點</v>
      </c>
      <c r="B25" s="1170" t="str">
        <v>St. Stephen Bulgarian Orthodox Church</v>
      </c>
      <c r="C25" s="1170" t="str">
        <v>★★★★☆ 很推薦</v>
      </c>
      <c r="D25" s="1170" t="str">
        <v>12/28</v>
      </c>
      <c r="E25" s="1170" t="str">
        <v>金角灣邊極有辨識度的 Bulgarian Iron Church；比彩色 Balat 房子有更多真實宗教與族群歷史內容。</v>
      </c>
      <c r="F25" s="1170" t="str">
        <f>HYPERLINK("#'伊斯坦堡景點指南'!A42","查看詳情／照片")</f>
        <v>查看詳情／照片</v>
      </c>
      <c r="G25" s="1170" t="str">
        <v>Fener 小眾宗教線核心；不把 Balat 變成只拍彩色屋。</v>
      </c>
      <c r="H25" s="901"/>
      <c r="I25" s="901"/>
      <c r="J25" s="901"/>
      <c r="K25" s="901"/>
      <c r="L25" s="901"/>
    </row>
    <row r="26" ht="90" customHeight="1">
      <c r="A26" s="1146" t="str">
        <v>景點</v>
      </c>
      <c r="B26" s="1146" t="str">
        <v>Church of St. Mary of the Mongols</v>
      </c>
      <c r="C26" s="1146" t="str">
        <v>★★★★★ 小眾必去</v>
      </c>
      <c r="D26" s="1146" t="str">
        <v>12/28</v>
      </c>
      <c r="E26" s="1146" t="str">
        <v>伊斯坦堡非常少見、在 Ottoman 時期沒有改成清真寺而持續由 Greek Orthodox 社群使用的教堂；位置也藏在 Fener 上坡住宅區。</v>
      </c>
      <c r="F26" s="1146" t="str">
        <f>HYPERLINK("#'伊斯坦堡景點指南'!A43","查看詳情／照片")</f>
        <v>查看詳情／照片</v>
      </c>
      <c r="G26" s="1146" t="str">
        <v>非常符合『去過大景點後再看城市層次』；即使只看外觀與周邊也值得。</v>
      </c>
      <c r="H26" s="256"/>
      <c r="I26" s="256"/>
      <c r="J26" s="256"/>
      <c r="K26" s="256"/>
      <c r="L26" s="256"/>
    </row>
    <row r="27" ht="90" customHeight="1">
      <c r="A27" s="1146" t="str">
        <v>景點</v>
      </c>
      <c r="B27" s="1146" t="str">
        <v>Yıldız Palace</v>
      </c>
      <c r="C27" s="1146" t="str">
        <v>★★★★★ 重遊必去</v>
      </c>
      <c r="D27" s="1146" t="str">
        <v>12/29</v>
      </c>
      <c r="E27" s="1146" t="str">
        <v>你已去過 Topkapı／Dolmabahçe，Yıldız 才是這次更合適的 palace：它是鄂圖曼最後行政中心與 Abdülhamid II 時代政治空間，2024 修復後才重新大規模開放。</v>
      </c>
      <c r="F27" s="1146" t="str">
        <f>HYPERLINK("#'伊斯坦堡景點指南'!A44","查看詳情／照片")</f>
        <v>查看詳情／照片</v>
      </c>
      <c r="G27" s="1146" t="str">
        <v>直接取代 Dolmabahçe；你已看過大路皇宮，Yıldız 更有新鮮感。</v>
      </c>
      <c r="H27" s="256"/>
      <c r="I27" s="256"/>
      <c r="J27" s="256"/>
      <c r="K27" s="256"/>
      <c r="L27" s="256"/>
    </row>
    <row r="28" ht="90" customHeight="1">
      <c r="A28" s="1146" t="str">
        <v>景點</v>
      </c>
      <c r="B28" s="1146" t="str">
        <v>Adam Mickiewicz Museum</v>
      </c>
      <c r="C28" s="1146" t="str">
        <v>★★★★★ 這趟專屬必去</v>
      </c>
      <c r="D28" s="1146" t="str">
        <v>12/29</v>
      </c>
      <c r="E28" s="1146" t="str">
        <v>非常適合你這趟 Warsaw＋Istanbul：波蘭浪漫派詩人 Adam Mickiewicz 1855 年在這棟 Istanbul house 度過生命最後階段，與 Polish independence、Crimean War 及 Ottoman connection 直接相連。</v>
      </c>
      <c r="F28" s="1146" t="str">
        <f>HYPERLINK("#'伊斯坦堡景點指南'!A45","查看詳情／照片")</f>
        <v>查看詳情／照片</v>
      </c>
      <c r="G28" s="1146" t="str">
        <v>這是 Warsaw＋Istanbul 兩個城市最有趣的歷史連結之一，優先於普通網紅景點。</v>
      </c>
      <c r="H28" s="256"/>
      <c r="I28" s="256"/>
      <c r="J28" s="256"/>
      <c r="K28" s="256"/>
      <c r="L28" s="256"/>
    </row>
    <row r="29" ht="90" customHeight="1">
      <c r="A29" s="1146" t="str">
        <v>景點</v>
      </c>
      <c r="B29" s="1146" t="str">
        <v>Arap Mosque</v>
      </c>
      <c r="C29" s="1146" t="str">
        <v>★★★★★ 小眾必去</v>
      </c>
      <c r="D29" s="1146" t="str">
        <v>12/29</v>
      </c>
      <c r="E29" s="1146" t="str">
        <v>伊斯坦堡極少見的 pre-conquest Gothic church architecture；後來改成 mosque。對已經看過 Ottoman 名清真寺的人，這種建築混合反而更有意思。</v>
      </c>
      <c r="F29" s="1146" t="str">
        <f>HYPERLINK("#'伊斯坦堡景點指南'!A46","查看詳情／照片")</f>
        <v>查看詳情／照片</v>
      </c>
      <c r="G29" s="1146" t="str">
        <v>建築類型在 Istanbul 很少見；比再次排 Galata Tower 更值得。</v>
      </c>
      <c r="H29" s="256"/>
      <c r="I29" s="256"/>
      <c r="J29" s="256"/>
      <c r="K29" s="256"/>
      <c r="L29" s="256"/>
    </row>
    <row r="30" ht="90" customHeight="1">
      <c r="A30" s="1146" t="str">
        <v>景點</v>
      </c>
      <c r="B30" s="1146" t="str">
        <v>Kuzguncuk</v>
      </c>
      <c r="C30" s="1146" t="str">
        <v>★★★★★ 小眾必去</v>
      </c>
      <c r="D30" s="1146" t="str">
        <v>12/30</v>
      </c>
      <c r="E30" s="1146" t="str">
        <v>木屋、Bostan、synagogue、Greek Orthodox church、mosque 和 Bosphorus waterfront 同時存在；比 Sultanahmet 更能看到居民日常和多宗教街區史。</v>
      </c>
      <c r="F30" s="1146" t="str">
        <f>HYPERLINK("#'伊斯坦堡景點指南'!A47","查看詳情／照片")</f>
        <v>查看詳情／照片</v>
      </c>
      <c r="G30" s="1146" t="str">
        <v>亞洲岸主線；取代 12/30 Hagia Sophia／Cistern／Grand Bazaar 重複遊覽。</v>
      </c>
      <c r="H30" s="256"/>
      <c r="I30" s="256"/>
      <c r="J30" s="256"/>
      <c r="K30" s="256"/>
      <c r="L30" s="256"/>
    </row>
    <row r="31" ht="90" customHeight="1">
      <c r="A31" s="1170" t="str">
        <v>景點</v>
      </c>
      <c r="B31" s="1170" t="str">
        <v>Fethi Paşa Korusu</v>
      </c>
      <c r="C31" s="1170" t="str">
        <v>★★★★☆ 很推薦</v>
      </c>
      <c r="D31" s="1170" t="str">
        <v>12/30</v>
      </c>
      <c r="E31" s="1170" t="str">
        <v>不是觀景台式打卡點，而是 Kuzguncuk 上方居民會使用的大型綠地；冬天可看 Bosphorus、European shore 與樹林。</v>
      </c>
      <c r="F31" s="1170" t="str">
        <f>HYPERLINK("#'伊斯坦堡景點指南'!A48","查看詳情／照片")</f>
        <v>查看詳情／照片</v>
      </c>
      <c r="G31" s="1170" t="str">
        <v>天氣好加；下雨／風大直接取消，不影響核心。</v>
      </c>
      <c r="H31" s="761"/>
      <c r="I31" s="761"/>
      <c r="J31" s="761"/>
      <c r="K31" s="761"/>
      <c r="L31" s="761"/>
    </row>
    <row r="32" ht="90" customHeight="1">
      <c r="A32" s="1196" t="str">
        <v>茶／咖啡</v>
      </c>
      <c r="B32" s="1196" t="str">
        <v>Çorlulu Ali Paşa Medresesi</v>
      </c>
      <c r="C32" s="1196" t="str">
        <v>★★★★★ 必去喝茶</v>
      </c>
      <c r="D32" s="1196" t="str">
        <v>○ 老城備選</v>
      </c>
      <c r="E32" s="1196" t="str">
        <v>不是『茶有多神』，而是 18 世紀庭院＋茶／咖啡的環境很有老城層次，可作歷史半島備選。</v>
      </c>
      <c r="F32" s="1196" t="str">
        <f>HYPERLINK("#'伊斯坦堡茶咖啡'!C5","查看詳情／照片")</f>
        <v>查看詳情／照片</v>
      </c>
      <c r="G32" s="1196" t="str">
        <v>老城 Çay 第一順位；氣氛＞飲品本身。</v>
      </c>
      <c r="H32" s="766"/>
      <c r="I32" s="766"/>
      <c r="J32" s="766"/>
      <c r="K32" s="766"/>
      <c r="L32" s="766"/>
    </row>
    <row r="33" ht="90" customHeight="1">
      <c r="A33" s="1127" t="str">
        <v>茶／咖啡</v>
      </c>
      <c r="B33" s="1127" t="str">
        <v>Moda Aile Çay Bahçesi</v>
      </c>
      <c r="C33" s="1127" t="str">
        <v>★★★★★ 必去喝茶</v>
      </c>
      <c r="D33" s="1127" t="str">
        <v>○ 12/30 Moda 可插入</v>
      </c>
      <c r="E33" s="1127" t="str">
        <v>這是『當地人坐海邊喝茶』的生活體驗，不是高級茶室；Kadıköy 市場走到 Moda 後坐半小時，很能感受城市日常。</v>
      </c>
      <c r="F33" s="1127" t="str">
        <f>HYPERLINK("#'伊斯坦堡茶咖啡'!C7","查看詳情／照片")</f>
        <v>查看詳情／照片</v>
      </c>
      <c r="G33" s="1127" t="str">
        <v>若去亞洲岸，這間優先；不去 Kadıköy 就不用硬塞。</v>
      </c>
      <c r="H33" s="256"/>
      <c r="I33" s="256"/>
      <c r="J33" s="256"/>
      <c r="K33" s="256"/>
      <c r="L33" s="256"/>
    </row>
    <row r="34" ht="90" customHeight="1">
      <c r="A34" s="1127" t="str">
        <v>茶／咖啡</v>
      </c>
      <c r="B34" s="1127" t="str">
        <v>Mandabatmaz</v>
      </c>
      <c r="C34" s="1127" t="str">
        <v>★★★★★ 必喝</v>
      </c>
      <c r="D34" s="1127" t="str">
        <v>○ 12/29 夜間可選</v>
      </c>
      <c r="E34" s="1127" t="str">
        <v>1967 年起的小店，品項非常單純；你喜歡專門店，這間比大型咖啡館更適合。最大優點是就在 İstiklal 側巷，晚餐後可看胃口決定。</v>
      </c>
      <c r="F34" s="1127" t="str">
        <f>HYPERLINK("#'伊斯坦堡茶咖啡'!C10","查看詳情／照片")</f>
        <v>查看詳情／照片</v>
      </c>
      <c r="G34" s="1127" t="str">
        <v>若 12/29 Hayvore 吃完已很飽就跳過；它是咖啡而不是任務。</v>
      </c>
      <c r="H34" s="256"/>
      <c r="I34" s="256"/>
      <c r="J34" s="256"/>
      <c r="K34" s="256"/>
      <c r="L34" s="256"/>
    </row>
    <row r="35" ht="90" customHeight="1">
      <c r="A35" s="1178" t="str">
        <v>當地特色菜</v>
      </c>
      <c r="B35" s="1178" t="str">
        <v>Balık dürüm</v>
      </c>
      <c r="C35" s="1178" t="str">
        <v>★★★★★</v>
      </c>
      <c r="D35" s="1178" t="str">
        <v>✅ 12/27 晚餐</v>
      </c>
      <c r="E35" s="1178" t="str">
        <v>烤魚捲餅／魚肉 dürüm</v>
      </c>
      <c r="F35" s="1178" t="str">
        <f>HYPERLINK("#'伊斯坦堡當地特色菜'!B5","查看詳情／照片")</f>
        <v>查看詳情／照片</v>
      </c>
      <c r="G35" s="1178" t="str">
        <v>MAFish Wrap</v>
      </c>
      <c r="H35" s="256"/>
      <c r="I35" s="256"/>
      <c r="J35" s="256"/>
      <c r="K35" s="256"/>
      <c r="L35" s="256"/>
    </row>
    <row r="36" ht="90" customHeight="1">
      <c r="A36" s="1178" t="str">
        <v>當地特色菜</v>
      </c>
      <c r="B36" s="1178" t="str">
        <v>Uskumru dürüm</v>
      </c>
      <c r="C36" s="1178" t="str">
        <v>★★★★★</v>
      </c>
      <c r="D36" s="1178" t="str">
        <v>✅ 12/27 晚餐</v>
      </c>
      <c r="E36" s="1178" t="str">
        <v>鯖魚捲餅</v>
      </c>
      <c r="F36" s="1178" t="str">
        <f>HYPERLINK("#'伊斯坦堡當地特色菜'!B6","查看詳情／照片")</f>
        <v>查看詳情／照片</v>
      </c>
      <c r="G36" s="1178" t="str">
        <v>MAFish Wrap</v>
      </c>
      <c r="H36" s="256"/>
      <c r="I36" s="256"/>
      <c r="J36" s="256"/>
      <c r="K36" s="256"/>
      <c r="L36" s="256"/>
    </row>
    <row r="37" ht="90" customHeight="1">
      <c r="A37" s="1178" t="str">
        <v>當地特色菜</v>
      </c>
      <c r="B37" s="1178" t="str">
        <v>Adana dürüm</v>
      </c>
      <c r="C37" s="1178" t="str">
        <v>★★★★★</v>
      </c>
      <c r="D37" s="1178" t="str">
        <v>✅ 12/28 午餐</v>
      </c>
      <c r="E37" s="1178" t="str">
        <v>辣味肉末烤串捲</v>
      </c>
      <c r="F37" s="1178" t="str">
        <f>HYPERLINK("#'伊斯坦堡當地特色菜'!B7","查看詳情／照片")</f>
        <v>查看詳情／照片</v>
      </c>
      <c r="G37" s="1178" t="str">
        <v>Dürümcü Raif Usta</v>
      </c>
      <c r="H37" s="256"/>
      <c r="I37" s="256"/>
      <c r="J37" s="256"/>
      <c r="K37" s="256"/>
      <c r="L37" s="256"/>
    </row>
    <row r="38" ht="90" customHeight="1">
      <c r="A38" s="1178" t="str">
        <v>當地特色菜</v>
      </c>
      <c r="B38" s="1178" t="str">
        <v>Ciğer dürüm</v>
      </c>
      <c r="C38" s="1178" t="str">
        <v>★★★★★</v>
      </c>
      <c r="D38" s="1178" t="str">
        <v>✅ 12/28 午餐</v>
      </c>
      <c r="E38" s="1178" t="str">
        <v>烤肝捲餅</v>
      </c>
      <c r="F38" s="1178" t="str">
        <f>HYPERLINK("#'伊斯坦堡當地特色菜'!B8","查看詳情／照片")</f>
        <v>查看詳情／照片</v>
      </c>
      <c r="G38" s="1178" t="str">
        <v>Dürümcü Raif Usta</v>
      </c>
      <c r="H38" s="256"/>
      <c r="I38" s="256"/>
      <c r="J38" s="256"/>
      <c r="K38" s="256"/>
      <c r="L38" s="256"/>
    </row>
    <row r="39" ht="90" customHeight="1">
      <c r="A39" s="1178" t="str">
        <v>當地特色菜</v>
      </c>
      <c r="B39" s="1178" t="str">
        <v>Bal kaymak</v>
      </c>
      <c r="C39" s="1178" t="str">
        <v>★★★★★</v>
      </c>
      <c r="D39" s="1178" t="str">
        <v>✅ 12/30／12/31</v>
      </c>
      <c r="E39" s="1178" t="str">
        <v>蜂蜜＋凝脂奶油</v>
      </c>
      <c r="F39" s="1178" t="str">
        <f>HYPERLINK("#'伊斯坦堡當地特色菜'!B9","查看詳情／照片")</f>
        <v>查看詳情／照片</v>
      </c>
      <c r="G39" s="1178" t="str">
        <v>Boris'in Yeri／HASAN FEHMİ ÖZSÜT 1915</v>
      </c>
      <c r="H39" s="256"/>
      <c r="I39" s="256"/>
      <c r="J39" s="256"/>
      <c r="K39" s="256"/>
      <c r="L39" s="256"/>
    </row>
    <row r="40" ht="90" customHeight="1">
      <c r="A40" s="1178" t="str">
        <v>當地特色菜</v>
      </c>
      <c r="B40" s="1178" t="str">
        <v>Muhlama / Kuymak</v>
      </c>
      <c r="C40" s="1178" t="str">
        <v>★★★★★</v>
      </c>
      <c r="D40" s="1178" t="str">
        <v>✅ 12/29 晚餐</v>
      </c>
      <c r="E40" s="1178" t="str">
        <v>玉米粉＋拉絲乳酪奶油</v>
      </c>
      <c r="F40" s="1178" t="str">
        <f>HYPERLINK("#'伊斯坦堡當地特色菜'!B19","查看詳情／照片")</f>
        <v>查看詳情／照片</v>
      </c>
      <c r="G40" s="1178" t="str">
        <v>Hayvore</v>
      </c>
      <c r="H40" s="256"/>
      <c r="I40" s="256"/>
      <c r="J40" s="256"/>
      <c r="K40" s="256"/>
      <c r="L40" s="256"/>
    </row>
    <row r="41" ht="90" customHeight="1">
      <c r="A41" s="1178" t="str">
        <v>當地特色菜</v>
      </c>
      <c r="B41" s="1178" t="str">
        <v>Lahmacun</v>
      </c>
      <c r="C41" s="1178" t="str">
        <v>★★★★★</v>
      </c>
      <c r="D41" s="1178" t="str">
        <v>✅ 12/30 午餐</v>
      </c>
      <c r="E41" s="1178" t="str">
        <v>薄脆肉末香草餅</v>
      </c>
      <c r="F41" s="1178" t="str">
        <f>HYPERLINK("#'伊斯坦堡當地特色菜'!B22","查看詳情／照片")</f>
        <v>查看詳情／照片</v>
      </c>
      <c r="G41" s="1178" t="str">
        <v>Borsam Taşfırın Bahariye</v>
      </c>
      <c r="H41" s="256"/>
      <c r="I41" s="256"/>
      <c r="J41" s="256"/>
      <c r="K41" s="256"/>
      <c r="L41" s="256"/>
    </row>
    <row r="42" ht="58" customHeight="1">
      <c r="A42" s="794"/>
      <c r="B42" s="794"/>
      <c r="C42" s="794"/>
      <c r="D42" s="794"/>
      <c r="E42" s="794"/>
      <c r="F42" s="794"/>
      <c r="G42" s="794"/>
      <c r="H42" s="794"/>
      <c r="I42" s="794"/>
      <c r="J42" s="794"/>
      <c r="K42" s="794"/>
      <c r="L42" s="794"/>
    </row>
    <row r="43" ht="240" customHeight="1">
      <c r="A43" s="902" t="str">
        <v>餐廳</v>
      </c>
      <c r="B43" s="902" t="str">
        <v>Dürümcü Mustafa（待定）</v>
      </c>
      <c r="C43" s="902" t="str">
        <v>★★★★★ 你指定優先</v>
      </c>
      <c r="D43" s="902" t="str">
        <v>🎉 12/28 午餐、12/30 晚餐候選</v>
      </c>
      <c r="E43" s="902" t="str">
        <v>按你指定加入的肉捲店，這版暫採大市集附近 Vezirhan 街的同名店：不是 Üsküdar 的另一家同名餐廳。重點是炭火烤肉配薄餅，適合兩人點不同肉捲交換吃，和 Karaköy 烤魚捲比較。公開資料顯示約 11:30–19:30、週日休息，故放在平日午餐與較早晚餐；當日營業、分店及菜單仍要再核對。</v>
      </c>
      <c r="F43" s="902" t="str">
        <f>HYPERLINK("#'伊斯坦堡餐廳'!C29","查看詳情")</f>
        <v>查看詳情</v>
      </c>
      <c r="G43" s="902" t="str">
        <v>Vezirhan 分店暫定；同名店與營業待核</v>
      </c>
      <c r="H43" s="902"/>
      <c r="I43" s="902"/>
      <c r="J43" s="902"/>
      <c r="K43" s="902"/>
      <c r="L43" s="902"/>
    </row>
    <row r="44" ht="58" customHeight="1">
      <c r="A44" s="256" t="str">
        <f>HYPERLINK("#'每日行程'!A1","返回每日行程")</f>
        <v>返回每日行程</v>
      </c>
      <c r="B44" s="256"/>
      <c r="C44" s="256"/>
      <c r="D44" s="256"/>
      <c r="E44" s="256"/>
      <c r="F44" s="256"/>
      <c r="G44" s="256"/>
      <c r="H44" s="256"/>
      <c r="I44" s="256"/>
      <c r="J44" s="256"/>
      <c r="K44" s="256"/>
      <c r="L44" s="256"/>
    </row>
    <row r="45" ht="58" customHeight="1">
      <c r="A45" s="256"/>
      <c r="B45" s="256"/>
      <c r="C45" s="256"/>
      <c r="D45" s="256"/>
      <c r="E45" s="256"/>
      <c r="F45" s="256"/>
      <c r="G45" s="256"/>
      <c r="H45" s="256"/>
      <c r="I45" s="256"/>
      <c r="J45" s="256"/>
      <c r="K45" s="256"/>
      <c r="L45" s="256"/>
    </row>
    <row r="46" ht="58" customHeight="1">
      <c r="A46" s="256"/>
      <c r="B46" s="256"/>
      <c r="C46" s="256"/>
      <c r="D46" s="256"/>
      <c r="E46" s="256"/>
      <c r="F46" s="256"/>
      <c r="G46" s="256"/>
      <c r="H46" s="256"/>
      <c r="I46" s="256"/>
      <c r="J46" s="256"/>
      <c r="K46" s="256"/>
      <c r="L46" s="256"/>
    </row>
    <row r="47" ht="58" customHeight="1">
      <c r="A47" s="256"/>
      <c r="B47" s="256"/>
      <c r="C47" s="256"/>
      <c r="D47" s="256"/>
      <c r="E47" s="256"/>
      <c r="F47" s="256"/>
      <c r="G47" s="256"/>
      <c r="H47" s="256"/>
      <c r="I47" s="256"/>
      <c r="J47" s="256"/>
      <c r="K47" s="256"/>
      <c r="L47" s="256"/>
    </row>
    <row r="48" ht="58" customHeight="1">
      <c r="A48" s="256"/>
      <c r="B48" s="256"/>
      <c r="C48" s="256"/>
      <c r="D48" s="256"/>
      <c r="E48" s="256"/>
      <c r="F48" s="256"/>
      <c r="G48" s="256"/>
      <c r="H48" s="256"/>
      <c r="I48" s="256"/>
      <c r="J48" s="256"/>
      <c r="K48" s="256"/>
      <c r="L48" s="256"/>
    </row>
    <row r="49" ht="58" customHeight="1">
      <c r="A49" s="256"/>
      <c r="B49" s="256"/>
      <c r="C49" s="256"/>
      <c r="D49" s="256"/>
      <c r="E49" s="256"/>
      <c r="F49" s="256"/>
      <c r="G49" s="256"/>
      <c r="H49" s="256"/>
      <c r="I49" s="256"/>
      <c r="J49" s="256"/>
      <c r="K49" s="256"/>
      <c r="L49" s="256"/>
    </row>
    <row r="50" ht="58" customHeight="1">
      <c r="A50" s="256"/>
      <c r="B50" s="256"/>
      <c r="C50" s="256"/>
      <c r="D50" s="256"/>
      <c r="E50" s="256"/>
      <c r="F50" s="256"/>
      <c r="G50" s="256"/>
      <c r="H50" s="256"/>
      <c r="I50" s="256"/>
      <c r="J50" s="256"/>
      <c r="K50" s="256"/>
      <c r="L50" s="256"/>
    </row>
    <row r="51" ht="58" customHeight="1">
      <c r="A51" s="256"/>
      <c r="B51" s="256"/>
      <c r="C51" s="256"/>
      <c r="D51" s="256"/>
      <c r="E51" s="256"/>
      <c r="F51" s="256"/>
      <c r="G51" s="256"/>
      <c r="H51" s="256"/>
      <c r="I51" s="256"/>
      <c r="J51" s="256"/>
      <c r="K51" s="256"/>
      <c r="L51" s="256"/>
    </row>
    <row r="52" ht="58" customHeight="1">
      <c r="A52" s="256"/>
      <c r="B52" s="256"/>
      <c r="C52" s="256"/>
      <c r="D52" s="256"/>
      <c r="E52" s="256"/>
      <c r="F52" s="256"/>
      <c r="G52" s="256"/>
      <c r="H52" s="256"/>
      <c r="I52" s="256"/>
      <c r="J52" s="256"/>
      <c r="K52" s="256"/>
      <c r="L52" s="256"/>
    </row>
    <row r="53" ht="58" customHeight="1">
      <c r="A53" s="256"/>
      <c r="B53" s="256"/>
      <c r="C53" s="256"/>
      <c r="D53" s="256"/>
      <c r="E53" s="256"/>
      <c r="F53" s="256"/>
      <c r="G53" s="256"/>
      <c r="H53" s="256"/>
      <c r="I53" s="256"/>
      <c r="J53" s="256"/>
      <c r="K53" s="256"/>
      <c r="L53" s="256"/>
    </row>
    <row r="54" ht="58" customHeight="1">
      <c r="A54" s="256"/>
      <c r="B54" s="256"/>
      <c r="C54" s="256"/>
      <c r="D54" s="256"/>
      <c r="E54" s="256"/>
      <c r="F54" s="256"/>
      <c r="G54" s="256"/>
      <c r="H54" s="256"/>
      <c r="I54" s="256"/>
      <c r="J54" s="256"/>
      <c r="K54" s="256"/>
      <c r="L54" s="256"/>
    </row>
    <row r="55" ht="58" customHeight="1">
      <c r="A55" s="256"/>
      <c r="B55" s="256"/>
      <c r="C55" s="256"/>
      <c r="D55" s="256"/>
      <c r="E55" s="256"/>
      <c r="F55" s="256"/>
      <c r="G55" s="256"/>
      <c r="H55" s="256"/>
      <c r="I55" s="256"/>
      <c r="J55" s="256"/>
      <c r="K55" s="256"/>
      <c r="L55" s="256"/>
    </row>
    <row r="56" ht="58" customHeight="1">
      <c r="A56" s="256"/>
      <c r="B56" s="256"/>
      <c r="C56" s="256"/>
      <c r="D56" s="256"/>
      <c r="E56" s="256"/>
      <c r="F56" s="256"/>
      <c r="G56" s="256"/>
      <c r="H56" s="256"/>
      <c r="I56" s="256"/>
      <c r="J56" s="256"/>
      <c r="K56" s="256"/>
      <c r="L56" s="256"/>
    </row>
    <row r="57" ht="58" customHeight="1">
      <c r="A57" s="256"/>
      <c r="B57" s="256"/>
      <c r="C57" s="256"/>
      <c r="D57" s="256"/>
      <c r="E57" s="256"/>
      <c r="F57" s="256"/>
      <c r="G57" s="256"/>
      <c r="H57" s="256"/>
      <c r="I57" s="256"/>
      <c r="J57" s="256"/>
      <c r="K57" s="256"/>
      <c r="L57" s="256"/>
    </row>
    <row r="58" ht="58" customHeight="1">
      <c r="A58" s="256"/>
      <c r="B58" s="256"/>
      <c r="C58" s="256"/>
      <c r="D58" s="256"/>
      <c r="E58" s="256"/>
      <c r="F58" s="256"/>
      <c r="G58" s="256"/>
      <c r="H58" s="256"/>
      <c r="I58" s="256"/>
      <c r="J58" s="256"/>
      <c r="K58" s="256"/>
      <c r="L58" s="256"/>
    </row>
    <row r="59" ht="58" customHeight="1">
      <c r="A59" s="256"/>
      <c r="B59" s="256"/>
      <c r="C59" s="256"/>
      <c r="D59" s="256"/>
      <c r="E59" s="256"/>
      <c r="F59" s="256"/>
      <c r="G59" s="256"/>
      <c r="H59" s="256"/>
      <c r="I59" s="256"/>
      <c r="J59" s="256"/>
      <c r="K59" s="256"/>
      <c r="L59" s="256"/>
    </row>
    <row r="60" ht="58" customHeight="1">
      <c r="A60" s="256"/>
      <c r="B60" s="256"/>
      <c r="C60" s="256"/>
      <c r="D60" s="256"/>
      <c r="E60" s="256"/>
      <c r="F60" s="256"/>
      <c r="G60" s="256"/>
      <c r="H60" s="256"/>
      <c r="I60" s="256"/>
      <c r="J60" s="256"/>
      <c r="K60" s="256"/>
      <c r="L60" s="256"/>
    </row>
    <row r="61" ht="58" customHeight="1">
      <c r="A61" s="256"/>
      <c r="B61" s="256"/>
      <c r="C61" s="256"/>
      <c r="D61" s="256"/>
      <c r="E61" s="256"/>
      <c r="F61" s="256"/>
      <c r="G61" s="256"/>
      <c r="H61" s="256"/>
      <c r="I61" s="256"/>
      <c r="J61" s="256"/>
      <c r="K61" s="256"/>
      <c r="L61" s="256"/>
    </row>
    <row r="62" ht="58" customHeight="1">
      <c r="A62" s="256"/>
      <c r="B62" s="256"/>
      <c r="C62" s="256"/>
      <c r="D62" s="256"/>
      <c r="E62" s="256"/>
      <c r="F62" s="256"/>
      <c r="G62" s="256"/>
      <c r="H62" s="256"/>
      <c r="I62" s="256"/>
      <c r="J62" s="256"/>
      <c r="K62" s="256"/>
      <c r="L62" s="256"/>
    </row>
    <row r="63" ht="58" customHeight="1">
      <c r="A63" s="256"/>
      <c r="B63" s="256"/>
      <c r="C63" s="256"/>
      <c r="D63" s="256"/>
      <c r="E63" s="256"/>
      <c r="F63" s="256"/>
      <c r="G63" s="256"/>
    </row>
    <row r="64" ht="58" customHeight="1">
      <c r="A64" s="256"/>
      <c r="B64" s="256"/>
      <c r="C64" s="256"/>
      <c r="D64" s="256"/>
      <c r="E64" s="256"/>
      <c r="F64" s="256"/>
      <c r="G64" s="256"/>
    </row>
    <row r="65" ht="58" customHeight="1">
      <c r="A65" s="256"/>
      <c r="B65" s="256"/>
      <c r="C65" s="256"/>
      <c r="D65" s="256"/>
      <c r="E65" s="256"/>
      <c r="F65" s="256"/>
      <c r="G65" s="256"/>
    </row>
    <row r="66" ht="58" customHeight="1">
      <c r="A66" s="256"/>
      <c r="B66" s="256"/>
      <c r="C66" s="256"/>
      <c r="D66" s="256"/>
      <c r="E66" s="256"/>
      <c r="F66" s="256"/>
      <c r="G66" s="256"/>
    </row>
    <row r="67" ht="58" customHeight="1">
      <c r="A67" s="256"/>
      <c r="B67" s="256"/>
      <c r="C67" s="256"/>
      <c r="D67" s="256"/>
      <c r="E67" s="256"/>
      <c r="F67" s="256"/>
      <c r="G67" s="256"/>
    </row>
    <row r="68" ht="58" customHeight="1">
      <c r="A68" s="256"/>
      <c r="B68" s="256"/>
      <c r="C68" s="256"/>
      <c r="D68" s="256"/>
      <c r="E68" s="256"/>
      <c r="F68" s="256"/>
      <c r="G68" s="256"/>
    </row>
    <row r="69" ht="58" customHeight="1">
      <c r="A69" s="256"/>
      <c r="B69" s="256"/>
      <c r="C69" s="256"/>
      <c r="D69" s="256"/>
      <c r="E69" s="256"/>
      <c r="F69" s="256"/>
      <c r="G69" s="256"/>
    </row>
  </sheetData>
  <mergeCells>
    <mergeCell ref="A1:G1"/>
    <mergeCell ref="A2:G2"/>
  </mergeCells>
  <pageMargins left="0.7" right="0.7" top="0.75" bottom="0.75" header="0.3" footer="0.3"/>
  <tableParts count="1">
    <tablePart ns1:id="R8550251da4dc48b4"/>
  </tableParts>
</worksheet>
</file>

<file path=xl/worksheets/sheet12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2" ySplit="4" topLeftCell="C5" activePane="bottomRight" state="frozen"/>
    </sheetView>
  </sheetViews>
  <sheetFormatPr defaultRowHeight="15"/>
  <cols>
    <col min="1" max="1" width="16" hidden="0" customWidth="1"/>
    <col min="2" max="2" width="31" hidden="0" customWidth="1"/>
    <col min="3" max="3" width="30" hidden="0" customWidth="1"/>
    <col min="4" max="4" width="35" hidden="0" customWidth="1"/>
    <col min="5" max="5" width="28" hidden="0" customWidth="1"/>
    <col min="6" max="6" width="14" hidden="0" customWidth="1"/>
    <col min="7" max="7" width="20" hidden="0" customWidth="1"/>
    <col min="8" max="8" width="13" hidden="0" customWidth="1"/>
    <col min="9" max="9" width="37" hidden="0" customWidth="1"/>
    <col min="10" max="10" width="36" hidden="0" customWidth="1"/>
    <col min="11" max="11" width="38" hidden="0" customWidth="1"/>
    <col min="12" max="12" width="28" hidden="0" customWidth="1"/>
    <col min="13" max="13" width="15" hidden="0" customWidth="1"/>
    <col min="14" max="14" width="28" hidden="0" customWidth="1"/>
    <col min="15" max="15" width="16" hidden="0" customWidth="1"/>
    <col min="16" max="16" width="10" hidden="0" customWidth="1"/>
    <col min="17" max="17" width="20" hidden="0" customWidth="1"/>
  </cols>
  <sheetData>
    <row r="1">
      <c r="A1" s="1216" t="str">
        <v>華沙・波蘭當地特色菜｜所有菜色詳細說明集中在這一頁</v>
      </c>
      <c r="B1" s="380"/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  <c r="O1" s="377"/>
      <c r="P1" s="377"/>
    </row>
    <row r="2">
      <c r="A2" s="1178" t="str">
        <v>菜色頁：✅＝已安排嘗試機會（不代表已吃）；🟡＝有胃口才補；⚪＝不強求。餐廳營業看「訂位與待辦」。照片為真實菜色，來源欄註明是否指定餐廳出品。</v>
      </c>
      <c r="B2" s="1178"/>
      <c r="C2" s="1178"/>
      <c r="D2" s="1178"/>
      <c r="E2" s="1178"/>
      <c r="F2" s="1178"/>
      <c r="G2" s="1178"/>
      <c r="H2" s="1178"/>
      <c r="I2" s="1178"/>
      <c r="J2" s="1178"/>
      <c r="K2" s="1178"/>
      <c r="L2" s="1178"/>
      <c r="M2" s="1178"/>
      <c r="N2" s="1178"/>
      <c r="O2" s="1213"/>
      <c r="P2" s="1213"/>
    </row>
    <row r="3">
      <c r="A3" s="1214" t="str">
        <v>每餐一款核心菜＋一至兩款共享配菜；不用完成所有菜色。照片直接嵌入，沒有核實照片就留空。</v>
      </c>
      <c r="B3" s="1214"/>
      <c r="C3" s="1214"/>
      <c r="D3" s="1214"/>
      <c r="E3" s="1214"/>
      <c r="F3" s="1214"/>
      <c r="G3" s="1214"/>
      <c r="H3" s="1214"/>
      <c r="I3" s="1214"/>
      <c r="J3" s="1214"/>
      <c r="K3" s="1214"/>
      <c r="L3" s="1214"/>
      <c r="M3" s="1214"/>
      <c r="N3" s="1214"/>
      <c r="O3" s="1178"/>
      <c r="P3" s="1178"/>
    </row>
    <row r="4" ht="40" customHeight="1">
      <c r="A4" s="1267" t="str">
        <v>類別</v>
      </c>
      <c r="B4" s="1267" t="str">
        <v>波蘭文</v>
      </c>
      <c r="C4" s="1267" t="str">
        <v>English</v>
      </c>
      <c r="D4" s="1267" t="str">
        <v>中文／是什麼</v>
      </c>
      <c r="E4" s="1267" t="str">
        <v>味道／口感</v>
      </c>
      <c r="F4" s="1267" t="str">
        <v>推薦程度</v>
      </c>
      <c r="G4" s="1267" t="str">
        <v>本次狀態</v>
      </c>
      <c r="H4" s="1267" t="str">
        <v>安排日期</v>
      </c>
      <c r="I4" s="1267" t="str">
        <v>去哪裡吃／怎樣補</v>
      </c>
      <c r="J4" s="1267" t="str">
        <v>避免重複的點法</v>
      </c>
      <c r="K4" s="1267" t="str">
        <v>實際照片（直接嵌入）</v>
      </c>
      <c r="L4" s="1267" t="str">
        <v>主要來源</v>
      </c>
      <c r="M4" s="1267" t="str">
        <v>是否華沙特色</v>
      </c>
      <c r="N4" s="1267" t="str">
        <v>備註</v>
      </c>
      <c r="O4" s="1271" t="str">
        <v>安排狀態說明</v>
      </c>
      <c r="P4" s="1271" t="str">
        <v>優先度</v>
      </c>
      <c r="Q4" s="1275" t="str">
        <v>實際品嚐狀態</v>
      </c>
    </row>
    <row r="5" ht="180" customHeight="1">
      <c r="A5" s="1178" t="str">
        <v>華沙特色</v>
      </c>
      <c r="B5" s="1178" t="str">
        <v>Śledź po warszawsku / śledź w oleju</v>
      </c>
      <c r="C5" s="1178" t="str">
        <v>Warsaw-style herring / herring in oil</v>
      </c>
      <c r="D5" s="1178" t="str">
        <v>華沙式鯡魚／油漬鯡魚</v>
      </c>
      <c r="E5" s="1178" t="str">
        <v>鹹鮮、洋蔥香、偏冷前菜</v>
      </c>
      <c r="F5" s="1178" t="str">
        <v>★★★★★</v>
      </c>
      <c r="G5" s="1182" t="str">
        <v>✅ 12/24 晚候選</v>
      </c>
      <c r="H5" s="1178" t="str">
        <v>12/24</v>
      </c>
      <c r="I5" s="1178" t="str">
        <v>尚未安排；向保留的傳統波蘭餐廳核對供應，不保證在新餐廳吃到</v>
      </c>
      <c r="J5" s="1178" t="str">
        <v>只點一小份兩人分，不要再加另一款鯡魚</v>
      </c>
      <c r="K5" s="1178"/>
      <c r="L5" s="1178" t="str">
        <v>真實菜色照片（非指定餐廳出品）
照片來源：https://www.arrivalguides.com/en/Travelguide/WARSAW/dining/herring-warsaw-style-121343
來源頁實拍；僅作私人行程辨識。</v>
      </c>
      <c r="M5" s="1178" t="str">
        <v>是</v>
      </c>
      <c r="N5" s="1178" t="str">
        <v>平安夜非常合適</v>
      </c>
      <c r="O5" s="1178" t="str">
        <v>菜單／供應及胃口為準</v>
      </c>
      <c r="P5" s="1178"/>
      <c r="Q5" t="str">
        <v>未吃</v>
      </c>
    </row>
    <row r="6" ht="180" customHeight="1">
      <c r="A6" s="1178" t="str">
        <v>華沙特色</v>
      </c>
      <c r="B6" s="1178" t="str">
        <v>Nóżki w galarecie / zimne nóżki</v>
      </c>
      <c r="C6" s="1178" t="str">
        <v>Jellied pork trotters</v>
      </c>
      <c r="D6" s="1178" t="str">
        <v>豬腳凍／豬肉啫喱冷盤</v>
      </c>
      <c r="E6" s="1178" t="str">
        <v>肉凍清爽帶醋香，老派華沙前菜</v>
      </c>
      <c r="F6" s="1178" t="str">
        <v>★★★★★</v>
      </c>
      <c r="G6" s="1182" t="str">
        <v>✅ 12/24 午餐</v>
      </c>
      <c r="H6" s="1178" t="str">
        <v>12/24</v>
      </c>
      <c r="I6" s="1178" t="str">
        <v>Podwale 25：Zimne nóżki</v>
      </c>
      <c r="J6" s="1178" t="str">
        <v>兩人共享一份前菜</v>
      </c>
      <c r="K6" s="1178"/>
      <c r="L6" s="1178" t="str">
        <v>真實菜色照片（非指定餐廳出品）
照片來源：https://www.polishyourkitchen.com/polish-pork-aspic-galareta-z-nozek-zimne-nozki-zimne-nogi-studzienina/
來源頁實拍；僅作私人行程辨識。</v>
      </c>
      <c r="M6" s="1178" t="str">
        <v>是</v>
      </c>
      <c r="N6" s="1178" t="str">
        <v>比再喝一碗 żurek 更值得</v>
      </c>
      <c r="O6" s="1178" t="str">
        <v>菜單／供應及胃口為準</v>
      </c>
      <c r="P6" s="1178"/>
      <c r="Q6" t="str">
        <v>未吃</v>
      </c>
    </row>
    <row r="7" ht="180" customHeight="1">
      <c r="A7" s="1178" t="str">
        <v>華沙特色</v>
      </c>
      <c r="B7" s="1178" t="str">
        <v>Pyzy z mięsem</v>
      </c>
      <c r="C7" s="1178" t="str">
        <v>Potato dumplings with meat</v>
      </c>
      <c r="D7" s="1178" t="str">
        <v>肉餡馬鈴薯糰子</v>
      </c>
      <c r="E7" s="1178" t="str">
        <v>黏糯、肉香、豬油洋蔥 topping 很重要</v>
      </c>
      <c r="F7" s="1178" t="str">
        <v>★★★★★</v>
      </c>
      <c r="G7" s="1182" t="str">
        <v>✅ 12/26 晚餐</v>
      </c>
      <c r="H7" s="1178" t="str">
        <v>12/26</v>
      </c>
      <c r="I7" s="1178" t="str">
        <v>尚未安排；向保留的傳統波蘭餐廳核對供應，不保證在新餐廳吃到</v>
      </c>
      <c r="J7" s="1178" t="str">
        <v>兩人點 1–2 種 topping，別再點大主菜</v>
      </c>
      <c r="K7" s="1178"/>
      <c r="L7" s="1178" t="str">
        <v>真實菜色照片（非指定餐廳出品）
照片來源：https://smaker.pl/przepisy-dania-glowne/przepis-pyzy-z-miesem%2C1938284%2Csmaker.html
來源頁實拍；僅作私人行程辨識。</v>
      </c>
      <c r="M7" s="1178" t="str">
        <v>是</v>
      </c>
      <c r="N7" s="1178" t="str">
        <v>Praga 代表性很強</v>
      </c>
      <c r="O7" s="1178" t="str">
        <v>菜單／供應及胃口為準</v>
      </c>
      <c r="P7" s="1178"/>
      <c r="Q7" t="str">
        <v>未吃</v>
      </c>
    </row>
    <row r="8" ht="180" customHeight="1">
      <c r="A8" s="1178" t="str">
        <v>華沙特色</v>
      </c>
      <c r="B8" s="1178" t="str">
        <v>Flaki po warszawsku z pulpetami</v>
      </c>
      <c r="C8" s="1178" t="str">
        <v>Warsaw-style tripe with meatballs</v>
      </c>
      <c r="D8" s="1178" t="str">
        <v>華沙式牛肚湯＋肉丸</v>
      </c>
      <c r="E8" s="1178" t="str">
        <v>胡椒肉湯、牛肚口感，冬天很適合</v>
      </c>
      <c r="F8" s="1178" t="str">
        <v>★★★★★</v>
      </c>
      <c r="G8" s="1182" t="str">
        <v>✅ 12/25 晚候選</v>
      </c>
      <c r="H8" s="1178" t="str">
        <v>12/25</v>
      </c>
      <c r="I8" s="1178" t="str">
        <v>12/26 U Wieniawy 候選；先確認華沙式牛肚湯供應</v>
      </c>
      <c r="J8" s="1178" t="str">
        <v>兩人共享一碗；若當天沒有供應便保留為未吃，不勉強補餐</v>
      </c>
      <c r="K8" s="1178"/>
      <c r="L8" s="1178" t="str">
        <v>https://go2warsaw.pl/en/what-to-eat-in-warsaw/</v>
      </c>
      <c r="M8" s="1178" t="str">
        <v>是</v>
      </c>
      <c r="N8" s="1178" t="str">
        <v>一定要至少吃一次</v>
      </c>
      <c r="O8" s="1178" t="str">
        <v>菜單／供應及胃口為準</v>
      </c>
      <c r="P8" s="1178"/>
      <c r="Q8" t="str">
        <v>未吃</v>
      </c>
    </row>
    <row r="9" ht="180" customHeight="1">
      <c r="A9" s="1127" t="str">
        <v>華沙甜點</v>
      </c>
      <c r="B9" s="1127" t="str">
        <v>Wuzetka</v>
      </c>
      <c r="C9" s="1127" t="str">
        <v>W-Z chocolate cream cake</v>
      </c>
      <c r="D9" s="1127" t="str">
        <v>W-Z 巧克力鮮忌廉蛋糕</v>
      </c>
      <c r="E9" s="1127" t="str">
        <v>可可蛋糕＋鮮忌廉，華沙戰後代表甜點</v>
      </c>
      <c r="F9" s="1127" t="str">
        <v>★★★★★ 必吃・你指定</v>
      </c>
      <c r="G9" s="1130" t="str">
        <v>🎉 想吃清單・優先安排</v>
      </c>
      <c r="H9" s="1127" t="str">
        <v>12/23–26</v>
      </c>
      <c r="I9" s="1127" t="str">
        <v>老城／市中心傳統 cukiernia；優先核對 Wuzetka 供應，兩人分一件</v>
      </c>
      <c r="J9" s="1127" t="str">
        <v>不要再同一時段吃 pączek/sernik</v>
      </c>
      <c r="K9" s="1127"/>
      <c r="L9" s="1127" t="str">
        <v>真實菜色照片（非指定餐廳出品）
照片來源：https://www.shokoladki.ru/articles/natsionalnye-shokoladnye-deserty/
來源頁實拍；僅作私人行程辨識。</v>
      </c>
      <c r="M9" s="1127" t="str">
        <v>是</v>
      </c>
      <c r="N9" s="1127" t="str">
        <v>華沙代表甜點；你指定想吃，優先保留品嚐機會</v>
      </c>
      <c r="O9" s="1127" t="str">
        <v>你指定想吃；店家／供應待確認，不代表已安排或已吃</v>
      </c>
      <c r="P9" s="1127" t="str">
        <v>最高（你指定）</v>
      </c>
      <c r="Q9" t="str">
        <v>未吃</v>
      </c>
    </row>
    <row r="10" ht="180" customHeight="1">
      <c r="A10" s="1127" t="str">
        <v>華沙甜點</v>
      </c>
      <c r="B10" s="1127" t="str">
        <v>Zygmuntówka</v>
      </c>
      <c r="C10" s="1127" t="str">
        <v>Zygmunt cake</v>
      </c>
      <c r="D10" s="1127" t="str">
        <v>杏仁蛋糕＋巧克力 mousse＋蔓越莓果醬＋蛋白霜</v>
      </c>
      <c r="E10" s="1127" t="str">
        <v>甜、層次多，現代華沙代表甜點</v>
      </c>
      <c r="F10" s="1127" t="str">
        <v>★★★★☆</v>
      </c>
      <c r="G10" s="1130" t="str">
        <v>🟡 見到才補</v>
      </c>
      <c r="H10" s="1127" t="str">
        <v>12/24</v>
      </c>
      <c r="I10" s="1127" t="str">
        <v>Old Town／Castle Square 周邊傳統甜點店</v>
      </c>
      <c r="J10" s="1127" t="str">
        <v>優先 Wuzetka；Zygmuntówka 只在還有胃口時補</v>
      </c>
      <c r="K10" s="1127"/>
      <c r="L10" s="1127" t="str">
        <v>https://go2warsaw.pl/en/what-to-eat-in-warsaw/</v>
      </c>
      <c r="M10" s="1127" t="str">
        <v>是</v>
      </c>
      <c r="N10" s="1127" t="str">
        <v>不是每店都有</v>
      </c>
      <c r="O10" s="1127" t="str">
        <v>菜單／供應及胃口為準</v>
      </c>
      <c r="P10" s="1127"/>
      <c r="Q10" t="str">
        <v>未吃</v>
      </c>
    </row>
    <row r="11" ht="180" customHeight="1">
      <c r="A11" s="1127" t="str">
        <v>華沙甜點</v>
      </c>
      <c r="B11" s="1127" t="str">
        <v>Czekolada Wedla</v>
      </c>
      <c r="C11" s="1127" t="str">
        <v>Wedel hot chocolate</v>
      </c>
      <c r="D11" s="1127" t="str">
        <v>Wedel 熱朱古力</v>
      </c>
      <c r="E11" s="1127" t="str">
        <v>濃厚、甜、冬天暖身</v>
      </c>
      <c r="F11" s="1127" t="str">
        <v>★★★★☆</v>
      </c>
      <c r="G11" s="1130" t="str">
        <v>🟡 天冷時補</v>
      </c>
      <c r="H11" s="1127" t="str">
        <v>12/24–26</v>
      </c>
      <c r="I11" s="1127" t="str">
        <v>Pijalnia Czekolady E.Wedel；天冷才順路喝，不列咖啡頁</v>
      </c>
      <c r="J11" s="1127" t="str">
        <v>當飲品，不另點大甜點</v>
      </c>
      <c r="K11" s="1127"/>
      <c r="L11" s="1127" t="str">
        <v>真實菜色照片（非指定餐廳出品）
照片來源：https://wkuchnizwedlem.wedel.pl/przepis/torcik-czekoladowy-przekladany-kremem-chalwowym
來源頁實拍；僅作私人行程辨識。</v>
      </c>
      <c r="M11" s="1127" t="str">
        <v>是</v>
      </c>
      <c r="N11" s="1127" t="str">
        <v>品牌體驗</v>
      </c>
      <c r="O11" s="1127" t="str">
        <v>菜單／供應及胃口為準</v>
      </c>
      <c r="P11" s="1127"/>
      <c r="Q11" t="str">
        <v>未吃</v>
      </c>
    </row>
    <row r="12" ht="180" customHeight="1">
      <c r="A12" s="1178" t="str">
        <v>湯</v>
      </c>
      <c r="B12" s="1178" t="str">
        <v>Żurek</v>
      </c>
      <c r="C12" s="1178" t="str">
        <v>Sour rye soup</v>
      </c>
      <c r="D12" s="1178" t="str">
        <v>酸黑麥發酵湯，常有白腸＋蛋</v>
      </c>
      <c r="E12" s="1178" t="str">
        <v>酸香、煙燻肉味、冬天飽足</v>
      </c>
      <c r="F12" s="1178" t="str">
        <v>★★★★★</v>
      </c>
      <c r="G12" s="1182" t="str">
        <v>✅ 12/23 晚餐</v>
      </c>
      <c r="H12" s="1178" t="str">
        <v>12/23</v>
      </c>
      <c r="I12" s="1178" t="str">
        <v>Stary Dom</v>
      </c>
      <c r="J12" s="1178" t="str">
        <v>本趟只喝一次正式版本，之後不重複</v>
      </c>
      <c r="K12" s="1178"/>
      <c r="L12" s="1178" t="str">
        <v>https://www.poland.travel/en/flavours-of-polish-cuisine/</v>
      </c>
      <c r="M12" s="1178" t="str">
        <v>全國</v>
      </c>
      <c r="N12" s="1178" t="str">
        <v>核心必吃</v>
      </c>
      <c r="O12" s="1178" t="str">
        <v>菜單／供應及胃口為準</v>
      </c>
      <c r="P12" s="1178"/>
      <c r="Q12" t="str">
        <v>未吃</v>
      </c>
    </row>
    <row r="13" ht="180" customHeight="1">
      <c r="A13" s="1127" t="str">
        <v>湯</v>
      </c>
      <c r="B13" s="1127" t="str">
        <v>Barszcz czerwony</v>
      </c>
      <c r="C13" s="1127" t="str">
        <v>Red beet borscht</v>
      </c>
      <c r="D13" s="1127" t="str">
        <v>清澈紅菜頭湯</v>
      </c>
      <c r="E13" s="1127" t="str">
        <v>酸甜、清爽</v>
      </c>
      <c r="F13" s="1127" t="str">
        <v>★★★★★</v>
      </c>
      <c r="G13" s="1130" t="str">
        <v>🟡 可補</v>
      </c>
      <c r="H13" s="1127" t="str">
        <v>12/24</v>
      </c>
      <c r="I13" s="1127" t="str">
        <v>若平安夜直接吃 barszcz z uszkami，這項視為完成</v>
      </c>
      <c r="J13" s="1127" t="str">
        <v>不需要再單點純 barszcz</v>
      </c>
      <c r="K13" s="1127"/>
      <c r="L13" s="1127" t="str">
        <v>真實菜色照片（非指定餐廳出品）
照片來源：https://catering.piast.com/products/red-borscht
來源頁實拍；僅作私人行程辨識。</v>
      </c>
      <c r="M13" s="1127" t="str">
        <v>全國</v>
      </c>
      <c r="N13" s="1127" t="str">
        <v>冬季很適合</v>
      </c>
      <c r="O13" s="1127" t="str">
        <v>菜單／供應及胃口為準</v>
      </c>
      <c r="P13" s="1127"/>
      <c r="Q13" t="str">
        <v>未吃</v>
      </c>
    </row>
    <row r="14" ht="180" customHeight="1">
      <c r="A14" s="1178" t="str">
        <v>聖誕湯</v>
      </c>
      <c r="B14" s="1178" t="str">
        <v>Barszcz czerwony z uszkami</v>
      </c>
      <c r="C14" s="1178" t="str">
        <v>Red borscht with mushroom dumplings</v>
      </c>
      <c r="D14" s="1178" t="str">
        <v>紅菜頭湯＋迷你蘑菇耳朵餃</v>
      </c>
      <c r="E14" s="1178" t="str">
        <v>酸甜湯＋森林菇香</v>
      </c>
      <c r="F14" s="1178" t="str">
        <v>★★★★★</v>
      </c>
      <c r="G14" s="1182" t="str">
        <v>✅ 12/24 晚候選</v>
      </c>
      <c r="H14" s="1178" t="str">
        <v>12/24</v>
      </c>
      <c r="I14" s="1178" t="str">
        <v>尚未安排；向保留的傳統波蘭餐廳核對供應，不保證在新餐廳吃到</v>
      </c>
      <c r="J14" s="1178" t="str">
        <v>這道取代普通 barszcz</v>
      </c>
      <c r="K14" s="1178"/>
      <c r="L14" s="1178" t="str">
        <v>真實菜色照片（非指定餐廳出品）
照片來源：https://www.lot.com/pl/pl/odkrywaj/inspiracje/blog-podrozniczy/tradycje-bozonarodzeniowe-w-polsce
來源頁實拍；僅作私人行程辨識。</v>
      </c>
      <c r="M14" s="1178" t="str">
        <v>全國／聖誕</v>
      </c>
      <c r="N14" s="1178" t="str">
        <v>平安夜重點</v>
      </c>
      <c r="O14" s="1178" t="str">
        <v>菜單／供應及胃口為準</v>
      </c>
      <c r="P14" s="1178"/>
      <c r="Q14" t="str">
        <v>未吃</v>
      </c>
    </row>
    <row r="15" ht="180" customHeight="1">
      <c r="A15" s="1178" t="str">
        <v>湯</v>
      </c>
      <c r="B15" s="1178" t="str">
        <v>Rosół</v>
      </c>
      <c r="C15" s="1178" t="str">
        <v>Chicken broth with noodles</v>
      </c>
      <c r="D15" s="1178" t="str">
        <v>波蘭雞湯＋幼麵</v>
      </c>
      <c r="E15" s="1178" t="str">
        <v>清澈、雞肉香、家庭星期日味道</v>
      </c>
      <c r="F15" s="1178" t="str">
        <v>★★★★☆</v>
      </c>
      <c r="G15" s="1182" t="str">
        <v>✅ 12/25 午餐候選</v>
      </c>
      <c r="H15" s="1178" t="str">
        <v>12/25</v>
      </c>
      <c r="I15" s="1178" t="str">
        <v>尚未安排；向保留的傳統波蘭餐廳核對供應，不保證在新餐廳吃到</v>
      </c>
      <c r="J15" s="1178" t="str">
        <v>一小碗共享，主菜還很多</v>
      </c>
      <c r="K15" s="1178"/>
      <c r="L15" s="1178" t="str">
        <v>真實菜色照片（非指定餐廳出品）
照片來源：https://www.kwestiasmaku.com/kuchnia_polska/rosol/przepis.html
來源頁實拍；僅作私人行程辨識。</v>
      </c>
      <c r="M15" s="1178" t="str">
        <v>全國</v>
      </c>
      <c r="N15" s="1178" t="str">
        <v>簡單但非常日常</v>
      </c>
      <c r="O15" s="1178" t="str">
        <v>菜單／供應及胃口為準</v>
      </c>
      <c r="P15" s="1178"/>
      <c r="Q15" t="str">
        <v>未吃</v>
      </c>
    </row>
    <row r="16" ht="180" customHeight="1">
      <c r="A16" s="1178" t="str">
        <v>湯</v>
      </c>
      <c r="B16" s="1178" t="str">
        <v>Zupa grzybowa</v>
      </c>
      <c r="C16" s="1178" t="str">
        <v>Wild mushroom soup</v>
      </c>
      <c r="D16" s="1178" t="str">
        <v>野菌／森林蘑菇湯</v>
      </c>
      <c r="E16" s="1178" t="str">
        <v>菇香濃、冬季味</v>
      </c>
      <c r="F16" s="1178" t="str">
        <v>★★★★☆</v>
      </c>
      <c r="G16" s="1182" t="str">
        <v>✅ 12/24 晚候選</v>
      </c>
      <c r="H16" s="1178" t="str">
        <v>12/24</v>
      </c>
      <c r="I16" s="1178" t="str">
        <v>尚未安排；向保留的傳統波蘭餐廳核對供應，不保證在新餐廳吃到</v>
      </c>
      <c r="J16" s="1178" t="str">
        <v>若同餐有 barszcz，就兩人只各試少量／依 set menu</v>
      </c>
      <c r="K16" s="1178"/>
      <c r="L16" s="1178" t="str">
        <v>真實菜色照片（非指定餐廳出品）
照片來源：https://patronite.pl/post/91590/zupa-grzybowa
來源頁實拍；僅作私人行程辨識。</v>
      </c>
      <c r="M16" s="1178" t="str">
        <v>全國／聖誕</v>
      </c>
      <c r="N16" s="1178" t="str">
        <v>節日代表</v>
      </c>
      <c r="O16" s="1178" t="str">
        <v>菜單／供應及胃口為準</v>
      </c>
      <c r="P16" s="1178"/>
      <c r="Q16" t="str">
        <v>未吃</v>
      </c>
    </row>
    <row r="17" ht="180" customHeight="1">
      <c r="A17" s="1127" t="str">
        <v>湯</v>
      </c>
      <c r="B17" s="1127" t="str">
        <v>Zupa ogórkowa</v>
      </c>
      <c r="C17" s="1127" t="str">
        <v>Dill pickle soup</v>
      </c>
      <c r="D17" s="1127" t="str">
        <v>酸青瓜湯</v>
      </c>
      <c r="E17" s="1127" t="str">
        <v>酸、鹹、奶香／薯仔感</v>
      </c>
      <c r="F17" s="1127" t="str">
        <v>★★★★☆</v>
      </c>
      <c r="G17" s="1130" t="str">
        <v>🟡 奶吧看到就補</v>
      </c>
      <c r="H17" s="1127" t="str">
        <v>12/23–26</v>
      </c>
      <c r="I17" s="1127" t="str">
        <v>Bar mleczny 當日湯若剛好有</v>
      </c>
      <c r="J17" s="1127" t="str">
        <v>有就用它取代普通 zupa dnia</v>
      </c>
      <c r="K17" s="1127"/>
      <c r="L17" s="1127" t="str">
        <v>https://www.poland.travel/en/flavours-of-polish-cuisine/</v>
      </c>
      <c r="M17" s="1127" t="str">
        <v>全國</v>
      </c>
      <c r="N17" s="1127" t="str">
        <v>不值得專程</v>
      </c>
      <c r="O17" s="1127" t="str">
        <v>菜單／供應及胃口為準</v>
      </c>
      <c r="P17" s="1127"/>
      <c r="Q17" t="str">
        <v>未吃</v>
      </c>
    </row>
    <row r="18" ht="180" customHeight="1">
      <c r="A18" s="1156" t="str">
        <v>湯</v>
      </c>
      <c r="B18" s="1156" t="str">
        <v>Zupa pomidorowa</v>
      </c>
      <c r="C18" s="1156" t="str">
        <v>Tomato soup with rice/noodles</v>
      </c>
      <c r="D18" s="1156" t="str">
        <v>波蘭番茄湯</v>
      </c>
      <c r="E18" s="1156" t="str">
        <v>柔和酸甜、很家常</v>
      </c>
      <c r="F18" s="1156" t="str">
        <v>★★★☆☆</v>
      </c>
      <c r="G18" s="1160" t="str">
        <v>⚪ 不強求</v>
      </c>
      <c r="H18" s="1156"/>
      <c r="I18" s="1156" t="str">
        <v>奶吧看到才試</v>
      </c>
      <c r="J18" s="1156" t="str">
        <v>和其他特色湯相比優先度較低</v>
      </c>
      <c r="K18" s="1156"/>
      <c r="L18" s="1156" t="str">
        <v>真實菜色照片（非指定餐廳出品）
照片來源：https://www.snapcalorie.com/nutrition/polish_zupa_pomidorowa_nutrition.html
來源頁實拍；僅作私人行程辨識。</v>
      </c>
      <c r="M18" s="1156" t="str">
        <v>全國</v>
      </c>
      <c r="N18" s="1156" t="str">
        <v>家庭菜</v>
      </c>
      <c r="O18" s="1156" t="str">
        <v>菜單／供應及胃口為準</v>
      </c>
      <c r="P18" s="1156"/>
      <c r="Q18" t="str">
        <v>未吃</v>
      </c>
    </row>
    <row r="19" ht="180" customHeight="1">
      <c r="A19" s="1127" t="str">
        <v>湯</v>
      </c>
      <c r="B19" s="1127" t="str">
        <v>Grochówka</v>
      </c>
      <c r="C19" s="1127" t="str">
        <v>Split pea soup</v>
      </c>
      <c r="D19" s="1127" t="str">
        <v>豌豆濃湯，常帶煙肉／香腸</v>
      </c>
      <c r="E19" s="1127" t="str">
        <v>濃厚、煙燻、非常飽</v>
      </c>
      <c r="F19" s="1127" t="str">
        <v>★★★☆☆</v>
      </c>
      <c r="G19" s="1130" t="str">
        <v>🟡 冬天看到可補</v>
      </c>
      <c r="H19" s="1127"/>
      <c r="I19" s="1127" t="str">
        <v>奶吧／傳統餐館</v>
      </c>
      <c r="J19" s="1127" t="str">
        <v>不要和 żurek 同餐</v>
      </c>
      <c r="K19" s="1127"/>
      <c r="L19" s="1127" t="str">
        <v>真實菜色照片（非指定餐廳出品）
照片來源：https://kuchnia.wp.pl/grochowka-po-czestochowsku-przepis-na-pysza-i-rozgrzewajaca-zupe-6604164419876993a
來源頁實拍；僅作私人行程辨識。</v>
      </c>
      <c r="M19" s="1127" t="str">
        <v>全國</v>
      </c>
      <c r="N19" s="1127" t="str">
        <v>軍隊／家常風格</v>
      </c>
      <c r="O19" s="1127" t="str">
        <v>菜單／供應及胃口為準</v>
      </c>
      <c r="P19" s="1127"/>
      <c r="Q19" t="str">
        <v>未吃</v>
      </c>
    </row>
    <row r="20" ht="180" customHeight="1">
      <c r="A20" s="1178" t="str">
        <v>餃子</v>
      </c>
      <c r="B20" s="1178" t="str">
        <v>Pierogi ruskie</v>
      </c>
      <c r="C20" s="1178" t="str">
        <v>Potato &amp; twaróg dumplings</v>
      </c>
      <c r="D20" s="1178" t="str">
        <v>薯仔＋白乳酪餃子</v>
      </c>
      <c r="E20" s="1178" t="str">
        <v>柔軟、微酸乳酪、洋蔥香</v>
      </c>
      <c r="F20" s="1178" t="str">
        <v>★★★★★</v>
      </c>
      <c r="G20" s="1182" t="str">
        <v>✅ 12/24 午餐</v>
      </c>
      <c r="H20" s="1178" t="str">
        <v>12/24</v>
      </c>
      <c r="I20" s="1178" t="str">
        <v>Podwale 25</v>
      </c>
      <c r="J20" s="1178" t="str">
        <v>點一小份共享；不要每餐都吃 pierogi</v>
      </c>
      <c r="K20" s="1178"/>
      <c r="L20" s="1178" t="str">
        <v>真實菜色照片（非指定餐廳出品）
照片來源：https://www.osmwloszczowa.com.pl/przepis/pierogi-ruskie
來源頁實拍；僅作私人行程辨識。</v>
      </c>
      <c r="M20" s="1178" t="str">
        <v>全國</v>
      </c>
      <c r="N20" s="1178" t="str">
        <v>經典</v>
      </c>
      <c r="O20" s="1178" t="str">
        <v>菜單／供應及胃口為準</v>
      </c>
      <c r="P20" s="1178"/>
      <c r="Q20" t="str">
        <v>未吃</v>
      </c>
    </row>
    <row r="21" ht="180" customHeight="1">
      <c r="A21" s="1178" t="str">
        <v>聖誕餃子</v>
      </c>
      <c r="B21" s="1178" t="str">
        <v>Pierogi z kapustą i grzybami</v>
      </c>
      <c r="C21" s="1178" t="str">
        <v>Sauerkraut &amp; mushroom pierogi</v>
      </c>
      <c r="D21" s="1178" t="str">
        <v>酸椰菜＋蘑菇餃子</v>
      </c>
      <c r="E21" s="1178" t="str">
        <v>酸香、菇香、無肉</v>
      </c>
      <c r="F21" s="1178" t="str">
        <v>★★★★★</v>
      </c>
      <c r="G21" s="1182" t="str">
        <v>✅ 12/24 晚候選</v>
      </c>
      <c r="H21" s="1178" t="str">
        <v>12/24</v>
      </c>
      <c r="I21" s="1178" t="str">
        <v>尚未安排；向保留的傳統波蘭餐廳核對供應，不保證在新餐廳吃到</v>
      </c>
      <c r="J21" s="1178" t="str">
        <v>與 ruskie 分開不同餐吃</v>
      </c>
      <c r="K21" s="1178"/>
      <c r="L21" s="1178" t="str">
        <v>真實菜色照片（非指定餐廳出品）
照片來源：https://www.pierogarnia.com/restauracja/pierogarnia-na-wspolnej
來源頁實拍；僅作私人行程辨識。</v>
      </c>
      <c r="M21" s="1178" t="str">
        <v>全國／聖誕</v>
      </c>
      <c r="N21" s="1178" t="str">
        <v>平安夜核心</v>
      </c>
      <c r="O21" s="1178" t="str">
        <v>菜單／供應及胃口為準</v>
      </c>
      <c r="P21" s="1178"/>
      <c r="Q21" t="str">
        <v>未吃</v>
      </c>
    </row>
    <row r="22" ht="180" customHeight="1">
      <c r="A22" s="1127" t="str">
        <v>餃子</v>
      </c>
      <c r="B22" s="1127" t="str">
        <v>Pierogi z mięsem</v>
      </c>
      <c r="C22" s="1127" t="str">
        <v>Meat dumplings</v>
      </c>
      <c r="D22" s="1127" t="str">
        <v>肉餡波蘭餃子</v>
      </c>
      <c r="E22" s="1127" t="str">
        <v>肉汁、洋蔥、較重口</v>
      </c>
      <c r="F22" s="1127" t="str">
        <v>★★★★☆</v>
      </c>
      <c r="G22" s="1130" t="str">
        <v>🟡 有胃口才補</v>
      </c>
      <c r="H22" s="1127"/>
      <c r="I22" s="1127" t="str">
        <v>奶吧／Podwale</v>
      </c>
      <c r="J22" s="1127" t="str">
        <v>已有多款波蘭餃候選，這款可作補漏；沒有吃到就保持未吃</v>
      </c>
      <c r="K22" s="1127"/>
      <c r="L22" s="1127" t="str">
        <v>真實菜色照片（非指定餐廳出品）
照片來源：https://aniagotuje.pl/przepis/pierogi-z-miesem
來源頁實拍；僅作私人行程辨識。</v>
      </c>
      <c r="M22" s="1127" t="str">
        <v>全國</v>
      </c>
      <c r="N22" s="1127" t="str">
        <v>不必為湊數撐胃</v>
      </c>
      <c r="O22" s="1127" t="str">
        <v>菜單／供應及胃口為準</v>
      </c>
      <c r="P22" s="1127"/>
      <c r="Q22" t="str">
        <v>未吃</v>
      </c>
    </row>
    <row r="23" ht="180" customHeight="1">
      <c r="A23" s="1178" t="str">
        <v>主菜</v>
      </c>
      <c r="B23" s="1178" t="str">
        <v>Gołąbki</v>
      </c>
      <c r="C23" s="1178" t="str">
        <v>Stuffed cabbage rolls</v>
      </c>
      <c r="D23" s="1178" t="str">
        <v>肉飯包心菜卷</v>
      </c>
      <c r="E23" s="1178" t="str">
        <v>柔軟、番茄醬、家常</v>
      </c>
      <c r="F23" s="1178" t="str">
        <v>★★★★★</v>
      </c>
      <c r="G23" s="1182" t="str">
        <v>✅ 12/23 午餐</v>
      </c>
      <c r="H23" s="1178" t="str">
        <v>12/23</v>
      </c>
      <c r="I23" s="1178" t="str">
        <v>Gdański Bar Mleczny</v>
      </c>
      <c r="J23" s="1178" t="str">
        <v>與當日湯共享</v>
      </c>
      <c r="K23" s="1178"/>
      <c r="L23" s="1178" t="str">
        <v>真實菜色照片（非指定餐廳出品）
照片來源：https://kobieta.interia.pl/porady/news-szybko-odgrzejesz-po-powrocie-z-cmentarza-hit-prl-u-na-wszys%2CnId%2C22434349
來源頁實拍；僅作私人行程辨識。</v>
      </c>
      <c r="M23" s="1178" t="str">
        <v>全國</v>
      </c>
      <c r="N23" s="1178" t="str">
        <v>核心</v>
      </c>
      <c r="O23" s="1178" t="str">
        <v>菜單／供應及胃口為準</v>
      </c>
      <c r="P23" s="1178"/>
      <c r="Q23" t="str">
        <v>未吃</v>
      </c>
    </row>
    <row r="24" ht="180" customHeight="1">
      <c r="A24" s="1178" t="str">
        <v>主菜</v>
      </c>
      <c r="B24" s="1178" t="str">
        <v>Bigos</v>
      </c>
      <c r="C24" s="1178" t="str">
        <v>Hunter's stew</v>
      </c>
      <c r="D24" s="1178" t="str">
        <v>酸椰菜＋多種肉慢燉</v>
      </c>
      <c r="E24" s="1178" t="str">
        <v>酸香、煙燻、越煮越入味</v>
      </c>
      <c r="F24" s="1178" t="str">
        <v>★★★★★</v>
      </c>
      <c r="G24" s="1182" t="str">
        <v>✅ 12/26 午餐</v>
      </c>
      <c r="H24" s="1178" t="str">
        <v>12/26</v>
      </c>
      <c r="I24" s="1178" t="str">
        <v>Kameralna</v>
      </c>
      <c r="J24" s="1178" t="str">
        <v>和 schabowy 分食，不另點大份澱粉</v>
      </c>
      <c r="K24" s="1178"/>
      <c r="L24" s="1178" t="str">
        <v>真實菜色照片（非指定餐廳出品）
照片來源：https://wolt.com/pl/pol/warsaw/restaurant/podwale-25-kompania-piwna
來源頁實拍；僅作私人行程辨識。</v>
      </c>
      <c r="M24" s="1178" t="str">
        <v>全國</v>
      </c>
      <c r="N24" s="1178" t="str">
        <v>冬季必吃</v>
      </c>
      <c r="O24" s="1178" t="str">
        <v>菜單／供應及胃口為準</v>
      </c>
      <c r="P24" s="1178"/>
      <c r="Q24" t="str">
        <v>未吃</v>
      </c>
    </row>
    <row r="25" ht="180" customHeight="1">
      <c r="A25" s="1178" t="str">
        <v>主菜</v>
      </c>
      <c r="B25" s="1178" t="str">
        <v>Kotlet schabowy</v>
      </c>
      <c r="C25" s="1178" t="str">
        <v>Polish pork cutlet</v>
      </c>
      <c r="D25" s="1178" t="str">
        <v>波蘭炸豬排</v>
      </c>
      <c r="E25" s="1178" t="str">
        <v>外脆、豬肉嫩、典型家庭午餐</v>
      </c>
      <c r="F25" s="1178" t="str">
        <v>★★★★★</v>
      </c>
      <c r="G25" s="1182" t="str">
        <v>✅ 12/26 午餐</v>
      </c>
      <c r="H25" s="1178" t="str">
        <v>12/26</v>
      </c>
      <c r="I25" s="1178" t="str">
        <v>Kameralna</v>
      </c>
      <c r="J25" s="1178" t="str">
        <v>一份兩人分，再試 bigos</v>
      </c>
      <c r="K25" s="1178"/>
      <c r="L25" s="1178" t="str">
        <v>真實菜色照片（非指定餐廳出品）
照片來源：https://www.snapcalorie.com/nutrition/polish_kotlet_schabowy_nutrition.html
來源頁實拍；僅作私人行程辨識。</v>
      </c>
      <c r="M25" s="1178" t="str">
        <v>全國</v>
      </c>
      <c r="N25" s="1178" t="str">
        <v>核心</v>
      </c>
      <c r="O25" s="1178" t="str">
        <v>菜單／供應及胃口為準</v>
      </c>
      <c r="P25" s="1178"/>
      <c r="Q25" t="str">
        <v>未吃</v>
      </c>
    </row>
    <row r="26" ht="180" customHeight="1">
      <c r="A26" s="1127" t="str">
        <v>主菜</v>
      </c>
      <c r="B26" s="1127" t="str">
        <v>Kotlet mielony</v>
      </c>
      <c r="C26" s="1127" t="str">
        <v>Polish meat patty</v>
      </c>
      <c r="D26" s="1127" t="str">
        <v>波蘭肉餅</v>
      </c>
      <c r="E26" s="1127" t="str">
        <v>比炸豬排更家常、軟嫩</v>
      </c>
      <c r="F26" s="1127" t="str">
        <v>★★★★☆</v>
      </c>
      <c r="G26" s="1130" t="str">
        <v>🟡 奶吧看到才補</v>
      </c>
      <c r="H26" s="1127"/>
      <c r="I26" s="1127" t="str">
        <v>Polny Bar Mleczny／奶吧</v>
      </c>
      <c r="J26" s="1127" t="str">
        <v>已吃很多肉，不專程</v>
      </c>
      <c r="K26" s="1127"/>
      <c r="L26" s="1127" t="str">
        <v>真實菜色照片（非指定餐廳出品）
照片來源：https://www.pinterest.com/pin/kotlet-mielony-marchewka-z-groszkiem-i-puree-ziemniaczane-domowy-obiad-ktry-uwielbiamy-od-dziecka-kulinarna-polska--677862181431226738/
來源頁實拍；僅作私人行程辨識。</v>
      </c>
      <c r="M26" s="1127" t="str">
        <v>全國</v>
      </c>
      <c r="N26" s="1127" t="str">
        <v>家常</v>
      </c>
      <c r="O26" s="1127" t="str">
        <v>菜單／供應及胃口為準</v>
      </c>
      <c r="P26" s="1127"/>
      <c r="Q26" t="str">
        <v>未吃</v>
      </c>
    </row>
    <row r="27" ht="180" customHeight="1">
      <c r="A27" s="1178" t="str">
        <v>主菜</v>
      </c>
      <c r="B27" s="1178" t="str">
        <v>Zraz wołowy zawijany</v>
      </c>
      <c r="C27" s="1178" t="str">
        <v>Beef roulade</v>
      </c>
      <c r="D27" s="1178" t="str">
        <v>牛肉卷，常包酸青瓜／煙肉等</v>
      </c>
      <c r="E27" s="1178" t="str">
        <v>肉汁濃、醬汁感強</v>
      </c>
      <c r="F27" s="1178" t="str">
        <v>★★★★★</v>
      </c>
      <c r="G27" s="1182" t="str">
        <v>✅ 12/25 午餐</v>
      </c>
      <c r="H27" s="1178" t="str">
        <v>12/25</v>
      </c>
      <c r="I27" s="1178" t="str">
        <v>尚未安排；向保留的傳統波蘭餐廳核對供應，不保證在新餐廳吃到</v>
      </c>
      <c r="J27" s="1178" t="str">
        <v>與 rosół、szarlotka組成一餐</v>
      </c>
      <c r="K27" s="1178"/>
      <c r="L27" s="1178" t="str">
        <v>真實菜色照片（非指定餐廳出品）
照片來源：https://gotowanie.onet.pl/przepisy/zrazy-sprawdzony-przepis-anny-starmach/vp6rg5c
來源頁實拍；僅作私人行程辨識。</v>
      </c>
      <c r="M27" s="1178" t="str">
        <v>全國</v>
      </c>
      <c r="N27" s="1178" t="str">
        <v>老派餐館代表</v>
      </c>
      <c r="O27" s="1178" t="str">
        <v>菜單／供應及胃口為準</v>
      </c>
      <c r="P27" s="1178"/>
      <c r="Q27" t="str">
        <v>未吃</v>
      </c>
    </row>
    <row r="28" ht="180" customHeight="1">
      <c r="A28" s="1178" t="str">
        <v>主菜</v>
      </c>
      <c r="B28" s="1178" t="str">
        <v>Golonka</v>
      </c>
      <c r="C28" s="1178" t="str">
        <v>Pork knuckle</v>
      </c>
      <c r="D28" s="1178" t="str">
        <v>豬腳</v>
      </c>
      <c r="E28" s="1178" t="str">
        <v>油香、膠質、份量很大</v>
      </c>
      <c r="F28" s="1178" t="str">
        <v>★★★★☆</v>
      </c>
      <c r="G28" s="1182" t="str">
        <v>✅ 12/24 午餐</v>
      </c>
      <c r="H28" s="1178" t="str">
        <v>12/24</v>
      </c>
      <c r="I28" s="1178" t="str">
        <v>Podwale 25</v>
      </c>
      <c r="J28" s="1178" t="str">
        <v>兩人共享，絕對不要一人一份</v>
      </c>
      <c r="K28" s="1178"/>
      <c r="L28" s="1178" t="str">
        <v>真實菜色照片（非指定餐廳出品）
照片來源：https://smaker.pl/przepisy-dania-glowne/przepis-golonka-gotowana-a-nastepnie-pieczona%2C2031111%2Cbozena1960.html
來源頁實拍；僅作私人行程辨識。</v>
      </c>
      <c r="M28" s="1178" t="str">
        <v>全國</v>
      </c>
      <c r="N28" s="1178" t="str">
        <v>份量控制</v>
      </c>
      <c r="O28" s="1178" t="str">
        <v>菜單／供應及胃口為準</v>
      </c>
      <c r="P28" s="1178"/>
      <c r="Q28" t="str">
        <v>未吃</v>
      </c>
    </row>
    <row r="29" ht="180" customHeight="1">
      <c r="A29" s="1178" t="str">
        <v>主菜</v>
      </c>
      <c r="B29" s="1178" t="str">
        <v>Kaczka pieczona</v>
      </c>
      <c r="C29" s="1178" t="str">
        <v>Roast duck</v>
      </c>
      <c r="D29" s="1178" t="str">
        <v>烤鴨，常配蘋果／紅椰菜</v>
      </c>
      <c r="E29" s="1178" t="str">
        <v>皮香、果甜、冬季感</v>
      </c>
      <c r="F29" s="1178" t="str">
        <v>★★★★★</v>
      </c>
      <c r="G29" s="1182" t="str">
        <v>✅ 12/23 晚餐</v>
      </c>
      <c r="H29" s="1178" t="str">
        <v>12/23</v>
      </c>
      <c r="I29" s="1178" t="str">
        <v>Stary Dom</v>
      </c>
      <c r="J29" s="1178" t="str">
        <v>已吃一次就不在 12/25 再點鴨</v>
      </c>
      <c r="K29" s="1178"/>
      <c r="L29" s="1178" t="str">
        <v>真實菜色照片（非指定餐廳出品）
照片來源：https://www.tripadvisor.com/Restaurant_Review-g274772-d5953938-Reviews-Czarna_Kaczka_The_Black_Duck-Krakow_Lesser_Poland_Province_Southern_Poland.html
來源頁實拍；僅作私人行程辨識。</v>
      </c>
      <c r="M29" s="1178" t="str">
        <v>全國</v>
      </c>
      <c r="N29" s="1178" t="str">
        <v>避免重複</v>
      </c>
      <c r="O29" s="1178" t="str">
        <v>菜單／供應及胃口為準</v>
      </c>
      <c r="P29" s="1178"/>
      <c r="Q29" t="str">
        <v>未吃</v>
      </c>
    </row>
    <row r="30" ht="180" customHeight="1">
      <c r="A30" s="1178" t="str">
        <v>前菜</v>
      </c>
      <c r="B30" s="1178" t="str">
        <v>Tatar wołowy</v>
      </c>
      <c r="C30" s="1178" t="str">
        <v>Beef tartare</v>
      </c>
      <c r="D30" s="1178" t="str">
        <v>波蘭式牛肉他他</v>
      </c>
      <c r="E30" s="1178" t="str">
        <v>生牛肉、蛋黃、洋蔥、酸青瓜</v>
      </c>
      <c r="F30" s="1178" t="str">
        <v>★★★★★</v>
      </c>
      <c r="G30" s="1182" t="str">
        <v>✅ 12/23 晚餐</v>
      </c>
      <c r="H30" s="1178" t="str">
        <v>12/23</v>
      </c>
      <c r="I30" s="1178" t="str">
        <v>Stary Dom</v>
      </c>
      <c r="J30" s="1178" t="str">
        <v>共享一份；12/25 不再重複</v>
      </c>
      <c r="K30" s="1178"/>
      <c r="L30" s="1178" t="str">
        <v>真實菜色照片（非指定餐廳出品）
照片來源：https://www.e-ksiazkakucharska.pl/2019/05/tatar-woowy.html
來源頁實拍；僅作私人行程辨識。</v>
      </c>
      <c r="M30" s="1178" t="str">
        <v>全國／華沙常見</v>
      </c>
      <c r="N30" s="1178" t="str">
        <v>核心</v>
      </c>
      <c r="O30" s="1178" t="str">
        <v>菜單／供應及胃口為準</v>
      </c>
      <c r="P30" s="1178"/>
      <c r="Q30" t="str">
        <v>未吃</v>
      </c>
    </row>
    <row r="31" ht="180" customHeight="1">
      <c r="A31" s="1127" t="str">
        <v>薯仔菜</v>
      </c>
      <c r="B31" s="1127" t="str">
        <v>Placki ziemniaczane</v>
      </c>
      <c r="C31" s="1127" t="str">
        <v>Potato pancakes</v>
      </c>
      <c r="D31" s="1127" t="str">
        <v>馬鈴薯煎餅</v>
      </c>
      <c r="E31" s="1127" t="str">
        <v>外脆內軟，可鹹可甜</v>
      </c>
      <c r="F31" s="1127" t="str">
        <v>★★★★★ 必吃・你指定</v>
      </c>
      <c r="G31" s="1130" t="str">
        <v>🎉 想吃清單・優先安排</v>
      </c>
      <c r="H31" s="1127"/>
      <c r="I31" s="1127" t="str">
        <v>候選：Polny／Prasowy／其他奶吧或傳統波蘭餐廳；優先核對菜單及供應後安排</v>
      </c>
      <c r="J31" s="1127" t="str">
        <v>當小份配菜或共享一份</v>
      </c>
      <c r="K31" s="1127"/>
      <c r="L31" s="1127" t="str">
        <v>真實菜色照片（非指定餐廳出品）
照片來源：https://smaker.pl/przepisy-dania-glowne/przepis-placki-ziemniaczane%2C195484%2Cfutka.html
來源頁實拍；僅作私人行程辨識。</v>
      </c>
      <c r="M31" s="1127" t="str">
        <v>全國</v>
      </c>
      <c r="N31" s="1127" t="str">
        <v>你指定想吃，優先安排；不再當作見到才補</v>
      </c>
      <c r="O31" s="1127" t="str">
        <v>你指定想吃；店家／供應待確認，不代表已安排或已吃</v>
      </c>
      <c r="P31" s="1127" t="str">
        <v>最高（你指定）</v>
      </c>
      <c r="Q31" t="str">
        <v>未吃</v>
      </c>
    </row>
    <row r="32" ht="180" customHeight="1">
      <c r="A32" s="1127" t="str">
        <v>薯仔菜</v>
      </c>
      <c r="B32" s="1127" t="str">
        <v>Kopytka</v>
      </c>
      <c r="C32" s="1127" t="str">
        <v>Potato dumplings</v>
      </c>
      <c r="D32" s="1127" t="str">
        <v>馬鈴薯小麵糰，像小型 gnocchi</v>
      </c>
      <c r="E32" s="1127" t="str">
        <v>軟糯，吸醬汁</v>
      </c>
      <c r="F32" s="1127" t="str">
        <v>★★★★☆</v>
      </c>
      <c r="G32" s="1130" t="str">
        <v>🟡 跟主菜補</v>
      </c>
      <c r="H32" s="1127" t="str">
        <v>12/25–26</v>
      </c>
      <c r="I32" s="1127" t="str">
        <v>若 U Wieniawy／Kameralna 主菜有配就算完成</v>
      </c>
      <c r="J32" s="1127" t="str">
        <v>不要單點一大盤</v>
      </c>
      <c r="K32" s="1127"/>
      <c r="L32" s="1127" t="str">
        <v>真實菜色照片（非指定餐廳出品）
照片來源：https://www.snapcalorie.com/nutrition/polish_kopytka_nutrition.html
來源頁實拍；僅作私人行程辨識。</v>
      </c>
      <c r="M32" s="1127" t="str">
        <v>全國</v>
      </c>
      <c r="N32" s="1127" t="str">
        <v>配菜型</v>
      </c>
      <c r="O32" s="1127" t="str">
        <v>菜單／供應及胃口為準</v>
      </c>
      <c r="P32" s="1127"/>
      <c r="Q32" t="str">
        <v>未吃</v>
      </c>
    </row>
    <row r="33" ht="180" customHeight="1">
      <c r="A33" s="1127" t="str">
        <v>麵糰</v>
      </c>
      <c r="B33" s="1127" t="str">
        <v>Kluski śląskie</v>
      </c>
      <c r="C33" s="1127" t="str">
        <v>Silesian potato dumplings</v>
      </c>
      <c r="D33" s="1127" t="str">
        <v>西里西亞薯仔丸，中央有凹洞吸醬</v>
      </c>
      <c r="E33" s="1127" t="str">
        <v>Q彈、吸肉汁</v>
      </c>
      <c r="F33" s="1127" t="str">
        <v>★★★☆☆</v>
      </c>
      <c r="G33" s="1130" t="str">
        <v>🟡 若平安夜套餐有</v>
      </c>
      <c r="H33" s="1127" t="str">
        <v>12/24</v>
      </c>
      <c r="I33" s="1127" t="str">
        <v>尚未安排；向保留的傳統波蘭餐廳核對供應，不保證在新餐廳吃到</v>
      </c>
      <c r="J33" s="1127" t="str">
        <v>只作配菜</v>
      </c>
      <c r="K33" s="1127"/>
      <c r="L33" s="1127" t="str">
        <v>真實菜色照片（非指定餐廳出品）
照片來源：https://www.o2.pl/quiz/kuchnia/7270520158963936/start
來源頁實拍；僅作私人行程辨識。</v>
      </c>
      <c r="M33" s="1127" t="str">
        <v>區域／全國常見</v>
      </c>
      <c r="N33" s="1127" t="str">
        <v>不專程</v>
      </c>
      <c r="O33" s="1127" t="str">
        <v>菜單／供應及胃口為準</v>
      </c>
      <c r="P33" s="1127"/>
      <c r="Q33" t="str">
        <v>未吃</v>
      </c>
    </row>
    <row r="34" ht="180" customHeight="1">
      <c r="A34" s="1127" t="str">
        <v>奶酪麵糰</v>
      </c>
      <c r="B34" s="1127" t="str">
        <v>Kluski leniwe / leniwe</v>
      </c>
      <c r="C34" s="1127" t="str">
        <v>Lazy dumplings</v>
      </c>
      <c r="D34" s="1127" t="str">
        <v>白乳酪麵糰，像甜／鹹版軟 gnocchi</v>
      </c>
      <c r="E34" s="1127" t="str">
        <v>柔軟、乳香</v>
      </c>
      <c r="F34" s="1127" t="str">
        <v>★★★★☆</v>
      </c>
      <c r="G34" s="1130" t="str">
        <v>🟡 奶吧早餐／甜點看到補</v>
      </c>
      <c r="H34" s="1127"/>
      <c r="I34" s="1127" t="str">
        <v>奶吧</v>
      </c>
      <c r="J34" s="1127" t="str">
        <v>和 placki 二選一</v>
      </c>
      <c r="K34" s="1127"/>
      <c r="L34" s="1127" t="str">
        <v>真實菜色照片（非指定餐廳出品）
照片來源：https://smaki.pl/przepisy/obiady/10944606/kluski-leniwe-z-przepisu-babci-sprawdzony-patent-na-szybkie-danie.html
來源頁實拍；僅作私人行程辨識。</v>
      </c>
      <c r="M34" s="1127" t="str">
        <v>全國</v>
      </c>
      <c r="N34" s="1127" t="str">
        <v>在地家常感</v>
      </c>
      <c r="O34" s="1127" t="str">
        <v>菜單／供應及胃口為準</v>
      </c>
      <c r="P34" s="1127"/>
      <c r="Q34" t="str">
        <v>未吃</v>
      </c>
    </row>
    <row r="35" ht="180" customHeight="1">
      <c r="A35" s="1178" t="str">
        <v>配菜</v>
      </c>
      <c r="B35" s="1178" t="str">
        <v>Mizeria</v>
      </c>
      <c r="C35" s="1178" t="str">
        <v>Cucumber sour-cream salad</v>
      </c>
      <c r="D35" s="1178" t="str">
        <v>酸忌廉青瓜沙律</v>
      </c>
      <c r="E35" s="1178" t="str">
        <v>清爽、微酸、解炸物油膩</v>
      </c>
      <c r="F35" s="1178" t="str">
        <v>★★★★☆</v>
      </c>
      <c r="G35" s="1182" t="str">
        <v>✅ 12/26 午餐配菜</v>
      </c>
      <c r="H35" s="1178" t="str">
        <v>12/26</v>
      </c>
      <c r="I35" s="1178" t="str">
        <v>Kameralna 配 schabowy</v>
      </c>
      <c r="J35" s="1178" t="str">
        <v>不要另點重蔬菜</v>
      </c>
      <c r="K35" s="1178"/>
      <c r="L35" s="1178" t="str">
        <v>真實菜色照片（非指定餐廳出品）
照片來源：https://www.polishyourkitchen.com/polish-cucumber-salad-mizeria/
來源頁實拍；僅作私人行程辨識。</v>
      </c>
      <c r="M35" s="1178" t="str">
        <v>全國</v>
      </c>
      <c r="N35" s="1178" t="str">
        <v>很日常</v>
      </c>
      <c r="O35" s="1178" t="str">
        <v>菜單／供應及胃口為準</v>
      </c>
      <c r="P35" s="1178"/>
      <c r="Q35" t="str">
        <v>未吃</v>
      </c>
    </row>
    <row r="36" ht="180" customHeight="1">
      <c r="A36" s="1127" t="str">
        <v>配菜</v>
      </c>
      <c r="B36" s="1127" t="str">
        <v>Buraczki zasmażane</v>
      </c>
      <c r="C36" s="1127" t="str">
        <v>Warm beets</v>
      </c>
      <c r="D36" s="1127" t="str">
        <v>熱紅菜頭配菜</v>
      </c>
      <c r="E36" s="1127" t="str">
        <v>甜酸、土味柔和</v>
      </c>
      <c r="F36" s="1127" t="str">
        <v>★★★☆☆</v>
      </c>
      <c r="G36" s="1130" t="str">
        <v>🟡 主菜旁看到就吃</v>
      </c>
      <c r="H36" s="1127"/>
      <c r="I36" s="1127" t="str">
        <v>尚未安排；向保留的傳統波蘭餐廳核對供應，不保證在新餐廳吃到</v>
      </c>
      <c r="J36" s="1127" t="str">
        <v>配 zraz 或鴨</v>
      </c>
      <c r="K36" s="1127"/>
      <c r="L36" s="1127" t="str">
        <v>https://www.poland.travel/en/flavours-of-polish-cuisine/</v>
      </c>
      <c r="M36" s="1127" t="str">
        <v>全國</v>
      </c>
      <c r="N36" s="1127" t="str">
        <v>小份即可</v>
      </c>
      <c r="O36" s="1127" t="str">
        <v>菜單／供應及胃口為準</v>
      </c>
      <c r="P36" s="1127"/>
      <c r="Q36" t="str">
        <v>未吃</v>
      </c>
    </row>
    <row r="37" ht="180" customHeight="1">
      <c r="A37" s="1127" t="str">
        <v>配菜</v>
      </c>
      <c r="B37" s="1127" t="str">
        <v>Kapusta zasmażana</v>
      </c>
      <c r="C37" s="1127" t="str">
        <v>Braised/fried cabbage</v>
      </c>
      <c r="D37" s="1127" t="str">
        <v>燴椰菜</v>
      </c>
      <c r="E37" s="1127" t="str">
        <v>酸香、肉汁感</v>
      </c>
      <c r="F37" s="1127" t="str">
        <v>★★★★☆</v>
      </c>
      <c r="G37" s="1130" t="str">
        <v>🟡 跟 schabowy／golonka 吃</v>
      </c>
      <c r="H37" s="1127"/>
      <c r="I37" s="1127" t="str">
        <v>Podwale／Kameralna</v>
      </c>
      <c r="J37" s="1127" t="str">
        <v>視主菜配菜自動完成</v>
      </c>
      <c r="K37" s="1127"/>
      <c r="L37" s="1127" t="str">
        <v>真實菜色照片（非指定餐廳出品）
照片來源：https://haps.pl/Haps/7%2C167251%2C30432442%2Cw-stolowkach-robia-ja-najlepiej-z-tym-przepisem-zasmazana.html
來源頁實拍；僅作私人行程辨識。</v>
      </c>
      <c r="M37" s="1127" t="str">
        <v>全國</v>
      </c>
      <c r="N37" s="1127" t="str">
        <v>不另點</v>
      </c>
      <c r="O37" s="1127" t="str">
        <v>菜單／供應及胃口為準</v>
      </c>
      <c r="P37" s="1127"/>
      <c r="Q37" t="str">
        <v>未吃</v>
      </c>
    </row>
    <row r="38" ht="180" customHeight="1">
      <c r="A38" s="1178" t="str">
        <v>小菜</v>
      </c>
      <c r="B38" s="1178" t="str">
        <v>Ogórek małosolny / kiszony</v>
      </c>
      <c r="C38" s="1178" t="str">
        <v>Lightly pickled / sour cucumber</v>
      </c>
      <c r="D38" s="1178" t="str">
        <v>半發酵／酸青瓜</v>
      </c>
      <c r="E38" s="1178" t="str">
        <v>爽脆、酸鹹</v>
      </c>
      <c r="F38" s="1178" t="str">
        <v>★★★★☆</v>
      </c>
      <c r="G38" s="1182" t="str">
        <v>✅ 12/26 晚</v>
      </c>
      <c r="H38" s="1178" t="str">
        <v>12/26</v>
      </c>
      <c r="I38" s="1178" t="str">
        <v>尚未安排；向保留的傳統波蘭餐廳核對供應，不保證在新餐廳吃到</v>
      </c>
      <c r="J38" s="1178" t="str">
        <v>一小份就夠</v>
      </c>
      <c r="K38" s="1178"/>
      <c r="L38" s="1178" t="str">
        <v>真實菜色照片（非指定餐廳出品）
照片來源：https://katalogsmakow.pl/blog/mieszam-w-garnku/ogorki-malosolne.222928.html
來源頁實拍；僅作私人行程辨識。</v>
      </c>
      <c r="M38" s="1178" t="str">
        <v>全國</v>
      </c>
      <c r="N38" s="1178" t="str">
        <v>配 pyzy 很對</v>
      </c>
      <c r="O38" s="1178" t="str">
        <v>菜單／供應及胃口為準</v>
      </c>
      <c r="P38" s="1178"/>
      <c r="Q38" t="str">
        <v>未吃</v>
      </c>
    </row>
    <row r="39" ht="180" customHeight="1">
      <c r="A39" s="1178" t="str">
        <v>香腸</v>
      </c>
      <c r="B39" s="1178" t="str">
        <v>Biała kiełbasa</v>
      </c>
      <c r="C39" s="1178" t="str">
        <v>White sausage</v>
      </c>
      <c r="D39" s="1178" t="str">
        <v>白香腸</v>
      </c>
      <c r="E39" s="1178" t="str">
        <v>豬肉香、香料味，常放 żurek</v>
      </c>
      <c r="F39" s="1178" t="str">
        <v>★★★★☆</v>
      </c>
      <c r="G39" s="1182" t="str">
        <v>✅ 隨 Żurek</v>
      </c>
      <c r="H39" s="1178" t="str">
        <v>12/23</v>
      </c>
      <c r="I39" s="1178" t="str">
        <v>Stary Dom żurek 若含白腸</v>
      </c>
      <c r="J39" s="1178" t="str">
        <v>不用另叫香腸拼盤</v>
      </c>
      <c r="K39" s="1178"/>
      <c r="L39" s="1178" t="str">
        <v>真實菜色照片（非指定餐廳出品）
照片來源：https://haps.pl/Haps/7%2C167251%2C28309548%2Cbiala-kielbasa-przepis-na-wielkanocne-danie-dodaj-suszone.html
來源頁實拍；僅作私人行程辨識。</v>
      </c>
      <c r="M39" s="1178" t="str">
        <v>全國</v>
      </c>
      <c r="N39" s="1178" t="str">
        <v>跟湯完成</v>
      </c>
      <c r="O39" s="1178" t="str">
        <v>菜單／供應及胃口為準</v>
      </c>
      <c r="P39" s="1178"/>
      <c r="Q39" t="str">
        <v>未吃</v>
      </c>
    </row>
    <row r="40" ht="180" customHeight="1">
      <c r="A40" s="1156" t="str">
        <v>街頭小吃</v>
      </c>
      <c r="B40" s="1156" t="str">
        <v>Zapiekanka</v>
      </c>
      <c r="C40" s="1156" t="str">
        <v>Polish open-faced baguette</v>
      </c>
      <c r="D40" s="1156" t="str">
        <v>波蘭開面長法包，蘑菇＋芝士等</v>
      </c>
      <c r="E40" s="1156" t="str">
        <v>脆、芝士、快速小吃</v>
      </c>
      <c r="F40" s="1156" t="str">
        <v>★★★☆☆</v>
      </c>
      <c r="G40" s="1160" t="str">
        <v>⚪ 不強求</v>
      </c>
      <c r="H40" s="1156"/>
      <c r="I40" s="1156" t="str">
        <v>看到餓才吃</v>
      </c>
      <c r="J40" s="1156" t="str">
        <v>主餐多，不值得撐胃</v>
      </c>
      <c r="K40" s="1156"/>
      <c r="L40" s="1156" t="str">
        <v>真實菜色照片（非指定餐廳出品）
照片來源：https://noizz.pl/jedzenie/nie-tylko-zapiekanki-z-jugokiosku-czym-jest-knysza-i-maczanka/g5rmjph
來源頁實拍；僅作私人行程辨識。</v>
      </c>
      <c r="M40" s="1156" t="str">
        <v>全國</v>
      </c>
      <c r="N40" s="1156" t="str">
        <v>Kraków 更代表</v>
      </c>
      <c r="O40" s="1156" t="str">
        <v>菜單／供應及胃口為準</v>
      </c>
      <c r="P40" s="1156"/>
      <c r="Q40" t="str">
        <v>未吃</v>
      </c>
    </row>
    <row r="41" ht="180" customHeight="1">
      <c r="A41" s="1178" t="str">
        <v>甜點</v>
      </c>
      <c r="B41" s="1178" t="str">
        <v>Pączek z różą</v>
      </c>
      <c r="C41" s="1178" t="str">
        <v>Rose-filled Polish doughnut</v>
      </c>
      <c r="D41" s="1178" t="str">
        <v>玫瑰果醬波蘭甜甜圈</v>
      </c>
      <c r="E41" s="1178" t="str">
        <v>油炸但鬆軟、果醬香</v>
      </c>
      <c r="F41" s="1178" t="str">
        <v>★★★★★</v>
      </c>
      <c r="G41" s="1182" t="str">
        <v>✅ 12/27 早餐</v>
      </c>
      <c r="H41" s="1178" t="str">
        <v>12/27</v>
      </c>
      <c r="I41" s="1178" t="str">
        <v>Lukullus Chmielna／Cukiernia Pawłowicz；Zagoździński 若聖誕營業日吻合</v>
      </c>
      <c r="J41" s="1178" t="str">
        <v>兩人 1–2 個不同餡</v>
      </c>
      <c r="K41" s="1178"/>
      <c r="L41" s="1178" t="str">
        <v>真實菜色照片（非指定餐廳出品）
照片來源：https://delikatesybaccara.pl/pl/products/paczek-z-marmolada-rozana-121
來源頁實拍；僅作私人行程辨識。</v>
      </c>
      <c r="M41" s="1178" t="str">
        <v>全國／華沙名店多</v>
      </c>
      <c r="N41" s="1178" t="str">
        <v>核心甜點</v>
      </c>
      <c r="O41" s="1178" t="str">
        <v>菜單／供應及胃口為準</v>
      </c>
      <c r="P41" s="1178"/>
      <c r="Q41" t="str">
        <v>未吃</v>
      </c>
    </row>
    <row r="42" ht="180" customHeight="1">
      <c r="A42" s="1178" t="str">
        <v>甜點</v>
      </c>
      <c r="B42" s="1178" t="str">
        <v>Sernik</v>
      </c>
      <c r="C42" s="1178" t="str">
        <v>Polish cheesecake</v>
      </c>
      <c r="D42" s="1178" t="str">
        <v>波蘭芝士蛋糕</v>
      </c>
      <c r="E42" s="1178" t="str">
        <v>twaróg 乳酪，較紮實</v>
      </c>
      <c r="F42" s="1178" t="str">
        <v>★★★★★</v>
      </c>
      <c r="G42" s="1182" t="str">
        <v>✅ 12/27 早餐</v>
      </c>
      <c r="H42" s="1178" t="str">
        <v>12/27</v>
      </c>
      <c r="I42" s="1178" t="str">
        <v>Lukullus Chmielna；12/27 與 pączek 分食</v>
      </c>
      <c r="J42" s="1178" t="str">
        <v>和 pączek 分食</v>
      </c>
      <c r="K42" s="1178"/>
      <c r="L42" s="1178" t="str">
        <v>真實菜色照片（非指定餐廳出品）
照片來源：https://polskashop24.de/blogs/polnische-kuche-und-rezepte/sernik-rezept-polnischer-kasekuchen-der-cremige-klassiker-wie-bei-babcia
來源頁實拍；僅作私人行程辨識。</v>
      </c>
      <c r="M42" s="1178" t="str">
        <v>全國</v>
      </c>
      <c r="N42" s="1178" t="str">
        <v>核心甜點</v>
      </c>
      <c r="O42" s="1178" t="str">
        <v>菜單／供應及胃口為準</v>
      </c>
      <c r="P42" s="1178"/>
      <c r="Q42" t="str">
        <v>未吃</v>
      </c>
    </row>
    <row r="43" ht="180" customHeight="1">
      <c r="A43" s="1178" t="str">
        <v>甜點</v>
      </c>
      <c r="B43" s="1178" t="str">
        <v>Szarlotka</v>
      </c>
      <c r="C43" s="1178" t="str">
        <v>Polish apple cake</v>
      </c>
      <c r="D43" s="1178" t="str">
        <v>波蘭蘋果蛋糕</v>
      </c>
      <c r="E43" s="1178" t="str">
        <v>肉桂蘋果、酥鬆</v>
      </c>
      <c r="F43" s="1178" t="str">
        <v>★★★★☆</v>
      </c>
      <c r="G43" s="1182" t="str">
        <v>✅ 12/25 午餐候選</v>
      </c>
      <c r="H43" s="1178" t="str">
        <v>12/25</v>
      </c>
      <c r="I43" s="1178" t="str">
        <v>尚未安排；向保留的傳統波蘭餐廳核對供應，不保證在新餐廳吃到</v>
      </c>
      <c r="J43" s="1178" t="str">
        <v>兩人一件</v>
      </c>
      <c r="K43" s="1178"/>
      <c r="L43" s="1178" t="str">
        <v>真實菜色照片（非指定餐廳出品）
照片來源：https://justthatperfectpiece.com/my-mama-apple-pie-aka-szarlotka/
來源頁實拍；僅作私人行程辨識。</v>
      </c>
      <c r="M43" s="1178" t="str">
        <v>全國</v>
      </c>
      <c r="N43" s="1178" t="str">
        <v>冬季很適合</v>
      </c>
      <c r="O43" s="1178" t="str">
        <v>菜單／供應及胃口為準</v>
      </c>
      <c r="P43" s="1178"/>
      <c r="Q43" t="str">
        <v>未吃</v>
      </c>
    </row>
    <row r="44" ht="180" customHeight="1">
      <c r="A44" s="1127" t="str">
        <v>聖誕甜點</v>
      </c>
      <c r="B44" s="1127" t="str">
        <v>Makowiec</v>
      </c>
      <c r="C44" s="1127" t="str">
        <v>Poppy-seed roll</v>
      </c>
      <c r="D44" s="1127" t="str">
        <v>罌粟籽卷蛋糕</v>
      </c>
      <c r="E44" s="1127" t="str">
        <v>堅果、罌粟籽、甜香</v>
      </c>
      <c r="F44" s="1127" t="str">
        <v>★★★★★</v>
      </c>
      <c r="G44" s="1130" t="str">
        <v>🟡 平安夜菜單有就吃</v>
      </c>
      <c r="H44" s="1127" t="str">
        <v>12/24</v>
      </c>
      <c r="I44" s="1127" t="str">
        <v>尚未安排；向保留的傳統波蘭餐廳核對供應，不保證在新餐廳吃到</v>
      </c>
      <c r="J44" s="1127" t="str">
        <v>不另外再點 3 款蛋糕</v>
      </c>
      <c r="K44" s="1127"/>
      <c r="L44" s="1127" t="str">
        <v>真實菜色照片（非指定餐廳出品）
照片來源：https://haps.pl/Haps/7%2C172570%2C26596718%2Cmakowiec-zawijany-czyli-jeden-z-najwiekszych-swiatecznych-przysmakow.html
來源頁實拍；僅作私人行程辨識。</v>
      </c>
      <c r="M44" s="1127" t="str">
        <v>全國／聖誕</v>
      </c>
      <c r="N44" s="1127" t="str">
        <v>聖誕核心</v>
      </c>
      <c r="O44" s="1127" t="str">
        <v>菜單／供應及胃口為準</v>
      </c>
      <c r="P44" s="1127"/>
      <c r="Q44" t="str">
        <v>未吃</v>
      </c>
    </row>
    <row r="45" ht="180" customHeight="1">
      <c r="A45" s="1127" t="str">
        <v>甜點</v>
      </c>
      <c r="B45" s="1127" t="str">
        <v>Piernik</v>
      </c>
      <c r="C45" s="1127" t="str">
        <v>Polish gingerbread</v>
      </c>
      <c r="D45" s="1127" t="str">
        <v>波蘭薑餅</v>
      </c>
      <c r="E45" s="1127" t="str">
        <v>香料、蜂蜜、冬季味</v>
      </c>
      <c r="F45" s="1127" t="str">
        <v>★★★★☆</v>
      </c>
      <c r="G45" s="1130" t="str">
        <v>🟡 聖誕市集／咖啡店</v>
      </c>
      <c r="H45" s="1127" t="str">
        <v>12/24</v>
      </c>
      <c r="I45" s="1127" t="str">
        <v>Old Town／甜點店</v>
      </c>
      <c r="J45" s="1127" t="str">
        <v>小塊分享</v>
      </c>
      <c r="K45" s="1127"/>
      <c r="L45" s="1127" t="str">
        <v>真實菜色照片（非指定餐廳出品）
照片來源：https://wszystkiegoslodkiego.pl/przepisy/pierniki/piernik-latwy-szybki-przepis
來源頁實拍；僅作私人行程辨識。</v>
      </c>
      <c r="M45" s="1127" t="str">
        <v>全國</v>
      </c>
      <c r="N45" s="1127" t="str">
        <v>Torun 最著名</v>
      </c>
      <c r="O45" s="1127" t="str">
        <v>菜單／供應及胃口為準</v>
      </c>
      <c r="P45" s="1127"/>
      <c r="Q45" t="str">
        <v>未吃</v>
      </c>
    </row>
    <row r="46" ht="180" customHeight="1">
      <c r="A46" s="1127" t="str">
        <v>甜早餐</v>
      </c>
      <c r="B46" s="1127" t="str">
        <v>Racuchy</v>
      </c>
      <c r="C46" s="1127" t="str">
        <v>Polish apple pancakes</v>
      </c>
      <c r="D46" s="1127" t="str">
        <v>蘋果發酵小煎餅</v>
      </c>
      <c r="E46" s="1127" t="str">
        <v>鬆軟、蘋果甜香</v>
      </c>
      <c r="F46" s="1127" t="str">
        <v>★★★☆☆</v>
      </c>
      <c r="G46" s="1130" t="str">
        <v>🟡 奶吧有才補</v>
      </c>
      <c r="H46" s="1127"/>
      <c r="I46" s="1127" t="str">
        <v>早餐／奶吧</v>
      </c>
      <c r="J46" s="1127" t="str">
        <v>與 naleśniki 二選一</v>
      </c>
      <c r="K46" s="1127"/>
      <c r="L46" s="1127" t="str">
        <v>真實菜色照片（非指定餐廳出品）
照片來源：https://smaker.pl/przepisy-sniadania/przepis-racuchy-jak-u-babci-przepis-siostry-anieli%2C1927898%2Csmaker.html
來源頁實拍；僅作私人行程辨識。</v>
      </c>
      <c r="M46" s="1127" t="str">
        <v>全國</v>
      </c>
      <c r="N46" s="1127" t="str">
        <v>不強求</v>
      </c>
      <c r="O46" s="1127" t="str">
        <v>菜單／供應及胃口為準</v>
      </c>
      <c r="P46" s="1127"/>
      <c r="Q46" t="str">
        <v>未吃</v>
      </c>
    </row>
    <row r="47" ht="180" customHeight="1">
      <c r="A47" s="1178" t="str">
        <v>甜早餐</v>
      </c>
      <c r="B47" s="1178" t="str">
        <v>Naleśniki z serem</v>
      </c>
      <c r="C47" s="1178" t="str">
        <v>Cheese-filled crepes</v>
      </c>
      <c r="D47" s="1178" t="str">
        <v>甜乳酪薄餅</v>
      </c>
      <c r="E47" s="1178" t="str">
        <v>柔軟、twaróg 乳香</v>
      </c>
      <c r="F47" s="1178" t="str">
        <v>★★★★☆</v>
      </c>
      <c r="G47" s="1182" t="str">
        <v>✅ 12/23 早餐</v>
      </c>
      <c r="H47" s="1178" t="str">
        <v>12/23</v>
      </c>
      <c r="I47" s="1178" t="str">
        <v>Bar Mleczny Bambino</v>
      </c>
      <c r="J47" s="1178" t="str">
        <v>早餐一份共享</v>
      </c>
      <c r="K47" s="1178"/>
      <c r="L47" s="1178" t="str">
        <v>真實菜色照片（非指定餐廳出品）
照片來源：https://smaki.pl/przepisy/szybki-przepis/10960996/do-twarozku-dodaje-jeden-aromatyczny-skladnik-prosty-przepis-na-slodkie-nalesniki-z-serem.html
來源頁實拍；僅作私人行程辨識。</v>
      </c>
      <c r="M47" s="1178" t="str">
        <v>全國</v>
      </c>
      <c r="N47" s="1178" t="str">
        <v>已安排</v>
      </c>
      <c r="O47" s="1178" t="str">
        <v>菜單／供應及胃口為準</v>
      </c>
      <c r="P47" s="1178"/>
      <c r="Q47" t="str">
        <v>未吃</v>
      </c>
    </row>
    <row r="48" ht="180" customHeight="1">
      <c r="A48" s="1127" t="str">
        <v>聖誕魚</v>
      </c>
      <c r="B48" s="1127" t="str">
        <v>Karp smażony</v>
      </c>
      <c r="C48" s="1127" t="str">
        <v>Fried carp</v>
      </c>
      <c r="D48" s="1127" t="str">
        <v>炸鯉魚</v>
      </c>
      <c r="E48" s="1127" t="str">
        <v>淡水魚、炸香</v>
      </c>
      <c r="F48" s="1127" t="str">
        <v>★★★★☆</v>
      </c>
      <c r="G48" s="1130" t="str">
        <v>🟡 平安夜若有就補</v>
      </c>
      <c r="H48" s="1127" t="str">
        <v>12/24</v>
      </c>
      <c r="I48" s="1127" t="str">
        <v>Christmas set／傳統店</v>
      </c>
      <c r="J48" s="1127" t="str">
        <v>若套餐是 cod 就不為 carp 另加一份</v>
      </c>
      <c r="K48" s="1127"/>
      <c r="L48" s="1127" t="str">
        <v>真實菜色照片（非指定餐廳出品）
照片來源：https://schroniskobukowina.pl/blog/karp-wigilijny-magdy-gessler
來源頁實拍；僅作私人行程辨識。</v>
      </c>
      <c r="M48" s="1127" t="str">
        <v>全國／聖誕</v>
      </c>
      <c r="N48" s="1127" t="str">
        <v>季節性</v>
      </c>
      <c r="O48" s="1127" t="str">
        <v>菜單／供應及胃口為準</v>
      </c>
      <c r="P48" s="1127"/>
      <c r="Q48" t="str">
        <v>未吃</v>
      </c>
    </row>
    <row r="49" ht="180" customHeight="1">
      <c r="A49" s="1178" t="str">
        <v>聖誕魚</v>
      </c>
      <c r="B49" s="1178" t="str">
        <v>Ryba po grecku</v>
      </c>
      <c r="C49" s="1178" t="str">
        <v>Polish 'Greek-style' fish</v>
      </c>
      <c r="D49" s="1178" t="str">
        <v>炸／煎魚配紅蘿蔔番茄蔬菜醬</v>
      </c>
      <c r="E49" s="1178" t="str">
        <v>酸甜蔬菜＋魚</v>
      </c>
      <c r="F49" s="1178" t="str">
        <v>★★★★★</v>
      </c>
      <c r="G49" s="1182" t="str">
        <v>✅ 12/24 晚候選</v>
      </c>
      <c r="H49" s="1178" t="str">
        <v>12/24</v>
      </c>
      <c r="I49" s="1178" t="str">
        <v>尚未安排；向保留的傳統波蘭餐廳核對供應，不保證在新餐廳吃到</v>
      </c>
      <c r="J49" s="1178" t="str">
        <v>小份即可</v>
      </c>
      <c r="K49" s="1178"/>
      <c r="L49" s="1178" t="str">
        <v>真實菜色照片（非指定餐廳出品）
照片來源：https://www.mojegotowanie.pl/artykul/czy-mozna-mrozic-rybe-po-grecku-mamy-sposob-na-swiateczne-resztki
來源頁實拍；僅作私人行程辨識。</v>
      </c>
      <c r="M49" s="1178" t="str">
        <v>全國／聖誕</v>
      </c>
      <c r="N49" s="1178" t="str">
        <v>名字雖叫 Greek 其實很波蘭</v>
      </c>
      <c r="O49" s="1178" t="str">
        <v>菜單／供應及胃口為準</v>
      </c>
      <c r="P49" s="1178"/>
      <c r="Q49" t="str">
        <v>未吃</v>
      </c>
    </row>
    <row r="50" ht="180" customHeight="1">
      <c r="A50" s="1178" t="str">
        <v>聖誕配菜</v>
      </c>
      <c r="B50" s="1178" t="str">
        <v>Kapusta z grzybami</v>
      </c>
      <c r="C50" s="1178" t="str">
        <v>Sauerkraut with mushrooms</v>
      </c>
      <c r="D50" s="1178" t="str">
        <v>酸椰菜燉蘑菇</v>
      </c>
      <c r="E50" s="1178" t="str">
        <v>酸香、森林菇味</v>
      </c>
      <c r="F50" s="1178" t="str">
        <v>★★★★★</v>
      </c>
      <c r="G50" s="1182" t="str">
        <v>✅ 12/24 晚候選</v>
      </c>
      <c r="H50" s="1178" t="str">
        <v>12/24</v>
      </c>
      <c r="I50" s="1178" t="str">
        <v>尚未安排；向保留的傳統波蘭餐廳核對供應，不保證在新餐廳吃到</v>
      </c>
      <c r="J50" s="1178" t="str">
        <v>跟魚／餃子少量分食</v>
      </c>
      <c r="K50" s="1178"/>
      <c r="L50" s="1178" t="str">
        <v>真實菜色照片（非指定餐廳出品）
照片來源：https://lepotesrbije.alo.rs/gastronomija/vesti/15651/kad-kuvate-kiseli-kupus-dodajte-ovaj-zacin--sprecava-nadimanje-i-teske-mirise.html
來源頁實拍；僅作私人行程辨識。</v>
      </c>
      <c r="M50" s="1178" t="str">
        <v>全國／聖誕</v>
      </c>
      <c r="N50" s="1178" t="str">
        <v>平安夜代表</v>
      </c>
      <c r="O50" s="1178" t="str">
        <v>菜單／供應及胃口為準</v>
      </c>
      <c r="P50" s="1178"/>
      <c r="Q50" t="str">
        <v>未吃</v>
      </c>
    </row>
    <row r="51" ht="180" customHeight="1">
      <c r="A51" s="1127" t="str">
        <v>聖誕飲品</v>
      </c>
      <c r="B51" s="1127" t="str">
        <v>Kompot z suszu</v>
      </c>
      <c r="C51" s="1127" t="str">
        <v>Dried-fruit compote</v>
      </c>
      <c r="D51" s="1127" t="str">
        <v>乾果煮飲</v>
      </c>
      <c r="E51" s="1127" t="str">
        <v>煙燻梅、蘋果、梨，甜香特殊</v>
      </c>
      <c r="F51" s="1127" t="str">
        <v>★★★★☆</v>
      </c>
      <c r="G51" s="1130" t="str">
        <v>🟡 Christmas set 有就喝</v>
      </c>
      <c r="H51" s="1127" t="str">
        <v>12/24</v>
      </c>
      <c r="I51" s="1127" t="str">
        <v>平安夜套餐／家庭式餐館</v>
      </c>
      <c r="J51" s="1127" t="str">
        <v>一杯體驗即可</v>
      </c>
      <c r="K51" s="1127"/>
      <c r="L51" s="1127" t="str">
        <v>真實菜色照片（非指定餐廳出品）
照片來源：https://smaki.pl/przepisy/napoje/10994469/kompot-z-suszu-robie-bez-ciezkich-przypraw-tak-pyszny-ze-znika-razem-z-owocami.html
來源頁實拍；僅作私人行程辨識。</v>
      </c>
      <c r="M51" s="1127" t="str">
        <v>全國／聖誕</v>
      </c>
      <c r="N51" s="1127" t="str">
        <v>口味很有個性</v>
      </c>
      <c r="O51" s="1127" t="str">
        <v>菜單／供應及胃口為準</v>
      </c>
      <c r="P51" s="1127"/>
      <c r="Q51" t="str">
        <v>未吃</v>
      </c>
    </row>
    <row r="52" ht="180" customHeight="1">
      <c r="A52" s="1156" t="str">
        <v>聖誕／東部</v>
      </c>
      <c r="B52" s="1156" t="str">
        <v>Kutia</v>
      </c>
      <c r="C52" s="1156" t="str">
        <v>Wheat-poppy seed Christmas pudding</v>
      </c>
      <c r="D52" s="1156" t="str">
        <v>小麥＋罌粟籽＋蜂蜜＋堅果葡萄乾</v>
      </c>
      <c r="E52" s="1156" t="str">
        <v>濃甜、堅果、罌粟籽</v>
      </c>
      <c r="F52" s="1156" t="str">
        <v>★★★☆☆</v>
      </c>
      <c r="G52" s="1160" t="str">
        <v>⚪ 有就試，不專程</v>
      </c>
      <c r="H52" s="1156"/>
      <c r="I52" s="1156" t="str">
        <v>Christmas speciality 店家</v>
      </c>
      <c r="J52" s="1156" t="str">
        <v>華沙不是每家有</v>
      </c>
      <c r="K52" s="1156"/>
      <c r="L52" s="1156" t="str">
        <v>真實菜色照片（非指定餐廳出品）
照片來源：https://www.chillizet.pl/kulinaria/jedno-z-najstarszych-dan-wigilijnych-przepis-na-kutie-jak-u-babci
來源頁實拍；僅作私人行程辨識。</v>
      </c>
      <c r="M52" s="1156" t="str">
        <v>東部／聖誕</v>
      </c>
      <c r="N52" s="1156" t="str">
        <v>區域性</v>
      </c>
      <c r="O52" s="1156" t="str">
        <v>菜單／供應及胃口為準</v>
      </c>
      <c r="P52" s="1156"/>
      <c r="Q52" t="str">
        <v>未吃</v>
      </c>
    </row>
    <row r="53" ht="180" customHeight="1">
      <c r="A53" s="1156" t="str">
        <v>區域乳酪</v>
      </c>
      <c r="B53" s="1156" t="str">
        <v>Oscypek</v>
      </c>
      <c r="C53" s="1156" t="str">
        <v>Smoked sheep cheese</v>
      </c>
      <c r="D53" s="1156" t="str">
        <v>塔特拉煙燻羊乳酪</v>
      </c>
      <c r="E53" s="1156" t="str">
        <v>煙燻、鹹、Q彈</v>
      </c>
      <c r="F53" s="1156" t="str">
        <v>★★★☆☆</v>
      </c>
      <c r="G53" s="1160" t="str">
        <v>⚪ 市集看到才試</v>
      </c>
      <c r="H53" s="1156"/>
      <c r="I53" s="1156" t="str">
        <v>Christmas market／regional stall</v>
      </c>
      <c r="J53" s="1156" t="str">
        <v>小塊即可</v>
      </c>
      <c r="K53" s="1156"/>
      <c r="L53" s="1156" t="str">
        <v>真實菜色照片（非指定餐廳出品）
照片來源：https://cheesescientist.com/stories/obscure-cheeses/
來源頁實拍；僅作私人行程辨識。</v>
      </c>
      <c r="M53" s="1156" t="str">
        <v>山區／全國可見</v>
      </c>
      <c r="N53" s="1156" t="str">
        <v>不是華沙本地</v>
      </c>
      <c r="O53" s="1156" t="str">
        <v>菜單／供應及胃口為準</v>
      </c>
      <c r="P53" s="1156"/>
      <c r="Q53" t="str">
        <v>未吃</v>
      </c>
    </row>
    <row r="55">
      <c r="A55" t="str">
        <f>HYPERLINK("#'每日行程'!A1","返回每日行程")</f>
        <v>返回每日行程</v>
      </c>
    </row>
  </sheetData>
  <mergeCells>
    <mergeCell ref="A1:N1"/>
    <mergeCell ref="A2:N2"/>
    <mergeCell ref="A3:N3"/>
  </mergeCells>
  <conditionalFormatting sqref="Q5:Q53">
    <cfRule type="containsText" dxfId="21" priority="1" operator="containsText" text="已吃"/>
  </conditionalFormatting>
  <dataValidations count="1">
    <dataValidation type="list" sqref="Q5:Q53">
      <formula1>"未吃,已吃,跳過"</formula1>
    </dataValidation>
  </dataValidations>
  <pageMargins left="0.7" right="0.7" top="0.75" bottom="0.75" header="0.3" footer="0.3"/>
  <drawing ns1:id="R3df15693cd1f4de3"/>
  <tableParts count="1">
    <tablePart ns1:id="R92f2f72396144531"/>
  </tableParts>
</worksheet>
</file>

<file path=xl/worksheets/sheet13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2" ySplit="4" topLeftCell="C5" activePane="bottomRight" state="frozen"/>
    </sheetView>
  </sheetViews>
  <sheetFormatPr defaultRowHeight="15"/>
  <cols>
    <col min="1" max="1" width="18" hidden="0" customWidth="1"/>
    <col min="2" max="2" width="28" hidden="0" customWidth="1"/>
    <col min="3" max="3" width="28" hidden="0" customWidth="1"/>
    <col min="4" max="4" width="34" hidden="0" customWidth="1"/>
    <col min="5" max="5" width="28" hidden="0" customWidth="1"/>
    <col min="6" max="6" width="14" hidden="0" customWidth="1"/>
    <col min="7" max="7" width="19" hidden="0" customWidth="1"/>
    <col min="8" max="8" width="14" hidden="0" customWidth="1"/>
    <col min="9" max="9" width="35" hidden="0" customWidth="1"/>
    <col min="10" max="10" width="36" hidden="0" customWidth="1"/>
    <col min="11" max="11" width="38" hidden="0" customWidth="1"/>
    <col min="12" max="12" width="31" hidden="0" customWidth="1"/>
    <col min="13" max="13" width="18" hidden="0" customWidth="1"/>
    <col min="14" max="14" width="30" hidden="0" customWidth="1"/>
    <col min="15" max="15" width="26" hidden="0" customWidth="1"/>
    <col min="16" max="16" width="12" hidden="0" customWidth="1"/>
    <col min="17" max="17" width="20" hidden="0" customWidth="1"/>
  </cols>
  <sheetData>
    <row r="1">
      <c r="A1" s="1222" t="str">
        <v>伊斯坦堡・土耳其當地特色菜｜食物／甜點集中在這一頁</v>
      </c>
      <c r="B1" s="1220"/>
      <c r="C1" s="1220"/>
      <c r="D1" s="1220"/>
      <c r="E1" s="1220"/>
      <c r="F1" s="1220"/>
      <c r="G1" s="1220"/>
      <c r="H1" s="1220"/>
      <c r="I1" s="1220"/>
      <c r="J1" s="1220"/>
      <c r="K1" s="1220"/>
      <c r="L1" s="1220"/>
      <c r="M1" s="1220"/>
      <c r="N1" s="1220"/>
      <c r="O1" s="1220"/>
      <c r="P1" s="1220"/>
    </row>
    <row r="2">
      <c r="A2" s="1164" t="str">
        <v>菜色頁：✅＝已安排嘗試機會（不代表已吃）；🟡＝有胃口才補；⚪＝不強求。餐廳營業看「訂位與待辦」。照片為真實菜色，來源欄註明是否指定餐廳出品。</v>
      </c>
      <c r="B2" s="1164"/>
      <c r="C2" s="1164"/>
      <c r="D2" s="1164"/>
      <c r="E2" s="1164"/>
      <c r="F2" s="1164"/>
      <c r="G2" s="1164"/>
      <c r="H2" s="1164"/>
      <c r="I2" s="1164"/>
      <c r="J2" s="1164"/>
      <c r="K2" s="1164"/>
      <c r="L2" s="1164"/>
      <c r="M2" s="1164"/>
      <c r="N2" s="1164"/>
      <c r="O2" s="1164"/>
      <c r="P2" s="1164"/>
    </row>
    <row r="3">
      <c r="A3" s="1178" t="str">
        <v>每餐一款核心菜＋一至兩款共享配菜；不用完成所有菜色。照片直接嵌入，沒有核實照片就留空。</v>
      </c>
      <c r="B3" s="1178"/>
      <c r="C3" s="1178"/>
      <c r="D3" s="1178"/>
      <c r="E3" s="1178"/>
      <c r="F3" s="1178"/>
      <c r="G3" s="1178"/>
      <c r="H3" s="1178"/>
      <c r="I3" s="1178"/>
      <c r="J3" s="1178"/>
      <c r="K3" s="1178"/>
      <c r="L3" s="1178"/>
      <c r="M3" s="1178"/>
      <c r="N3" s="1178"/>
      <c r="O3" s="1178"/>
      <c r="P3" s="1178"/>
    </row>
    <row r="4" ht="40" customHeight="1">
      <c r="A4" s="1267" t="str">
        <v>類別</v>
      </c>
      <c r="B4" s="1267" t="str">
        <v>土耳其文</v>
      </c>
      <c r="C4" s="1267" t="str">
        <v>English</v>
      </c>
      <c r="D4" s="1267" t="str">
        <v>中文／是什麼</v>
      </c>
      <c r="E4" s="1267" t="str">
        <v>味道／口感</v>
      </c>
      <c r="F4" s="1267" t="str">
        <v>推薦程度</v>
      </c>
      <c r="G4" s="1267" t="str">
        <v>本次狀態</v>
      </c>
      <c r="H4" s="1267" t="str">
        <v>安排日期</v>
      </c>
      <c r="I4" s="1267" t="str">
        <v>去哪裡吃／怎樣補</v>
      </c>
      <c r="J4" s="1267" t="str">
        <v>避免重複的點法</v>
      </c>
      <c r="K4" s="1267" t="str">
        <v>實際照片（直接嵌入）</v>
      </c>
      <c r="L4" s="1267" t="str">
        <v>店家／來源</v>
      </c>
      <c r="M4" s="1267" t="str">
        <v>是否伊斯坦堡代表</v>
      </c>
      <c r="N4" s="1267" t="str">
        <v>備註</v>
      </c>
      <c r="O4" s="1267" t="str">
        <v>對應餐廳頁</v>
      </c>
      <c r="P4" s="1267" t="str">
        <v>優先度</v>
      </c>
      <c r="Q4" s="1275" t="str">
        <v>實際品嚐狀態</v>
      </c>
    </row>
    <row r="5" ht="180" customHeight="1">
      <c r="A5" s="1178" t="str">
        <v>魚／街頭專門</v>
      </c>
      <c r="B5" s="1178" t="str">
        <v>Balık dürüm</v>
      </c>
      <c r="C5" s="1178" t="str">
        <v>Fish wrap</v>
      </c>
      <c r="D5" s="1178" t="str">
        <v>烤魚捲餅／魚肉 dürüm</v>
      </c>
      <c r="E5" s="1178" t="str">
        <v>魚香、炭烤、檸檬酸香</v>
      </c>
      <c r="F5" s="1178" t="str">
        <v>★★★★★</v>
      </c>
      <c r="G5" s="1182" t="str">
        <v>🎉 多日指定魚捲候選</v>
      </c>
      <c r="H5" s="1178" t="str">
        <v>12/27–12/30</v>
      </c>
      <c r="I5" s="1178" t="str">
        <v>MAFish Wrap</v>
      </c>
      <c r="J5" s="1178" t="str">
        <v>兩人各一個或分食；不要同晚再吃大量海鮮</v>
      </c>
      <c r="K5" s="1178"/>
      <c r="L5" s="1178" t="str">
        <v>真實菜色照片（非指定餐廳出品）
照片來源：https://ameblo.jp/ayay162cm/entry-12934954211.html
來源頁實拍；僅作私人行程辨識。</v>
      </c>
      <c r="M5" s="1178" t="str">
        <v>是</v>
      </c>
      <c r="N5" s="1178" t="str">
        <v>Karaköy 很適合第一晚</v>
      </c>
      <c r="O5" s="1178" t="str">
        <v>MAFish Wrap</v>
      </c>
      <c r="P5" s="1178" t="str">
        <v>最高</v>
      </c>
      <c r="Q5" t="str">
        <v>未吃</v>
      </c>
    </row>
    <row r="6" ht="180" customHeight="1">
      <c r="A6" s="1178" t="str">
        <v>魚／街頭專門</v>
      </c>
      <c r="B6" s="1178" t="str">
        <v>Uskumru dürüm</v>
      </c>
      <c r="C6" s="1178" t="str">
        <v>Mackerel wrap</v>
      </c>
      <c r="D6" s="1178" t="str">
        <v>鯖魚捲餅</v>
      </c>
      <c r="E6" s="1178" t="str">
        <v>油脂較香、炭烤味重</v>
      </c>
      <c r="F6" s="1178" t="str">
        <v>★★★★★</v>
      </c>
      <c r="G6" s="1182" t="str">
        <v>🎉 多日指定魚捲候選</v>
      </c>
      <c r="H6" s="1178" t="str">
        <v>12/27–12/30</v>
      </c>
      <c r="I6" s="1178" t="str">
        <v>MAFish Wrap</v>
      </c>
      <c r="J6" s="1178" t="str">
        <v>和普通 balık dürüm 二選一／交換半份</v>
      </c>
      <c r="K6" s="1178"/>
      <c r="L6" s="1178" t="str">
        <v>真實菜色照片（非指定餐廳出品）
照片來源：https://www.nefisyemektarifleri.com/video/uskumru-durum/
來源頁實拍；僅作私人行程辨識。</v>
      </c>
      <c r="M6" s="1178" t="str">
        <v>是</v>
      </c>
      <c r="N6" s="1178" t="str">
        <v>你指定店核心</v>
      </c>
      <c r="O6" s="1178" t="str">
        <v>MAFish Wrap</v>
      </c>
      <c r="P6" s="1178" t="str">
        <v>最高</v>
      </c>
      <c r="Q6" t="str">
        <v>未吃</v>
      </c>
    </row>
    <row r="7" ht="180" customHeight="1">
      <c r="A7" s="1178" t="str">
        <v>烤肉捲</v>
      </c>
      <c r="B7" s="1178" t="str">
        <v>Adana dürüm</v>
      </c>
      <c r="C7" s="1178" t="str">
        <v>Adana kebab wrap</v>
      </c>
      <c r="D7" s="1178" t="str">
        <v>辣味肉末烤串捲</v>
      </c>
      <c r="E7" s="1178" t="str">
        <v>炭香、微辣、肉汁</v>
      </c>
      <c r="F7" s="1178" t="str">
        <v>★★★★★</v>
      </c>
      <c r="G7" s="1182" t="str">
        <v>🎉 指定肉捲候選・供應待核</v>
      </c>
      <c r="H7" s="1178" t="str">
        <v>12/28、12/29、12/30</v>
      </c>
      <c r="I7" s="1178" t="str">
        <v>Dürümcü Mustafa（待定）／Dürümcü Raif Usta；當日菜單先核</v>
      </c>
      <c r="J7" s="1178" t="str">
        <v>和 ciğer 各一交換吃</v>
      </c>
      <c r="K7" s="1178"/>
      <c r="L7" s="1178" t="str">
        <v>真實菜色照片（非指定餐廳出品）
照片來源：https://www.yemeksepeti.com/restaurant/wgbh/adnan-usta-01-kebap-wgbh
來源頁實拍；僅作私人行程辨識。</v>
      </c>
      <c r="M7" s="1178" t="str">
        <v>全土耳其常見</v>
      </c>
      <c r="N7" s="1178" t="str">
        <v>專門店吃最對</v>
      </c>
      <c r="O7" s="1178" t="str">
        <v>Dürümcü Raif Usta</v>
      </c>
      <c r="P7" s="1178" t="str">
        <v>最高</v>
      </c>
      <c r="Q7" t="str">
        <v>未吃</v>
      </c>
    </row>
    <row r="8" ht="180" customHeight="1">
      <c r="A8" s="1178" t="str">
        <v>內臟烤肉</v>
      </c>
      <c r="B8" s="1178" t="str">
        <v>Ciğer dürüm</v>
      </c>
      <c r="C8" s="1178" t="str">
        <v>Liver wrap</v>
      </c>
      <c r="D8" s="1178" t="str">
        <v>烤肝捲餅</v>
      </c>
      <c r="E8" s="1178" t="str">
        <v>肝香、炭香、口感爽</v>
      </c>
      <c r="F8" s="1178" t="str">
        <v>★★★★★</v>
      </c>
      <c r="G8" s="1182" t="str">
        <v>🎉 指定肉捲候選・供應待核</v>
      </c>
      <c r="H8" s="1178" t="str">
        <v>12/28、12/29、12/30</v>
      </c>
      <c r="I8" s="1178" t="str">
        <v>Dürümcü Mustafa（待定）／Dürümcü Raif Usta；當日菜單先核</v>
      </c>
      <c r="J8" s="1178" t="str">
        <v>不吃肝就換 Tavuk şiş</v>
      </c>
      <c r="K8" s="1178"/>
      <c r="L8" s="1178" t="str">
        <v>真實菜色照片（非指定餐廳出品）
照片來源：https://www.damlakebap.com/menu
來源頁實拍；僅作私人行程辨識。</v>
      </c>
      <c r="M8" s="1178" t="str">
        <v>區域菜／伊斯坦堡常見</v>
      </c>
      <c r="N8" s="1178" t="str">
        <v>非常專門</v>
      </c>
      <c r="O8" s="1178" t="str">
        <v>Dürümcü Raif Usta</v>
      </c>
      <c r="P8" s="1178" t="str">
        <v>最高</v>
      </c>
      <c r="Q8" t="str">
        <v>未吃</v>
      </c>
    </row>
    <row r="9" ht="180" customHeight="1">
      <c r="A9" s="1178" t="str">
        <v>早餐</v>
      </c>
      <c r="B9" s="1178" t="str">
        <v>Bal kaymak</v>
      </c>
      <c r="C9" s="1178" t="str">
        <v>Honey &amp; clotted cream</v>
      </c>
      <c r="D9" s="1178" t="str">
        <v>蜂蜜＋凝脂奶油</v>
      </c>
      <c r="E9" s="1178" t="str">
        <v>奶香濃、蜂蜜甜</v>
      </c>
      <c r="F9" s="1178" t="str">
        <v>★★★★★</v>
      </c>
      <c r="G9" s="1182" t="str">
        <v>🎉 指定早餐候選・供應先核</v>
      </c>
      <c r="H9" s="1178" t="str">
        <v>12/28–12/31</v>
      </c>
      <c r="I9" s="1178" t="str">
        <v>Boris'in Yeri／HASAN FEHMİ ÖZSÜT 1915</v>
      </c>
      <c r="J9" s="1178" t="str">
        <v>兩店都會碰到；其中一餐吃完整份，另一餐少量即可</v>
      </c>
      <c r="K9" s="1178"/>
      <c r="L9" s="1178" t="str">
        <v>真實菜色照片（非指定餐廳出品）
照片來源：https://note.com/onakasuitayo0112/n/na88a403e9bc6
來源頁實拍；僅作私人行程辨識。</v>
      </c>
      <c r="M9" s="1178" t="str">
        <v>是</v>
      </c>
      <c r="N9" s="1178" t="str">
        <v>你的早餐偏好核心</v>
      </c>
      <c r="O9" s="1178" t="str">
        <v>Boris／HASAN</v>
      </c>
      <c r="P9" s="1178" t="str">
        <v>最高</v>
      </c>
      <c r="Q9" t="str">
        <v>未吃</v>
      </c>
    </row>
    <row r="10" ht="180" customHeight="1">
      <c r="A10" s="1178" t="str">
        <v>早餐</v>
      </c>
      <c r="B10" s="1178" t="str">
        <v>Sucuklu yumurta</v>
      </c>
      <c r="C10" s="1178" t="str">
        <v>Eggs with sucuk</v>
      </c>
      <c r="D10" s="1178" t="str">
        <v>土耳其香腸煎蛋</v>
      </c>
      <c r="E10" s="1178" t="str">
        <v>鹹香、油脂、很下麵包</v>
      </c>
      <c r="F10" s="1178" t="str">
        <v>★★★★★</v>
      </c>
      <c r="G10" s="1182" t="str">
        <v>🎉 指定早餐候選・供應先核</v>
      </c>
      <c r="H10" s="1178" t="str">
        <v>12/28–12/31</v>
      </c>
      <c r="I10" s="1178" t="str">
        <v>HASAN FEHMİ ÖZSÜT 1915</v>
      </c>
      <c r="J10" s="1178" t="str">
        <v>Boris 若也吃香腸蛋，HASAN 可換 pastırma</v>
      </c>
      <c r="K10" s="1178"/>
      <c r="L10" s="1178" t="str">
        <v>真實菜色照片（非指定餐廳出品）
照片來源：https://onedio.com/haber/istanbul-da-sucuklu-yumurtayi-en-iyi-yapan-10-mekan-406908
來源頁實拍；僅作私人行程辨識。</v>
      </c>
      <c r="M10" s="1178" t="str">
        <v>全國</v>
      </c>
      <c r="N10" s="1178" t="str">
        <v>避免兩天完全重複</v>
      </c>
      <c r="O10" s="1178" t="str">
        <v>HASAN</v>
      </c>
      <c r="P10" s="1178" t="str">
        <v>高</v>
      </c>
      <c r="Q10" t="str">
        <v>未吃</v>
      </c>
    </row>
    <row r="11" ht="180" customHeight="1">
      <c r="A11" s="1178" t="str">
        <v>早餐</v>
      </c>
      <c r="B11" s="1178" t="str">
        <v>Pastırmalı yumurta</v>
      </c>
      <c r="C11" s="1178" t="str">
        <v>Eggs with pastırma</v>
      </c>
      <c r="D11" s="1178" t="str">
        <v>風乾牛肉煎蛋</v>
      </c>
      <c r="E11" s="1178" t="str">
        <v>鹹香、香料味強</v>
      </c>
      <c r="F11" s="1178" t="str">
        <v>★★★★★</v>
      </c>
      <c r="G11" s="1182" t="str">
        <v>🎉 指定早餐候選・供應先核</v>
      </c>
      <c r="H11" s="1178" t="str">
        <v>12/28–12/31</v>
      </c>
      <c r="I11" s="1178" t="str">
        <v>Boris'in Yeri／HASAN</v>
      </c>
      <c r="J11" s="1178" t="str">
        <v>和 sucuklu yumurta 二選一</v>
      </c>
      <c r="K11" s="1178"/>
      <c r="L11" s="1178" t="str">
        <v>真實菜色照片（非指定餐廳出品）
照片來源：https://menu.hacimehmetsan.com/menu/115/sahanda-pastirmali-yumurta
來源頁實拍；僅作私人行程辨識。</v>
      </c>
      <c r="M11" s="1178" t="str">
        <v>全國</v>
      </c>
      <c r="N11" s="1178" t="str">
        <v>比一般 breakfast platter 更有特色</v>
      </c>
      <c r="O11" s="1178" t="str">
        <v>Boris／HASAN</v>
      </c>
      <c r="P11" s="1178" t="str">
        <v>高</v>
      </c>
      <c r="Q11" t="str">
        <v>未吃</v>
      </c>
    </row>
    <row r="12" ht="180" customHeight="1">
      <c r="A12" s="1127" t="str">
        <v>早餐</v>
      </c>
      <c r="B12" s="1127" t="str">
        <v>Menemen</v>
      </c>
      <c r="C12" s="1127" t="str">
        <v>Menemen</v>
      </c>
      <c r="D12" s="1127" t="str">
        <v>番茄青椒炒蛋</v>
      </c>
      <c r="E12" s="1127" t="str">
        <v>酸甜番茄、蛋柔軟</v>
      </c>
      <c r="F12" s="1127" t="str">
        <v>★★★★☆</v>
      </c>
      <c r="G12" s="1130" t="str">
        <v>○ 本次未安排；指定早餐店如有供應才試</v>
      </c>
      <c r="H12" s="1127" t="str">
        <v>—</v>
      </c>
      <c r="I12" s="1127" t="str">
        <v>Boris's Place／HASAN FEHMİ；是否供應未確認</v>
      </c>
      <c r="J12" s="1127" t="str">
        <v>已有 Boris/HASAN，不專程再吃早餐</v>
      </c>
      <c r="K12" s="1127"/>
      <c r="L12" s="1127" t="str">
        <v>真實菜色照片（非指定餐廳出品）
照片來源：https://www.lezzet.com.tr/yemek-tarifleri/pratik-yemekler/pratik-yemek-tarifleri/menemen-tarifi
來源頁實拍；僅作私人行程辨識。</v>
      </c>
      <c r="M12" s="1127" t="str">
        <v>全國</v>
      </c>
      <c r="N12" s="1127" t="str">
        <v>經典但本次非必需</v>
      </c>
      <c r="O12" s="1127" t="str">
        <v>Lades Menemen</v>
      </c>
      <c r="P12" s="1127" t="str">
        <v>中</v>
      </c>
      <c r="Q12" t="str">
        <v>未吃</v>
      </c>
    </row>
    <row r="13" ht="180" customHeight="1">
      <c r="A13" s="1127" t="str">
        <v>早餐／烘焙</v>
      </c>
      <c r="B13" s="1127" t="str">
        <v>Börek</v>
      </c>
      <c r="C13" s="1127" t="str">
        <v>Börek</v>
      </c>
      <c r="D13" s="1127" t="str">
        <v>土耳其酥皮／薄麵皮餡餅</v>
      </c>
      <c r="E13" s="1127" t="str">
        <v>酥、奶酪／肉餡鹹香</v>
      </c>
      <c r="F13" s="1127" t="str">
        <v>★★★★☆</v>
      </c>
      <c r="G13" s="1130" t="str">
        <v>○ 本次未安排</v>
      </c>
      <c r="H13" s="1127" t="str">
        <v>—</v>
      </c>
      <c r="I13" s="1127" t="str">
        <v>Namlı Gurme</v>
      </c>
      <c r="J13" s="1127" t="str">
        <v>小份即可；午餐有 dürüm</v>
      </c>
      <c r="K13" s="1127"/>
      <c r="L13" s="1127" t="str">
        <v>真實菜色照片（非指定餐廳出品）
照片來源：https://www.yemeksepeti.com/en/restaurant/hr59/tarihi-karakoy-borekcisi-hr59
來源頁實拍；僅作私人行程辨識。</v>
      </c>
      <c r="M13" s="1127" t="str">
        <v>全國</v>
      </c>
      <c r="N13" s="1127" t="str">
        <v>早餐代表</v>
      </c>
      <c r="O13" s="1127" t="str">
        <v>三餐改為你指定五家；原品嚐機會取消，保持未吃。</v>
      </c>
      <c r="P13" s="1127" t="str">
        <v>中</v>
      </c>
      <c r="Q13" t="str">
        <v>未吃</v>
      </c>
    </row>
    <row r="14" ht="180" customHeight="1">
      <c r="A14" s="1178" t="str">
        <v>肉丸</v>
      </c>
      <c r="B14" s="1178" t="str">
        <v>Köfte</v>
      </c>
      <c r="C14" s="1178" t="str">
        <v>Grilled meatballs</v>
      </c>
      <c r="D14" s="1178" t="str">
        <v>土耳其烤肉丸</v>
      </c>
      <c r="E14" s="1178" t="str">
        <v>炭香、肉汁、香料較克制</v>
      </c>
      <c r="F14" s="1178" t="str">
        <v>★★★★★</v>
      </c>
      <c r="G14" s="1182" t="str">
        <v>○ 本次未安排</v>
      </c>
      <c r="H14" s="1178" t="str">
        <v>—</v>
      </c>
      <c r="I14" s="1178" t="str">
        <v>Şöhretler Beşiktaş Köftecisi</v>
      </c>
      <c r="J14" s="1178" t="str">
        <v>配 piyaz，不再加另一種烤肉</v>
      </c>
      <c r="K14" s="1178"/>
      <c r="L14" s="1178" t="str">
        <v>真實菜色照片（非指定餐廳出品）
照片來源：https://www.yemeksepeti.com/restaurant/rb7h/meshur-ortaklar-cop-sis-rb7h
來源頁實拍；僅作私人行程辨識。</v>
      </c>
      <c r="M14" s="1178" t="str">
        <v>全國／伊斯坦堡名店多</v>
      </c>
      <c r="N14" s="1178" t="str">
        <v>專門店版本</v>
      </c>
      <c r="O14" s="1178" t="str">
        <v>三餐改為你指定五家；原品嚐機會取消，保持未吃。</v>
      </c>
      <c r="P14" s="1178" t="str">
        <v>高</v>
      </c>
      <c r="Q14" t="str">
        <v>未吃</v>
      </c>
    </row>
    <row r="15" ht="180" customHeight="1">
      <c r="A15" s="1178" t="str">
        <v>配菜</v>
      </c>
      <c r="B15" s="1178" t="str">
        <v>Piyaz</v>
      </c>
      <c r="C15" s="1178" t="str">
        <v>White bean salad</v>
      </c>
      <c r="D15" s="1178" t="str">
        <v>白豆洋蔥沙律</v>
      </c>
      <c r="E15" s="1178" t="str">
        <v>豆香、醋酸、清爽</v>
      </c>
      <c r="F15" s="1178" t="str">
        <v>★★★★★</v>
      </c>
      <c r="G15" s="1182" t="str">
        <v>○ 本次未安排</v>
      </c>
      <c r="H15" s="1178" t="str">
        <v>—</v>
      </c>
      <c r="I15" s="1178" t="str">
        <v>Şöhretler Beşiktaş Köftecisi</v>
      </c>
      <c r="J15" s="1178" t="str">
        <v>和 köfte 一起才完整</v>
      </c>
      <c r="K15" s="1178"/>
      <c r="L15" s="1178" t="str">
        <v>https://www.google.com/maps/search/?api=1&amp;query=%C5%9E%C3%B6hretler%20Be%C5%9Fikta%C5%9F%20K%C3%B6ftecisi%20Istanbul</v>
      </c>
      <c r="M15" s="1178" t="str">
        <v>全國</v>
      </c>
      <c r="N15" s="1178" t="str">
        <v>配 köfte 必試</v>
      </c>
      <c r="O15" s="1178" t="str">
        <v>三餐改為你指定五家；原品嚐機會取消，保持未吃。</v>
      </c>
      <c r="P15" s="1178" t="str">
        <v>高</v>
      </c>
      <c r="Q15" t="str">
        <v>未吃</v>
      </c>
    </row>
    <row r="16" ht="180" customHeight="1">
      <c r="A16" s="1178" t="str">
        <v>鄂圖曼／家常</v>
      </c>
      <c r="B16" s="1178" t="str">
        <v>Kuzu tandır</v>
      </c>
      <c r="C16" s="1178" t="str">
        <v>Slow-roasted lamb</v>
      </c>
      <c r="D16" s="1178" t="str">
        <v>慢烤羊肉</v>
      </c>
      <c r="E16" s="1178" t="str">
        <v>軟嫩、肉香濃</v>
      </c>
      <c r="F16" s="1178" t="str">
        <v>★★★★★</v>
      </c>
      <c r="G16" s="1182" t="str">
        <v>○ 本次未安排</v>
      </c>
      <c r="H16" s="1178" t="str">
        <v>—</v>
      </c>
      <c r="I16" s="1178" t="str">
        <v>Hacı Abdullah Lokantası</v>
      </c>
      <c r="J16" s="1178" t="str">
        <v>與 beğendi 二選一大主菜</v>
      </c>
      <c r="K16" s="1178"/>
      <c r="L16" s="1178" t="str">
        <v>真實菜色照片（非指定餐廳出品）
照片來源：https://www.yalirize.com/Sayfa/kuzu_tandir-2.html
來源頁實拍；僅作私人行程辨識。</v>
      </c>
      <c r="M16" s="1178" t="str">
        <v>全國／鄂圖曼菜</v>
      </c>
      <c r="N16" s="1178" t="str">
        <v>老 lokanta 代表</v>
      </c>
      <c r="O16" s="1178" t="str">
        <v>三餐改為你指定五家；原品嚐機會取消，保持未吃。</v>
      </c>
      <c r="P16" s="1178" t="str">
        <v>高</v>
      </c>
      <c r="Q16" t="str">
        <v>未吃</v>
      </c>
    </row>
    <row r="17" ht="180" customHeight="1">
      <c r="A17" s="1178" t="str">
        <v>鄂圖曼</v>
      </c>
      <c r="B17" s="1178" t="str">
        <v>Hünkar beğendi</v>
      </c>
      <c r="C17" s="1178" t="str">
        <v>Lamb/beef over smoked eggplant purée</v>
      </c>
      <c r="D17" s="1178" t="str">
        <v>肉類配煙燻茄泥</v>
      </c>
      <c r="E17" s="1178" t="str">
        <v>煙燻茄子、奶香、肉汁</v>
      </c>
      <c r="F17" s="1178" t="str">
        <v>★★★★★</v>
      </c>
      <c r="G17" s="1182" t="str">
        <v>○ 本次未安排</v>
      </c>
      <c r="H17" s="1178" t="str">
        <v>—</v>
      </c>
      <c r="I17" s="1178" t="str">
        <v>Hacı Abdullah Lokantası</v>
      </c>
      <c r="J17" s="1178" t="str">
        <v>若點 kuzu tandır 就共享小份／二選一</v>
      </c>
      <c r="K17" s="1178"/>
      <c r="L17" s="1178" t="str">
        <v>真實菜色照片（非指定餐廳出品）
照片來源：https://www.mynet.com/hunkar-begendi-tarifi-hunkar-begendi-nasil-yapilir-1224616-myyemek
來源頁實拍；僅作私人行程辨識。</v>
      </c>
      <c r="M17" s="1178" t="str">
        <v>鄂圖曼代表</v>
      </c>
      <c r="N17" s="1178" t="str">
        <v>很值得</v>
      </c>
      <c r="O17" s="1178" t="str">
        <v>三餐改為你指定五家；原品嚐機會取消，保持未吃。</v>
      </c>
      <c r="P17" s="1178" t="str">
        <v>高</v>
      </c>
      <c r="Q17" t="str">
        <v>未吃</v>
      </c>
    </row>
    <row r="18" ht="180" customHeight="1">
      <c r="A18" s="1178" t="str">
        <v>冷前菜</v>
      </c>
      <c r="B18" s="1178" t="str">
        <v>Yaprak sarma</v>
      </c>
      <c r="C18" s="1178" t="str">
        <v>Stuffed vine leaves</v>
      </c>
      <c r="D18" s="1178" t="str">
        <v>葡萄葉包米飯香草</v>
      </c>
      <c r="E18" s="1178" t="str">
        <v>酸香、香草、橄欖油</v>
      </c>
      <c r="F18" s="1178" t="str">
        <v>★★★★☆</v>
      </c>
      <c r="G18" s="1182" t="str">
        <v>○ 本次未安排</v>
      </c>
      <c r="H18" s="1178" t="str">
        <v>—</v>
      </c>
      <c r="I18" s="1178" t="str">
        <v>Hacı Abdullah Lokantası</v>
      </c>
      <c r="J18" s="1178" t="str">
        <v>冷前菜只選 2–3 款</v>
      </c>
      <c r="K18" s="1178"/>
      <c r="L18" s="1178" t="str">
        <v>https://www.google.com/maps/search/?api=1&amp;query=Hac%C4%B1%20Abdullah%20Lokantas%C4%B1%20Istanbul</v>
      </c>
      <c r="M18" s="1178" t="str">
        <v>全國</v>
      </c>
      <c r="N18" s="1178" t="str">
        <v>meze 系統代表</v>
      </c>
      <c r="O18" s="1178" t="str">
        <v>三餐改為你指定五家；原品嚐機會取消，保持未吃。</v>
      </c>
      <c r="P18" s="1178" t="str">
        <v>高</v>
      </c>
      <c r="Q18" t="str">
        <v>未吃</v>
      </c>
    </row>
    <row r="19" ht="180" customHeight="1">
      <c r="A19" s="1178" t="str">
        <v>黑海</v>
      </c>
      <c r="B19" s="1178" t="str">
        <v>Muhlama / Kuymak</v>
      </c>
      <c r="C19" s="1178" t="str">
        <v>Cornmeal &amp; cheese fondue</v>
      </c>
      <c r="D19" s="1178" t="str">
        <v>玉米粉＋拉絲乳酪奶油</v>
      </c>
      <c r="E19" s="1178" t="str">
        <v>濃厚、奶香、拉絲</v>
      </c>
      <c r="F19" s="1178" t="str">
        <v>★★★★★</v>
      </c>
      <c r="G19" s="1182" t="str">
        <v>○ 本次未安排</v>
      </c>
      <c r="H19" s="1178" t="str">
        <v>—</v>
      </c>
      <c r="I19" s="1178" t="str">
        <v>Hayvore</v>
      </c>
      <c r="J19" s="1178" t="str">
        <v>兩人共享；很飽，不要另點太多澱粉</v>
      </c>
      <c r="K19" s="1178"/>
      <c r="L19" s="1178" t="str">
        <v>https://www.google.com/maps/search/?api=1&amp;query=Hayvore%20Istanbul</v>
      </c>
      <c r="M19" s="1178" t="str">
        <v>黑海地區</v>
      </c>
      <c r="N19" s="1178" t="str">
        <v>地域性強</v>
      </c>
      <c r="O19" s="1178" t="str">
        <v>三餐改為你指定五家；原品嚐機會取消，保持未吃。</v>
      </c>
      <c r="P19" s="1178" t="str">
        <v>最高</v>
      </c>
      <c r="Q19" t="str">
        <v>未吃</v>
      </c>
    </row>
    <row r="20" ht="180" customHeight="1">
      <c r="A20" s="1178" t="str">
        <v>黑海</v>
      </c>
      <c r="B20" s="1178" t="str">
        <v>Hamsili pilav</v>
      </c>
      <c r="C20" s="1178" t="str">
        <v>Anchovy rice</v>
      </c>
      <c r="D20" s="1178" t="str">
        <v>鯷魚包香料米飯</v>
      </c>
      <c r="E20" s="1178" t="str">
        <v>魚鮮、香草、米飯</v>
      </c>
      <c r="F20" s="1178" t="str">
        <v>★★★★★</v>
      </c>
      <c r="G20" s="1182" t="str">
        <v>○ 本次未安排</v>
      </c>
      <c r="H20" s="1178" t="str">
        <v>—</v>
      </c>
      <c r="I20" s="1178" t="str">
        <v>Hayvore</v>
      </c>
      <c r="J20" s="1178" t="str">
        <v>當季才吃；沒有就不勉強</v>
      </c>
      <c r="K20" s="1178"/>
      <c r="L20" s="1178" t="str">
        <v>真實菜色照片（非指定餐廳出品）
照片來源：https://www.takvim.com.tr/galeri/yasam/masterchef-hamsili-pilav-tarifi-malzemeleri-puf-noktalari-ve-adim-adim-yapilisi
來源頁實拍；僅作私人行程辨識。</v>
      </c>
      <c r="M20" s="1178" t="str">
        <v>黑海地區</v>
      </c>
      <c r="N20" s="1178" t="str">
        <v>冬季很合適</v>
      </c>
      <c r="O20" s="1178" t="str">
        <v>三餐改為你指定五家；原品嚐機會取消，保持未吃。</v>
      </c>
      <c r="P20" s="1178" t="str">
        <v>高</v>
      </c>
      <c r="Q20" t="str">
        <v>未吃</v>
      </c>
    </row>
    <row r="21" ht="180" customHeight="1">
      <c r="A21" s="1178" t="str">
        <v>黑海</v>
      </c>
      <c r="B21" s="1178" t="str">
        <v>Karalahana</v>
      </c>
      <c r="C21" s="1178" t="str">
        <v>Black cabbage dish</v>
      </c>
      <c r="D21" s="1178" t="str">
        <v>黑羽衣甘藍湯／燉菜</v>
      </c>
      <c r="E21" s="1178" t="str">
        <v>蔬菜、豆類、家常</v>
      </c>
      <c r="F21" s="1178" t="str">
        <v>★★★★☆</v>
      </c>
      <c r="G21" s="1182" t="str">
        <v>○ 本次未安排</v>
      </c>
      <c r="H21" s="1178" t="str">
        <v>—</v>
      </c>
      <c r="I21" s="1178" t="str">
        <v>Hayvore</v>
      </c>
      <c r="J21" s="1178" t="str">
        <v>用來平衡 muhlama／魚飯</v>
      </c>
      <c r="K21" s="1178"/>
      <c r="L21" s="1178" t="str">
        <v>真實菜色照片（非指定餐廳出品）
照片來源：https://www.milliyet.com.tr/yemek/tarif/karalahana-yemegi-tarifi-2576353
來源頁實拍；僅作私人行程辨識。</v>
      </c>
      <c r="M21" s="1178" t="str">
        <v>黑海地區</v>
      </c>
      <c r="N21" s="1178" t="str">
        <v>不要每餐都肉</v>
      </c>
      <c r="O21" s="1178" t="str">
        <v>三餐改為你指定五家；原品嚐機會取消，保持未吃。</v>
      </c>
      <c r="P21" s="1178" t="str">
        <v>高</v>
      </c>
      <c r="Q21" t="str">
        <v>未吃</v>
      </c>
    </row>
    <row r="22" ht="180" customHeight="1">
      <c r="A22" s="1178" t="str">
        <v>石爐</v>
      </c>
      <c r="B22" s="1178" t="str">
        <v>Lahmacun</v>
      </c>
      <c r="C22" s="1178" t="str">
        <v>Lahmacun</v>
      </c>
      <c r="D22" s="1178" t="str">
        <v>薄脆肉末香草餅</v>
      </c>
      <c r="E22" s="1178" t="str">
        <v>脆、肉香、檸檬清爽</v>
      </c>
      <c r="F22" s="1178" t="str">
        <v>★★★★★</v>
      </c>
      <c r="G22" s="1182" t="str">
        <v>○ 本次未安排</v>
      </c>
      <c r="H22" s="1178" t="str">
        <v>—</v>
      </c>
      <c r="I22" s="1178" t="str">
        <v>Borsam Taşfırın Bahariye</v>
      </c>
      <c r="J22" s="1178" t="str">
        <v>2 個＋一份 pide 共享即可</v>
      </c>
      <c r="K22" s="1178"/>
      <c r="L22" s="1178" t="str">
        <v>真實菜色照片（非指定餐廳出品）
照片來源：https://www.yemeksepeti.com/restaurant/zdhf/develi-zdhf
來源頁實拍；僅作私人行程辨識。</v>
      </c>
      <c r="M22" s="1178" t="str">
        <v>全國</v>
      </c>
      <c r="N22" s="1178" t="str">
        <v>Kadıköy 專門店</v>
      </c>
      <c r="O22" s="1178" t="str">
        <v>三餐改為你指定五家；原品嚐機會取消，保持未吃。</v>
      </c>
      <c r="P22" s="1178" t="str">
        <v>最高</v>
      </c>
      <c r="Q22" t="str">
        <v>未吃</v>
      </c>
    </row>
    <row r="23" ht="180" customHeight="1">
      <c r="A23" s="1178" t="str">
        <v>石爐</v>
      </c>
      <c r="B23" s="1178" t="str">
        <v>Kıymalı pide</v>
      </c>
      <c r="C23" s="1178" t="str">
        <v>Minced-meat pide</v>
      </c>
      <c r="D23" s="1178" t="str">
        <v>肉末船形餅</v>
      </c>
      <c r="E23" s="1178" t="str">
        <v>麵香、肉餡、邊脆</v>
      </c>
      <c r="F23" s="1178" t="str">
        <v>★★★★☆</v>
      </c>
      <c r="G23" s="1182" t="str">
        <v>○ 本次未安排</v>
      </c>
      <c r="H23" s="1178" t="str">
        <v>—</v>
      </c>
      <c r="I23" s="1178" t="str">
        <v>Borsam Taşfırın Bahariye</v>
      </c>
      <c r="J23" s="1178" t="str">
        <v>和 lahmacun 分食，不晚餐再吃 pide</v>
      </c>
      <c r="K23" s="1178"/>
      <c r="L23" s="1178" t="str">
        <v>真實菜色照片（非指定餐廳出品）
照片來源：https://www.gurmerehberi.com/tarifler/kiymali-pide/
來源頁實拍；僅作私人行程辨識。</v>
      </c>
      <c r="M23" s="1178" t="str">
        <v>全國</v>
      </c>
      <c r="N23" s="1178" t="str">
        <v>補另一種麵餅</v>
      </c>
      <c r="O23" s="1178" t="str">
        <v>三餐改為你指定五家；原品嚐機會取消，保持未吃。</v>
      </c>
      <c r="P23" s="1178" t="str">
        <v>高</v>
      </c>
      <c r="Q23" t="str">
        <v>未吃</v>
      </c>
    </row>
    <row r="24" ht="180" customHeight="1">
      <c r="A24" s="1178" t="str">
        <v>Meze</v>
      </c>
      <c r="B24" s="1178" t="str">
        <v>Tarama</v>
      </c>
      <c r="C24" s="1178" t="str">
        <v>Fish roe dip</v>
      </c>
      <c r="D24" s="1178" t="str">
        <v>魚卵醬／魚卵泥</v>
      </c>
      <c r="E24" s="1178" t="str">
        <v>鹹鮮、奶油感、適合麵包</v>
      </c>
      <c r="F24" s="1178" t="str">
        <v>★★★★★</v>
      </c>
      <c r="G24" s="1182" t="str">
        <v>○ 本次未安排</v>
      </c>
      <c r="H24" s="1178" t="str">
        <v>—</v>
      </c>
      <c r="I24" s="1178" t="str">
        <v>Karaköy Lokantası</v>
      </c>
      <c r="J24" s="1178" t="str">
        <v>meze 選 3–4 款，tarama 留一款</v>
      </c>
      <c r="K24" s="1178"/>
      <c r="L24" s="1178" t="str">
        <v>真實菜色照片（非指定餐廳出品）
照片來源：https://panayirgourmet.com/products/panayir-gourmet-balik-tarama
來源頁實拍；僅作私人行程辨識。</v>
      </c>
      <c r="M24" s="1178" t="str">
        <v>愛琴海／伊斯坦堡常見</v>
      </c>
      <c r="N24" s="1178" t="str">
        <v>海鮮收尾</v>
      </c>
      <c r="O24" s="1178" t="str">
        <v>三餐改為你指定五家；原品嚐機會取消，保持未吃。</v>
      </c>
      <c r="P24" s="1178" t="str">
        <v>高</v>
      </c>
      <c r="Q24" t="str">
        <v>未吃</v>
      </c>
    </row>
    <row r="25" ht="180" customHeight="1">
      <c r="A25" s="1178" t="str">
        <v>海鮮冷盤</v>
      </c>
      <c r="B25" s="1178" t="str">
        <v>Levrek marin</v>
      </c>
      <c r="C25" s="1178" t="str">
        <v>Marinated sea bass</v>
      </c>
      <c r="D25" s="1178" t="str">
        <v>醃海鱸魚</v>
      </c>
      <c r="E25" s="1178" t="str">
        <v>酸香、魚鮮、清爽</v>
      </c>
      <c r="F25" s="1178" t="str">
        <v>★★★★★</v>
      </c>
      <c r="G25" s="1182" t="str">
        <v>○ 本次未安排</v>
      </c>
      <c r="H25" s="1178" t="str">
        <v>—</v>
      </c>
      <c r="I25" s="1178" t="str">
        <v>Karaköy Lokantası</v>
      </c>
      <c r="J25" s="1178" t="str">
        <v>和 tarama／烤魷魚搭配，不點太多肉</v>
      </c>
      <c r="K25" s="1178"/>
      <c r="L25" s="1178" t="str">
        <v>真實菜色照片（非指定餐廳出品）
照片來源：https://www.mezeler.net/recipe/levrek-marin-tarifi/
來源頁實拍；僅作私人行程辨識。</v>
      </c>
      <c r="M25" s="1178" t="str">
        <v>伊斯坦堡海鮮文化</v>
      </c>
      <c r="N25" s="1178" t="str">
        <v>和前幾天菜型不同</v>
      </c>
      <c r="O25" s="1178" t="str">
        <v>三餐改為你指定五家；原品嚐機會取消，保持未吃。</v>
      </c>
      <c r="P25" s="1178" t="str">
        <v>高</v>
      </c>
      <c r="Q25" t="str">
        <v>未吃</v>
      </c>
    </row>
    <row r="26" ht="180" customHeight="1">
      <c r="A26" s="1178" t="str">
        <v>海鮮</v>
      </c>
      <c r="B26" s="1178" t="str">
        <v>Izgara kalamar</v>
      </c>
      <c r="C26" s="1178" t="str">
        <v>Grilled squid</v>
      </c>
      <c r="D26" s="1178" t="str">
        <v>烤魷魚</v>
      </c>
      <c r="E26" s="1178" t="str">
        <v>炭香、海鮮甜、彈口</v>
      </c>
      <c r="F26" s="1178" t="str">
        <v>★★★★☆</v>
      </c>
      <c r="G26" s="1182" t="str">
        <v>○ 本次未安排</v>
      </c>
      <c r="H26" s="1178" t="str">
        <v>—</v>
      </c>
      <c r="I26" s="1178" t="str">
        <v>Karaköy Lokantası</v>
      </c>
      <c r="J26" s="1178" t="str">
        <v>看當日魚貨；魷魚／當日魚二選一</v>
      </c>
      <c r="K26" s="1178"/>
      <c r="L26" s="1178" t="str">
        <v>https://www.google.com/maps/search/?api=1&amp;query=Karak%C3%B6y%20Lokantas%C4%B1%20Istanbul</v>
      </c>
      <c r="M26" s="1178" t="str">
        <v>沿海城市常見</v>
      </c>
      <c r="N26" s="1178" t="str">
        <v>最後一晚可試</v>
      </c>
      <c r="O26" s="1178" t="str">
        <v>三餐改為你指定五家；原品嚐機會取消，保持未吃。</v>
      </c>
      <c r="P26" s="1178" t="str">
        <v>中高</v>
      </c>
      <c r="Q26" t="str">
        <v>未吃</v>
      </c>
    </row>
    <row r="27" ht="180" customHeight="1">
      <c r="A27" s="1127" t="str">
        <v>家常</v>
      </c>
      <c r="B27" s="1127" t="str">
        <v>Kuru fasulye + pilav</v>
      </c>
      <c r="C27" s="1127" t="str">
        <v>White beans with rice</v>
      </c>
      <c r="D27" s="1127" t="str">
        <v>燴白豆＋米飯</v>
      </c>
      <c r="E27" s="1127" t="str">
        <v>濃豆香、非常家常</v>
      </c>
      <c r="F27" s="1127" t="str">
        <v>★★★★★</v>
      </c>
      <c r="G27" s="1130" t="str">
        <v>🟡 esnaf 店看到補</v>
      </c>
      <c r="H27" s="1127" t="str">
        <v>—</v>
      </c>
      <c r="I27" s="1127" t="str">
        <v>NATO／Sirkeci Balkan／Tarihi Şahin</v>
      </c>
      <c r="J27" s="1127" t="str">
        <v>已有很多主餐，不專程</v>
      </c>
      <c r="K27" s="1127"/>
      <c r="L27" s="1127" t="str">
        <v>https://www.google.com/maps/search/?api=1&amp;query=NATO%20Lokantas%C4%B1%201952%20Istanbul</v>
      </c>
      <c r="M27" s="1127" t="str">
        <v>全國</v>
      </c>
      <c r="N27" s="1127" t="str">
        <v>最日常的土耳其午餐之一</v>
      </c>
      <c r="O27" s="1127" t="str">
        <v>NATO 等</v>
      </c>
      <c r="P27" s="1127" t="str">
        <v>中</v>
      </c>
      <c r="Q27" t="str">
        <v>未吃</v>
      </c>
    </row>
    <row r="28" ht="180" customHeight="1">
      <c r="A28" s="1178" t="str">
        <v>家常</v>
      </c>
      <c r="B28" s="1178" t="str">
        <v>Zeytinyağlı</v>
      </c>
      <c r="C28" s="1178" t="str">
        <v>Olive-oil vegetable dishes</v>
      </c>
      <c r="D28" s="1178" t="str">
        <v>橄欖油蔬菜冷／熱菜</v>
      </c>
      <c r="E28" s="1178" t="str">
        <v>清爽、橄欖油、蔬菜甜</v>
      </c>
      <c r="F28" s="1178" t="str">
        <v>★★★★☆</v>
      </c>
      <c r="G28" s="1182" t="str">
        <v>○ 本次未安排</v>
      </c>
      <c r="H28" s="1178" t="str">
        <v>—</v>
      </c>
      <c r="I28" s="1178" t="str">
        <v>Hacı Abdullah</v>
      </c>
      <c r="J28" s="1178" t="str">
        <v>選 2 款即可</v>
      </c>
      <c r="K28" s="1178"/>
      <c r="L28" s="1178" t="str">
        <v>真實菜色照片（非指定餐廳出品）
照片來源：https://www.lezzet.com.tr/yemek-tarifleri/sebze-yemekleri/zeytinyaglilar/patatesli-taze-borulce-yemegi-tarifi
來源頁實拍；僅作私人行程辨識。</v>
      </c>
      <c r="M28" s="1178" t="str">
        <v>全國／愛琴海</v>
      </c>
      <c r="N28" s="1178" t="str">
        <v>平衡肉類</v>
      </c>
      <c r="O28" s="1178" t="str">
        <v>三餐改為你指定五家；原品嚐機會取消，保持未吃。</v>
      </c>
      <c r="P28" s="1178" t="str">
        <v>高</v>
      </c>
      <c r="Q28" t="str">
        <v>未吃</v>
      </c>
    </row>
    <row r="29" ht="180" customHeight="1">
      <c r="A29" s="1127" t="str">
        <v>小吃</v>
      </c>
      <c r="B29" s="1127" t="str">
        <v>Simit</v>
      </c>
      <c r="C29" s="1127" t="str">
        <v>Sesame bread ring</v>
      </c>
      <c r="D29" s="1127" t="str">
        <v>芝麻圈麵包</v>
      </c>
      <c r="E29" s="1127" t="str">
        <v>脆、芝麻香</v>
      </c>
      <c r="F29" s="1127" t="str">
        <v>★★★★☆</v>
      </c>
      <c r="G29" s="1130" t="str">
        <v>🟡 路上看到才吃</v>
      </c>
      <c r="H29" s="1127" t="str">
        <v>—</v>
      </c>
      <c r="I29" s="1127" t="str">
        <v>街頭／渡輪碼頭</v>
      </c>
      <c r="J29" s="1127" t="str">
        <v>當小食，不取代正餐</v>
      </c>
      <c r="K29" s="1127"/>
      <c r="L29" s="1127" t="str">
        <v>https://www.google.com/maps/search/?api=1&amp;query=Simit%20Istanbul%20Istanbul</v>
      </c>
      <c r="M29" s="1127" t="str">
        <v>伊斯坦堡日常象徵</v>
      </c>
      <c r="N29" s="1127" t="str">
        <v>不必專程</v>
      </c>
      <c r="O29" s="1127" t="str">
        <v>街頭</v>
      </c>
      <c r="P29" s="1127" t="str">
        <v>中</v>
      </c>
      <c r="Q29" t="str">
        <v>未吃</v>
      </c>
    </row>
    <row r="30" ht="180" customHeight="1">
      <c r="A30" s="1127" t="str">
        <v>街頭</v>
      </c>
      <c r="B30" s="1127" t="str">
        <v>Islak hamburger</v>
      </c>
      <c r="C30" s="1127" t="str">
        <v>Wet hamburger</v>
      </c>
      <c r="D30" s="1127" t="str">
        <v>番茄蒜香濕漢堡</v>
      </c>
      <c r="E30" s="1127" t="str">
        <v>軟、酸甜蒜香、夜食</v>
      </c>
      <c r="F30" s="1127" t="str">
        <v>★★★★☆</v>
      </c>
      <c r="G30" s="1130" t="str">
        <v>🟡 Beyoğlu 夜間可補</v>
      </c>
      <c r="H30" s="1127" t="str">
        <v>—</v>
      </c>
      <c r="I30" s="1127" t="str">
        <v>Taksim／Beyoğlu 看到再吃</v>
      </c>
      <c r="J30" s="1127" t="str">
        <v>已經很多餐，不硬塞</v>
      </c>
      <c r="K30" s="1127"/>
      <c r="L30" s="1127" t="str">
        <v>https://www.google.com/maps/search/?api=1&amp;query=Islak%20Hamburger%20Taksim%20Istanbul</v>
      </c>
      <c r="M30" s="1127" t="str">
        <v>很伊斯坦堡</v>
      </c>
      <c r="N30" s="1127" t="str">
        <v>第二次旅行可試</v>
      </c>
      <c r="O30" s="1127" t="str">
        <v>Beyoğlu</v>
      </c>
      <c r="P30" s="1127" t="str">
        <v>中</v>
      </c>
      <c r="Q30" t="str">
        <v>未吃</v>
      </c>
    </row>
    <row r="31" ht="180" customHeight="1">
      <c r="A31" s="1156" t="str">
        <v>內臟街頭</v>
      </c>
      <c r="B31" s="1156" t="str">
        <v>Kokoreç</v>
      </c>
      <c r="C31" s="1156" t="str">
        <v>Grilled seasoned intestines</v>
      </c>
      <c r="D31" s="1156" t="str">
        <v>香料烤羊腸碎</v>
      </c>
      <c r="E31" s="1156" t="str">
        <v>重口、炭香、香料強</v>
      </c>
      <c r="F31" s="1156" t="str">
        <v>★★★★☆</v>
      </c>
      <c r="G31" s="1160" t="str">
        <v>⚪ 看接受度</v>
      </c>
      <c r="H31" s="1156" t="str">
        <v>—</v>
      </c>
      <c r="I31" s="1156" t="str">
        <v>專門 kokoreç 店</v>
      </c>
      <c r="J31" s="1156" t="str">
        <v>腸類接受度低就跳過</v>
      </c>
      <c r="K31" s="1156"/>
      <c r="L31" s="1156" t="str">
        <v>https://www.google.com/maps/search/?api=1&amp;query=Kokore%C3%A7%20Istanbul%20Istanbul</v>
      </c>
      <c r="M31" s="1156" t="str">
        <v>土耳其街頭代表</v>
      </c>
      <c r="N31" s="1156" t="str">
        <v>不是人人喜歡</v>
      </c>
      <c r="O31" s="1156" t="str">
        <v>備選</v>
      </c>
      <c r="P31" s="1156" t="str">
        <v>低</v>
      </c>
      <c r="Q31" t="str">
        <v>未吃</v>
      </c>
    </row>
    <row r="32" ht="180" customHeight="1">
      <c r="A32" s="1127" t="str">
        <v>甜點</v>
      </c>
      <c r="B32" s="1127" t="str">
        <v>Baklava</v>
      </c>
      <c r="C32" s="1127" t="str">
        <v>Pistachio baklava</v>
      </c>
      <c r="D32" s="1127" t="str">
        <v>開心果蜜酥</v>
      </c>
      <c r="E32" s="1127" t="str">
        <v>酥、堅果、糖漿甜</v>
      </c>
      <c r="F32" s="1127" t="str">
        <v>★★★★★</v>
      </c>
      <c r="G32" s="1130" t="str">
        <v>🟡 Karaköy 順路補</v>
      </c>
      <c r="H32" s="1127" t="str">
        <v>—</v>
      </c>
      <c r="I32" s="1127" t="str">
        <v>Karaköy Güllüoğlu</v>
      </c>
      <c r="J32" s="1127" t="str">
        <v>只買 3–4 小塊兩人分，不放茶咖啡頁</v>
      </c>
      <c r="K32" s="1127"/>
      <c r="L32" s="1127" t="str">
        <v>真實菜色照片（非指定餐廳出品）
照片來源：https://www.yemeksepeti.com/restaurant/yeev/ali-usta-baklava-and-kunefe
來源頁實拍；僅作私人行程辨識。</v>
      </c>
      <c r="M32" s="1127" t="str">
        <v>全國／伊斯坦堡名店</v>
      </c>
      <c r="N32" s="1127" t="str">
        <v>純甜點歸這頁</v>
      </c>
      <c r="O32" s="1127" t="str">
        <v>Güllüoğlu</v>
      </c>
      <c r="P32" s="1127" t="str">
        <v>高</v>
      </c>
      <c r="Q32" t="str">
        <v>未吃</v>
      </c>
    </row>
    <row r="33" ht="180" customHeight="1">
      <c r="A33" s="1127" t="str">
        <v>甜點</v>
      </c>
      <c r="B33" s="1127" t="str">
        <v>Şöbiyet</v>
      </c>
      <c r="C33" s="1127" t="str">
        <v>Şöbiyet</v>
      </c>
      <c r="D33" s="1127" t="str">
        <v>開心果＋奶油／kaymak 三角酥</v>
      </c>
      <c r="E33" s="1127" t="str">
        <v>比 baklava 更奶、更濃</v>
      </c>
      <c r="F33" s="1127" t="str">
        <v>★★★★☆</v>
      </c>
      <c r="G33" s="1130" t="str">
        <v>🟡 與 baklava 二選一</v>
      </c>
      <c r="H33" s="1127" t="str">
        <v>—</v>
      </c>
      <c r="I33" s="1127" t="str">
        <v>Karaköy Güllüoğlu</v>
      </c>
      <c r="J33" s="1127" t="str">
        <v>不要兩款各吃一大份</v>
      </c>
      <c r="K33" s="1127"/>
      <c r="L33" s="1127" t="str">
        <v>https://www.google.com/maps/search/?api=1&amp;query=Karak%C3%B6y%20G%C3%BCll%C3%BCo%C4%9Flu%20Istanbul</v>
      </c>
      <c r="M33" s="1127" t="str">
        <v>全國</v>
      </c>
      <c r="N33" s="1127" t="str">
        <v>適合比較</v>
      </c>
      <c r="O33" s="1127" t="str">
        <v>Güllüoğlu</v>
      </c>
      <c r="P33" s="1127" t="str">
        <v>中</v>
      </c>
      <c r="Q33" t="str">
        <v>未吃</v>
      </c>
    </row>
    <row r="34" ht="180" customHeight="1">
      <c r="A34" s="1127" t="str">
        <v>奶甜點</v>
      </c>
      <c r="B34" s="1127" t="str">
        <v>Kazandibi</v>
      </c>
      <c r="C34" s="1127" t="str">
        <v>Caramelized milk pudding</v>
      </c>
      <c r="D34" s="1127" t="str">
        <v>焦糖鍋底奶布丁</v>
      </c>
      <c r="E34" s="1127" t="str">
        <v>奶香、焦糖、微焦</v>
      </c>
      <c r="F34" s="1127" t="str">
        <v>★★★★★</v>
      </c>
      <c r="G34" s="1130" t="str">
        <v>🟡 若餐後想甜品</v>
      </c>
      <c r="H34" s="1127" t="str">
        <v>—</v>
      </c>
      <c r="I34" s="1127" t="str">
        <v>HASAN FEHMİ ÖZSÜT 1915／其他傳統 sütlü tatlı 店</v>
      </c>
      <c r="J34" s="1127" t="str">
        <v>HASAN 主要排早餐，不為甜點再回去</v>
      </c>
      <c r="K34" s="1127"/>
      <c r="L34" s="1127" t="str">
        <v>https://www.google.com/maps/search/?api=1&amp;query=HASAN%20FEHM%C4%B0%20%C3%96ZS%C3%9CT%201915%20Istanbul</v>
      </c>
      <c r="M34" s="1127" t="str">
        <v>土耳其代表</v>
      </c>
      <c r="N34" s="1127" t="str">
        <v>可補但不硬塞</v>
      </c>
      <c r="O34" s="1127" t="str">
        <v>HASAN</v>
      </c>
      <c r="P34" s="1127" t="str">
        <v>中高</v>
      </c>
      <c r="Q34" t="str">
        <v>未吃</v>
      </c>
    </row>
    <row r="35" ht="180" customHeight="1">
      <c r="A35" s="1127" t="str">
        <v>奶甜點</v>
      </c>
      <c r="B35" s="1127" t="str">
        <v>Tavuk göğsü</v>
      </c>
      <c r="C35" s="1127" t="str">
        <v>Chicken-breast milk pudding</v>
      </c>
      <c r="D35" s="1127" t="str">
        <v>傳統雞胸奶布丁</v>
      </c>
      <c r="E35" s="1127" t="str">
        <v>奶香、黏滑、幾乎吃不出雞味</v>
      </c>
      <c r="F35" s="1127" t="str">
        <v>★★★★★</v>
      </c>
      <c r="G35" s="1130" t="str">
        <v>🟡 看到可試</v>
      </c>
      <c r="H35" s="1127" t="str">
        <v>—</v>
      </c>
      <c r="I35" s="1127" t="str">
        <v>傳統 sütlü tatlı 店</v>
      </c>
      <c r="J35" s="1127" t="str">
        <v>和 kazandibi 分食</v>
      </c>
      <c r="K35" s="1127"/>
      <c r="L35" s="1127" t="str">
        <v>https://www.google.com/maps/search/?api=1&amp;query=Tavuk%20Gogsu%20Istanbul%20Istanbul</v>
      </c>
      <c r="M35" s="1127" t="str">
        <v>土耳其代表</v>
      </c>
      <c r="N35" s="1127" t="str">
        <v>很有話題性</v>
      </c>
      <c r="O35" s="1127" t="str">
        <v>甜點店</v>
      </c>
      <c r="P35" s="1127" t="str">
        <v>中高</v>
      </c>
      <c r="Q35" t="str">
        <v>未吃</v>
      </c>
    </row>
    <row r="36" ht="180" customHeight="1">
      <c r="A36" s="1127" t="str">
        <v>奶甜點</v>
      </c>
      <c r="B36" s="1127" t="str">
        <v>Fırın sütlaç</v>
      </c>
      <c r="C36" s="1127" t="str">
        <v>Baked rice pudding</v>
      </c>
      <c r="D36" s="1127" t="str">
        <v>焗米布丁</v>
      </c>
      <c r="E36" s="1127" t="str">
        <v>奶香、米粒、表面焦香</v>
      </c>
      <c r="F36" s="1127" t="str">
        <v>★★★★☆</v>
      </c>
      <c r="G36" s="1130" t="str">
        <v>🟡 lokanta 看到補</v>
      </c>
      <c r="H36" s="1127" t="str">
        <v>—</v>
      </c>
      <c r="I36" s="1127" t="str">
        <v>esnaf lokantası／甜點店</v>
      </c>
      <c r="J36" s="1127" t="str">
        <v>和其他奶甜點二選一</v>
      </c>
      <c r="K36" s="1127"/>
      <c r="L36" s="1127" t="str">
        <v>真實菜色照片（非指定餐廳出品）
照片來源：https://bodrummanti.com.tr/menu/tatlilar/firin-sutlac
來源頁實拍；僅作私人行程辨識。</v>
      </c>
      <c r="M36" s="1127" t="str">
        <v>全國</v>
      </c>
      <c r="N36" s="1127" t="str">
        <v>家常甜點</v>
      </c>
      <c r="O36" s="1127" t="str">
        <v>lokanta</v>
      </c>
      <c r="P36" s="1127" t="str">
        <v>中</v>
      </c>
      <c r="Q36" t="str">
        <v>未吃</v>
      </c>
    </row>
    <row r="37" ht="180" customHeight="1">
      <c r="A37" s="1178" t="str">
        <v>甜點</v>
      </c>
      <c r="B37" s="1178" t="str">
        <v>İrmik helvası</v>
      </c>
      <c r="C37" s="1178" t="str">
        <v>Semolina halva</v>
      </c>
      <c r="D37" s="1178" t="str">
        <v>粗粒小麥甜點</v>
      </c>
      <c r="E37" s="1178" t="str">
        <v>奶油、堅果、烘香</v>
      </c>
      <c r="F37" s="1178" t="str">
        <v>★★★★☆</v>
      </c>
      <c r="G37" s="1182" t="str">
        <v>○ 本次未安排</v>
      </c>
      <c r="H37" s="1178" t="str">
        <v>—</v>
      </c>
      <c r="I37" s="1178" t="str">
        <v>Şöhretler 若有</v>
      </c>
      <c r="J37" s="1178" t="str">
        <v>午餐後兩人分一小份</v>
      </c>
      <c r="K37" s="1178"/>
      <c r="L37" s="1178" t="str">
        <v>真實菜色照片（非指定餐廳出品）
照片來源：https://yandex.com.tr/gundem/stories/agizda-dagilan-enfes-lezzet-kandil-helvasi-tarifi-6261860
來源頁實拍；僅作私人行程辨識。</v>
      </c>
      <c r="M37" s="1178" t="str">
        <v>全國</v>
      </c>
      <c r="N37" s="1178" t="str">
        <v>配 köfte 常見</v>
      </c>
      <c r="O37" s="1178" t="str">
        <v>三餐改為你指定五家；原品嚐機會取消，保持未吃。</v>
      </c>
      <c r="P37" s="1178" t="str">
        <v>中</v>
      </c>
      <c r="Q37" t="str">
        <v>未吃</v>
      </c>
    </row>
    <row r="38" ht="180" customHeight="1">
      <c r="A38" s="1156" t="str">
        <v>甜點</v>
      </c>
      <c r="B38" s="1156" t="str">
        <v>Lokum</v>
      </c>
      <c r="C38" s="1156" t="str">
        <v>Turkish delight</v>
      </c>
      <c r="D38" s="1156" t="str">
        <v>土耳其軟糖</v>
      </c>
      <c r="E38" s="1156" t="str">
        <v>甜、澱粉Q、堅果／玫瑰香</v>
      </c>
      <c r="F38" s="1156" t="str">
        <v>★★★☆☆</v>
      </c>
      <c r="G38" s="1160" t="str">
        <v>⚪ 看到再試</v>
      </c>
      <c r="H38" s="1156" t="str">
        <v>—</v>
      </c>
      <c r="I38" s="1156" t="str">
        <v>香料／甜點店</v>
      </c>
      <c r="J38" s="1156" t="str">
        <v>不值得為它特地排店</v>
      </c>
      <c r="K38" s="1156"/>
      <c r="L38" s="1156" t="str">
        <v>真實菜色照片（非指定餐廳出品）
照片來源：https://www.fuersie.de/kochen/backrezepte/artikel/tuerkisches-dessert-revani-irmik-tatlisi
來源頁實拍；僅作私人行程辨識。</v>
      </c>
      <c r="M38" s="1156" t="str">
        <v>全國</v>
      </c>
      <c r="N38" s="1156" t="str">
        <v>伴手禮多於正餐</v>
      </c>
      <c r="O38" s="1156" t="str">
        <v>備選</v>
      </c>
      <c r="P38" s="1156" t="str">
        <v>低</v>
      </c>
      <c r="Q38" t="str">
        <v>未吃</v>
      </c>
    </row>
    <row r="40">
      <c r="A40" t="str">
        <f>HYPERLINK("#'每日行程'!A1","返回每日行程")</f>
        <v>返回每日行程</v>
      </c>
    </row>
  </sheetData>
  <mergeCells>
    <mergeCell ref="A1:P1"/>
    <mergeCell ref="A2:P2"/>
    <mergeCell ref="A3:P3"/>
  </mergeCells>
  <conditionalFormatting sqref="Q5:Q38">
    <cfRule type="containsText" dxfId="22" priority="1" operator="containsText" text="已吃"/>
  </conditionalFormatting>
  <dataValidations count="1">
    <dataValidation type="list" sqref="Q5:Q38">
      <formula1>"未吃,已吃,跳過"</formula1>
    </dataValidation>
  </dataValidations>
  <pageMargins left="0.7" right="0.7" top="0.75" bottom="0.75" header="0.3" footer="0.3"/>
  <drawing ns1:id="R8e19e1bccdbf4a00"/>
  <tableParts count="1">
    <tablePart ns1:id="R9e51524a61334bc6"/>
  </tableParts>
</worksheet>
</file>

<file path=xl/worksheets/sheet14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4" ySplit="4" topLeftCell="E5" activePane="bottomRight" state="frozen"/>
    </sheetView>
  </sheetViews>
  <sheetFormatPr defaultRowHeight="15"/>
  <cols>
    <col min="1" max="1" width="14" hidden="0" customWidth="1"/>
    <col min="2" max="2" width="15" hidden="0" customWidth="1"/>
    <col min="3" max="3" width="15" hidden="0" customWidth="1"/>
    <col min="4" max="4" width="34" hidden="0" customWidth="1"/>
    <col min="5" max="5" width="18" hidden="0" customWidth="1"/>
    <col min="6" max="6" width="17" hidden="0" customWidth="1"/>
    <col min="7" max="7" width="48" hidden="0" customWidth="1"/>
    <col min="8" max="8" width="47" hidden="0" customWidth="1"/>
    <col min="9" max="9" width="18" hidden="0" customWidth="1"/>
    <col min="10" max="10" width="16" hidden="0" customWidth="1"/>
    <col min="11" max="11" width="32" hidden="0" customWidth="1"/>
    <col min="12" max="12" width="25" hidden="0" customWidth="1"/>
    <col min="13" max="13" width="36" hidden="0" customWidth="1"/>
  </cols>
  <sheetData>
    <row r="1" ht="38" customHeight="1">
      <c r="A1" s="1232" t="str">
        <v>訂位與待辦｜先落實聖誕三餐，再鎖定每日動線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</row>
    <row r="2" ht="38" customHeight="1">
      <c r="A2" s="481" t="str">
        <v>黃色欄位可更新。所有未有店家／票券證據的項目維持待確認；備選未確認時，不能當成保證有餐。截止日期是建議核對時間。</v>
      </c>
      <c r="B2" s="481"/>
      <c r="C2" s="481"/>
      <c r="D2" s="481"/>
      <c r="E2" s="481"/>
      <c r="F2" s="481"/>
      <c r="G2" s="481"/>
      <c r="H2" s="481"/>
      <c r="I2" s="481"/>
      <c r="J2" s="481"/>
      <c r="K2" s="481"/>
      <c r="L2" s="481"/>
      <c r="M2" s="481"/>
    </row>
    <row r="3">
      <c r="A3" s="481" t="str">
        <f>HYPERLINK("#'每日行程'!A1","返回每日行程")</f>
        <v>返回每日行程</v>
      </c>
      <c r="B3" s="481"/>
      <c r="C3" s="481"/>
      <c r="D3" s="481"/>
      <c r="E3" s="481"/>
      <c r="F3" s="481"/>
      <c r="G3" s="481"/>
      <c r="H3" s="481"/>
      <c r="I3" s="481"/>
      <c r="J3" s="481"/>
      <c r="K3" s="481"/>
      <c r="L3" s="481"/>
      <c r="M3" s="481"/>
    </row>
    <row r="4" ht="32" customHeight="1">
      <c r="A4" s="1236" t="str">
        <v>項目 ID</v>
      </c>
      <c r="B4" s="1236" t="str">
        <v>日期（當地）</v>
      </c>
      <c r="C4" s="1236" t="str">
        <v>類別</v>
      </c>
      <c r="D4" s="1236" t="str">
        <v>店家／項目</v>
      </c>
      <c r="E4" s="1236" t="str">
        <v>目標時段</v>
      </c>
      <c r="F4" s="1236" t="str">
        <v>主選狀態</v>
      </c>
      <c r="G4" s="1236" t="str">
        <v>下一步</v>
      </c>
      <c r="H4" s="1236" t="str">
        <v>備選／替代</v>
      </c>
      <c r="I4" s="1236" t="str">
        <v>備選狀態</v>
      </c>
      <c r="J4" s="1236" t="str">
        <v>建議核對日</v>
      </c>
      <c r="K4" s="1236" t="str">
        <v>確認紀錄／訂位編號</v>
      </c>
      <c r="L4" s="1236" t="str">
        <v>來源／詳情</v>
      </c>
      <c r="M4" s="1236" t="str">
        <v>說明</v>
      </c>
    </row>
    <row r="5" ht="70" customHeight="1">
      <c r="A5" s="1092" t="str">
        <v>MEAL-C7</v>
      </c>
      <c r="B5" s="1233" t="n">
        <v>46379</v>
      </c>
      <c r="C5" s="1092" t="str">
        <v>早餐</v>
      </c>
      <c r="D5" s="1092" t="str">
        <v>Bar Mleczny Bambino</v>
      </c>
      <c r="E5" s="1092" t="str">
        <v>08:30–09:30</v>
      </c>
      <c r="F5" s="1234" t="str">
        <v>營業待確認</v>
      </c>
      <c r="G5" s="1092" t="str">
        <v>落地後核對開門及早餐供應</v>
      </c>
      <c r="H5" s="1092" t="str">
        <v>同區開門早餐店</v>
      </c>
      <c r="I5" s="1234" t="str">
        <v>待選定</v>
      </c>
      <c r="J5" s="1233" t="n">
        <v>46357</v>
      </c>
      <c r="K5" s="1234" t="str"/>
      <c r="L5" s="1092" t="str">
        <f>HYPERLINK("#'華沙餐廳'!C5","查看來源／詳情")</f>
        <v>查看來源／詳情</v>
      </c>
      <c r="M5" s="1092" t="str">
        <v>未收到營業／訂位證據，不標記已確認。</v>
      </c>
    </row>
    <row r="6" ht="70" customHeight="1">
      <c r="A6" s="1092" t="str">
        <v>MEAL-C12</v>
      </c>
      <c r="B6" s="1233" t="n">
        <v>46379</v>
      </c>
      <c r="C6" s="1092" t="str">
        <v>午餐</v>
      </c>
      <c r="D6" s="1092" t="str">
        <v>Gdański Bar Mleczny</v>
      </c>
      <c r="E6" s="1092" t="str">
        <v>13:10–14:00</v>
      </c>
      <c r="F6" s="1234" t="str">
        <v>營業待確認</v>
      </c>
      <c r="G6" s="1092" t="str">
        <v>核對當日營業</v>
      </c>
      <c r="H6" s="1092" t="str">
        <v>附近開門奶吧</v>
      </c>
      <c r="I6" s="1234" t="str">
        <v>待選定</v>
      </c>
      <c r="J6" s="1233" t="n">
        <v>46357</v>
      </c>
      <c r="K6" s="1234" t="str"/>
      <c r="L6" s="1092" t="str">
        <f>HYPERLINK("#'華沙餐廳'!C6","查看來源／詳情")</f>
        <v>查看來源／詳情</v>
      </c>
      <c r="M6" s="1092" t="str">
        <v>未收到營業／訂位證據，不標記已確認。</v>
      </c>
    </row>
    <row r="7" ht="70" customHeight="1">
      <c r="A7" s="1092" t="str">
        <v>MEAL-C17</v>
      </c>
      <c r="B7" s="1233" t="n">
        <v>46379</v>
      </c>
      <c r="C7" s="1092" t="str">
        <v>晚餐</v>
      </c>
      <c r="D7" s="1092" t="str">
        <v>Stary Dom</v>
      </c>
      <c r="E7" s="1092" t="str">
        <v>18:00–19:30</v>
      </c>
      <c r="F7" s="1234" t="str">
        <v>待訂位</v>
      </c>
      <c r="G7" s="1092" t="str">
        <v>訂兩人位；確認菜單</v>
      </c>
      <c r="H7" s="1092" t="str">
        <v>Soul Kitchen</v>
      </c>
      <c r="I7" s="1234" t="str">
        <v>營業待確認</v>
      </c>
      <c r="J7" s="1233" t="n">
        <v>46357</v>
      </c>
      <c r="K7" s="1234" t="str"/>
      <c r="L7" s="1092" t="str">
        <f>HYPERLINK("#'華沙餐廳'!C7","查看來源／詳情")</f>
        <v>查看來源／詳情</v>
      </c>
      <c r="M7" s="1092" t="str">
        <v>未收到營業／訂位證據，不標記已確認。</v>
      </c>
    </row>
    <row r="8" ht="70" customHeight="1">
      <c r="A8" s="1092" t="str">
        <v>MEAL-D6</v>
      </c>
      <c r="B8" s="1233" t="n">
        <v>46380</v>
      </c>
      <c r="C8" s="1092" t="str">
        <v>早餐</v>
      </c>
      <c r="D8" s="1092" t="str">
        <v>Coffee Karma</v>
      </c>
      <c r="E8" s="1092" t="str">
        <v>08:00–09:00</v>
      </c>
      <c r="F8" s="1234" t="str">
        <v>營業待確認</v>
      </c>
      <c r="G8" s="1092" t="str">
        <v>確認平安夜開門與早餐供應</v>
      </c>
      <c r="H8" s="1092" t="str">
        <v>酒店附近開門早餐店；必要時酒店早餐</v>
      </c>
      <c r="I8" s="1234" t="str">
        <v>待選定</v>
      </c>
      <c r="J8" s="1233" t="n">
        <v>46357</v>
      </c>
      <c r="K8" s="1234" t="str"/>
      <c r="L8" s="1092" t="str">
        <f>HYPERLINK("#'華沙茶咖啡'!C5","查看來源／詳情")</f>
        <v>查看來源／詳情</v>
      </c>
      <c r="M8" s="1092" t="str">
        <v>未收到營業／訂位證據，不標記已確認。</v>
      </c>
    </row>
    <row r="9" ht="70" customHeight="1">
      <c r="A9" s="1092" t="str">
        <v>MEAL-D11</v>
      </c>
      <c r="B9" s="1233" t="n">
        <v>46380</v>
      </c>
      <c r="C9" s="1092" t="str">
        <v>午餐</v>
      </c>
      <c r="D9" s="1092" t="str">
        <v>Podwale 25 Kompania Piwna</v>
      </c>
      <c r="E9" s="1092" t="str">
        <v>11:45–12:55</v>
      </c>
      <c r="F9" s="1234" t="str">
        <v>營業待確認</v>
      </c>
      <c r="G9" s="1092" t="str">
        <v>確認平安夜供餐時段及是否須訂位</v>
      </c>
      <c r="H9" s="1092" t="str">
        <v>Gospoda Kwiaty Polskie</v>
      </c>
      <c r="I9" s="1234" t="str">
        <v>營業待確認</v>
      </c>
      <c r="J9" s="1233" t="n">
        <v>46357</v>
      </c>
      <c r="K9" s="1234" t="str"/>
      <c r="L9" s="1092" t="str">
        <f>HYPERLINK("#'華沙餐廳'!C8","查看來源／詳情")</f>
        <v>查看來源／詳情</v>
      </c>
      <c r="M9" s="1092" t="str">
        <v>未收到營業／訂位證據，不標記已確認。</v>
      </c>
    </row>
    <row r="10" ht="70" customHeight="1">
      <c r="A10" s="1092" t="str">
        <v>MEAL-D17</v>
      </c>
      <c r="B10" s="1233" t="n">
        <v>46380</v>
      </c>
      <c r="C10" s="1092" t="str">
        <v>平安夜晚餐</v>
      </c>
      <c r="D10" s="1092" t="str">
        <v>NUTA（待定）</v>
      </c>
      <c r="E10" s="1092" t="str">
        <v>18:00–21:00</v>
      </c>
      <c r="F10" s="1234" t="str">
        <v>營業待確認</v>
      </c>
      <c r="G10" s="1092" t="str">
        <v>優先確認 12/24 是否接兩人桌、18:00 入席、節日套餐價格及過敏安排；未確認前不視為已訂</v>
      </c>
      <c r="H10" s="1092" t="str">
        <v>請 PURO 提供已確認可訂的平安夜餐廳</v>
      </c>
      <c r="I10" s="1234" t="str">
        <v>待選定</v>
      </c>
      <c r="J10" s="1233" t="n">
        <v>46357</v>
      </c>
      <c r="K10" s="1234" t="str"/>
      <c r="L10" s="1092" t="str">
        <f>HYPERLINK("#'華沙餐廳'!C9","查看來源／詳情")</f>
        <v>查看來源／詳情</v>
      </c>
      <c r="M10" s="1092" t="str">
        <v>595 PLN／人為現行 Virtuoso 價格，非 2026 平安夜報價；10% 服務費，飲品另計。</v>
      </c>
    </row>
    <row r="11" ht="70" customHeight="1">
      <c r="A11" s="1092" t="str">
        <v>MEAL-E6</v>
      </c>
      <c r="B11" s="1233" t="n">
        <v>46381</v>
      </c>
      <c r="C11" s="1092" t="str">
        <v>早餐</v>
      </c>
      <c r="D11" s="1092" t="str">
        <v>Ministerstwo Kawy</v>
      </c>
      <c r="E11" s="1092" t="str">
        <v>08:00–09:00</v>
      </c>
      <c r="F11" s="1234" t="str">
        <v>營業待確認</v>
      </c>
      <c r="G11" s="1092" t="str">
        <v>確認聖誕日開門及早餐供應</v>
      </c>
      <c r="H11" s="1092" t="str">
        <v>酒店附近已確認早餐；必要時酒店早餐</v>
      </c>
      <c r="I11" s="1234" t="str">
        <v>待選定</v>
      </c>
      <c r="J11" s="1233" t="n">
        <v>46357</v>
      </c>
      <c r="K11" s="1234" t="str"/>
      <c r="L11" s="1092" t="str">
        <f>HYPERLINK("#'華沙茶咖啡'!C6","查看來源／詳情")</f>
        <v>查看來源／詳情</v>
      </c>
      <c r="M11" s="1092" t="str">
        <v>未收到營業／訂位證據，不標記已確認。</v>
      </c>
    </row>
    <row r="12" ht="70" customHeight="1">
      <c r="A12" s="1092" t="str">
        <v>MEAL-E12</v>
      </c>
      <c r="B12" s="1233" t="n">
        <v>46381</v>
      </c>
      <c r="C12" s="1092" t="str">
        <v>午餐</v>
      </c>
      <c r="D12" s="1092" t="str">
        <v>Restauracja Belvedere（待定）</v>
      </c>
      <c r="E12" s="1092" t="str">
        <v>13:15–14:30</v>
      </c>
      <c r="F12" s="1234" t="str">
        <v>營業待確認</v>
      </c>
      <c r="G12" s="1092" t="str">
        <v>確認 12/25 13:15 午市、入口、節日菜單及兩人價格</v>
      </c>
      <c r="H12" s="1092" t="str">
        <v>請 PURO 提供已確認聖誕午餐</v>
      </c>
      <c r="I12" s="1234" t="str">
        <v>待選定</v>
      </c>
      <c r="J12" s="1233" t="n">
        <v>46357</v>
      </c>
      <c r="K12" s="1234" t="str"/>
      <c r="L12" s="1092" t="str">
        <f>HYPERLINK("#'華沙餐廳'!C13","查看來源／詳情")</f>
        <v>查看來源／詳情</v>
      </c>
      <c r="M12" s="1092" t="str">
        <v>聖誕午市尚未確認；無法供餐便請酒店提供已確認的午餐方案。</v>
      </c>
    </row>
    <row r="13" ht="70" customHeight="1">
      <c r="A13" s="1092" t="str">
        <v>MEAL-E17</v>
      </c>
      <c r="B13" s="1233" t="n">
        <v>46381</v>
      </c>
      <c r="C13" s="1092" t="str">
        <v>晚餐</v>
      </c>
      <c r="D13" s="1092" t="str">
        <v>Floor No.2（待定）</v>
      </c>
      <c r="E13" s="1092" t="str">
        <v>18:00–20:00</v>
      </c>
      <c r="F13" s="1234" t="str">
        <v>活動已公布・未訂位</v>
      </c>
      <c r="G13" s="1092" t="str">
        <v>官網已列 25/12/2026 15:00–21:00；詢問可否 18:00 入席、buffet 使用時間、飲品範圍及取消條款；需 100% 預付</v>
      </c>
      <c r="H13" s="1092" t="str">
        <v>請 PURO 提供可訂的 12/25 酒店晚餐</v>
      </c>
      <c r="I13" s="1234" t="str">
        <v>待選定</v>
      </c>
      <c r="J13" s="1233" t="n">
        <v>46357</v>
      </c>
      <c r="K13" s="1234" t="str"/>
      <c r="L13" s="1092" t="str">
        <f>HYPERLINK("#'華沙餐廳'!C12","查看來源／詳情")</f>
        <v>查看來源／詳情</v>
      </c>
      <c r="M13" s="1092" t="str">
        <v>395 PLN／人＋10% 服務費；公告不代表已有桌位，未付款／未訂位。</v>
      </c>
    </row>
    <row r="14" ht="70" customHeight="1">
      <c r="A14" s="1092" t="str">
        <v>MEAL-F6</v>
      </c>
      <c r="B14" s="1233" t="n">
        <v>46382</v>
      </c>
      <c r="C14" s="1092" t="str">
        <v>早餐</v>
      </c>
      <c r="D14" s="1092" t="str">
        <v>Shabby Chic Coffee &amp; Wine Bar（待定）</v>
      </c>
      <c r="E14" s="1092" t="str">
        <v>09:00–09:45</v>
      </c>
      <c r="F14" s="1234" t="str">
        <v>營業待確認</v>
      </c>
      <c r="G14" s="1092" t="str">
        <v>確認 12/26 09:00 開門及早餐供應；一般週六 09:00 開門</v>
      </c>
      <c r="H14" s="1092" t="str">
        <v>出門前吃 PURO 酒店早餐；供餐先核對</v>
      </c>
      <c r="I14" s="1234" t="str">
        <v>待確認</v>
      </c>
      <c r="J14" s="1233" t="n">
        <v>46357</v>
      </c>
      <c r="K14" s="1234" t="str"/>
      <c r="L14" s="1092" t="str">
        <f>HYPERLINK("#'華沙茶咖啡'!C7","查看來源／詳情")</f>
        <v>查看來源／詳情</v>
      </c>
      <c r="M14" s="1092" t="str">
        <v>未收到營業／訂位證據，不標記已確認。</v>
      </c>
    </row>
    <row r="15" ht="70" customHeight="1">
      <c r="A15" s="1092" t="str">
        <v>MEAL-F12</v>
      </c>
      <c r="B15" s="1233" t="n">
        <v>46382</v>
      </c>
      <c r="C15" s="1092" t="str">
        <v>午餐</v>
      </c>
      <c r="D15" s="1092" t="str">
        <v>Restauracja Kameralna</v>
      </c>
      <c r="E15" s="1092" t="str">
        <v>13:20–14:20</v>
      </c>
      <c r="F15" s="1234" t="str">
        <v>營業待確認</v>
      </c>
      <c r="G15" s="1092" t="str">
        <v>確認節日午市</v>
      </c>
      <c r="H15" s="1092" t="str">
        <v>Nowy Świat 已確認開門餐廳</v>
      </c>
      <c r="I15" s="1234" t="str">
        <v>待選定</v>
      </c>
      <c r="J15" s="1233" t="n">
        <v>46357</v>
      </c>
      <c r="K15" s="1234" t="str"/>
      <c r="L15" s="1092" t="str">
        <f>HYPERLINK("#'華沙餐廳'!C14","查看來源／詳情")</f>
        <v>查看來源／詳情</v>
      </c>
      <c r="M15" s="1092" t="str">
        <v>未收到營業／訂位證據，不標記已確認。</v>
      </c>
    </row>
    <row r="16" ht="70" customHeight="1">
      <c r="A16" s="1092" t="str">
        <v>MEAL-F17</v>
      </c>
      <c r="B16" s="1233" t="n">
        <v>46382</v>
      </c>
      <c r="C16" s="1092" t="str">
        <v>晚餐</v>
      </c>
      <c r="D16" s="1092" t="str">
        <v>Restauracja U Wieniawy</v>
      </c>
      <c r="E16" s="1092" t="str">
        <v>18:00–19:30</v>
      </c>
      <c r="F16" s="1234" t="str">
        <v>營業待確認</v>
      </c>
      <c r="G16" s="1092" t="str">
        <v>保留你喜歡的餐廳；優先確認 12/26 晚市及兩人桌，問華沙式牛肚湯供應</v>
      </c>
      <c r="H16" s="1092" t="str">
        <v>已確認營業的市中心波蘭餐廳；請 PURO 協助</v>
      </c>
      <c r="I16" s="1234" t="str">
        <v>營業待確認</v>
      </c>
      <c r="J16" s="1233" t="n">
        <v>46357</v>
      </c>
      <c r="K16" s="1234" t="str"/>
      <c r="L16" s="1092" t="str">
        <f>HYPERLINK("#'華沙餐廳'!C17","查看來源／詳情")</f>
        <v>查看來源／詳情</v>
      </c>
      <c r="M16" s="1092" t="str">
        <v>你提供 12/25 不營業，已移出當天；12/26 仍是節日，未確認、未訂位。</v>
      </c>
    </row>
    <row r="17" ht="70" customHeight="1">
      <c r="A17" s="1092" t="str">
        <v>MEAL-G6</v>
      </c>
      <c r="B17" s="1233" t="n">
        <v>46383</v>
      </c>
      <c r="C17" s="1092" t="str">
        <v>早餐</v>
      </c>
      <c r="D17" s="1092" t="str">
        <v>Lukullus Chmielna</v>
      </c>
      <c r="E17" s="1092" t="str">
        <v>09:00–09:30</v>
      </c>
      <c r="F17" s="1234" t="str">
        <v>營業待確認</v>
      </c>
      <c r="G17" s="1092" t="str">
        <v>核對星期日早上開門；不開則直接機場吃</v>
      </c>
      <c r="H17" s="1092" t="str">
        <v>WAW 機場早餐</v>
      </c>
      <c r="I17" s="1234" t="str">
        <v>當日核對</v>
      </c>
      <c r="J17" s="1233" t="n">
        <v>46371</v>
      </c>
      <c r="K17" s="1234" t="str"/>
      <c r="L17" s="1092" t="str">
        <f>HYPERLINK("#'華沙當地特色菜'!B41","查看來源／詳情")</f>
        <v>查看來源／詳情</v>
      </c>
      <c r="M17" s="1092" t="str">
        <v>未收到營業／訂位證據，不標記已確認。</v>
      </c>
    </row>
    <row r="18" ht="70" customHeight="1">
      <c r="A18" s="1092" t="str">
        <v>MEAL-G20</v>
      </c>
      <c r="B18" s="1233" t="n">
        <v>46383</v>
      </c>
      <c r="C18" s="1092" t="str">
        <v>抵埗晚餐</v>
      </c>
      <c r="D18" s="1092" t="str">
        <v>MAFish Wrap</v>
      </c>
      <c r="E18" s="1092" t="str">
        <v>21:10–22:00</v>
      </c>
      <c r="F18" s="1234" t="str">
        <v>營業待確認</v>
      </c>
      <c r="G18" s="1092" t="str">
        <v>落地後核對實際分店與最後點餐時間</v>
      </c>
      <c r="H18" s="1092" t="str">
        <v>Dürümcü Mustafa（待定）／Raif Usta：到店須早於其關門；若航班晚到無法用作實際備案</v>
      </c>
      <c r="I18" s="1234" t="str">
        <v>當日核對</v>
      </c>
      <c r="J18" s="1233" t="n">
        <v>46371</v>
      </c>
      <c r="K18" s="1234" t="str"/>
      <c r="L18" s="1092" t="str">
        <f>HYPERLINK("#'伊斯坦堡餐廳'!C17","查看來源／詳情")</f>
        <v>查看來源／詳情</v>
      </c>
      <c r="M18" s="1092" t="str">
        <v>未收到營業／訂位證據，不標記已確認。</v>
      </c>
    </row>
    <row r="19" ht="70" customHeight="1">
      <c r="A19" s="1092" t="str">
        <v>MEAL-H6</v>
      </c>
      <c r="B19" s="1233" t="n">
        <v>46384</v>
      </c>
      <c r="C19" s="1092" t="str">
        <v>早餐</v>
      </c>
      <c r="D19" s="1092" t="str">
        <v>Boris'in Yeri (Boris's Place)</v>
      </c>
      <c r="E19" s="1092" t="str">
        <v>07:15–08:10</v>
      </c>
      <c r="F19" s="1234" t="str">
        <v>營業待確認</v>
      </c>
      <c r="G19" s="1092" t="str">
        <v>確認早開門；早餐前預留 Kumkapı 交通</v>
      </c>
      <c r="H19" s="1092" t="str">
        <v>HASAN FEHMİ ÖZSÜT 1915（開門時間先核）</v>
      </c>
      <c r="I19" s="1234" t="str">
        <v>營業待確認</v>
      </c>
      <c r="J19" s="1233" t="n">
        <v>46371</v>
      </c>
      <c r="K19" s="1234" t="str"/>
      <c r="L19" s="1092" t="str">
        <f>HYPERLINK("#'伊斯坦堡餐廳'!C20","查看來源／詳情")</f>
        <v>查看來源／詳情</v>
      </c>
      <c r="M19" s="1092" t="str">
        <v>依你指定的五家分配三餐；未訂位，營業與分店待核。</v>
      </c>
    </row>
    <row r="20" ht="70" customHeight="1">
      <c r="A20" s="1092" t="str">
        <v>MEAL-H12</v>
      </c>
      <c r="B20" s="1233" t="n">
        <v>46384</v>
      </c>
      <c r="C20" s="1092" t="str">
        <v>午餐</v>
      </c>
      <c r="D20" s="1092" t="str">
        <v>Dürümcü Mustafa（待定）</v>
      </c>
      <c r="E20" s="1092" t="str">
        <v>12:40–13:30</v>
      </c>
      <c r="F20" s="1234" t="str">
        <v>營業待確認</v>
      </c>
      <c r="G20" s="1092" t="str">
        <v>確認 Vezirhan Cd. No:53 為你想去的同名店，核對午市</v>
      </c>
      <c r="H20" s="1092" t="str">
        <v>Dürümcü Raif Usta（同區、營業待核）</v>
      </c>
      <c r="I20" s="1234" t="str">
        <v>營業待確認</v>
      </c>
      <c r="J20" s="1233" t="n">
        <v>46371</v>
      </c>
      <c r="K20" s="1234" t="str"/>
      <c r="L20" s="1092" t="str">
        <f>HYPERLINK("#'伊斯坦堡餐廳'!C29","查看來源／詳情")</f>
        <v>查看來源／詳情</v>
      </c>
      <c r="M20" s="1092" t="str">
        <v>依你指定的五家分配三餐；未訂位，營業與分店待核。</v>
      </c>
    </row>
    <row r="21" ht="70" customHeight="1">
      <c r="A21" s="1092" t="str">
        <v>MEAL-H18</v>
      </c>
      <c r="B21" s="1233" t="n">
        <v>46384</v>
      </c>
      <c r="C21" s="1092" t="str">
        <v>晚餐</v>
      </c>
      <c r="D21" s="1092" t="str">
        <v>MAFish Wrap</v>
      </c>
      <c r="E21" s="1092" t="str">
        <v>18:15–19:15</v>
      </c>
      <c r="F21" s="1234" t="str">
        <v>營業待確認</v>
      </c>
      <c r="G21" s="1092" t="str">
        <v>核對 Karaköy 指定分店及晚餐供應</v>
      </c>
      <c r="H21" s="1092" t="str">
        <v>Dürümcü Raif Usta（早關門，時間先核）</v>
      </c>
      <c r="I21" s="1234" t="str">
        <v>營業待確認</v>
      </c>
      <c r="J21" s="1233" t="n">
        <v>46371</v>
      </c>
      <c r="K21" s="1234" t="str"/>
      <c r="L21" s="1092" t="str">
        <f>HYPERLINK("#'伊斯坦堡餐廳'!C17","查看來源／詳情")</f>
        <v>查看來源／詳情</v>
      </c>
      <c r="M21" s="1092" t="str">
        <v>依你指定的五家分配三餐；未訂位，營業與分店待核。</v>
      </c>
    </row>
    <row r="22" ht="70" customHeight="1">
      <c r="A22" s="1092" t="str">
        <v>MEAL-I6</v>
      </c>
      <c r="B22" s="1233" t="n">
        <v>46385</v>
      </c>
      <c r="C22" s="1092" t="str">
        <v>早餐</v>
      </c>
      <c r="D22" s="1092" t="str">
        <v>HASAN FEHMİ ÖZSÜT 1915</v>
      </c>
      <c r="E22" s="1092" t="str">
        <v>08:30–09:15</v>
      </c>
      <c r="F22" s="1234" t="str">
        <v>營業待確認</v>
      </c>
      <c r="G22" s="1092" t="str">
        <v>確認 İstiklal 指定分店 08:30 早餐；宮殿入館改 10:00</v>
      </c>
      <c r="H22" s="1092" t="str">
        <v>Boris's Place（需另調跨區交通）</v>
      </c>
      <c r="I22" s="1234" t="str">
        <v>營業待確認</v>
      </c>
      <c r="J22" s="1233" t="n">
        <v>46371</v>
      </c>
      <c r="K22" s="1234" t="str"/>
      <c r="L22" s="1092" t="str">
        <f>HYPERLINK("#'伊斯坦堡餐廳'!C19","查看來源／詳情")</f>
        <v>查看來源／詳情</v>
      </c>
      <c r="M22" s="1092" t="str">
        <v>依你指定的五家分配三餐；未訂位，營業與分店待核。</v>
      </c>
    </row>
    <row r="23" ht="70" customHeight="1">
      <c r="A23" s="1092" t="str">
        <v>MEAL-I11</v>
      </c>
      <c r="B23" s="1233" t="n">
        <v>46385</v>
      </c>
      <c r="C23" s="1092" t="str">
        <v>午餐</v>
      </c>
      <c r="D23" s="1092" t="str">
        <v>MAFish Wrap</v>
      </c>
      <c r="E23" s="1092" t="str">
        <v>12:30–13:15</v>
      </c>
      <c r="F23" s="1234" t="str">
        <v>營業待確認</v>
      </c>
      <c r="G23" s="1092" t="str">
        <v>確認 Karaköy 午市；從 Yıldız 先返回 Karaköy</v>
      </c>
      <c r="H23" s="1092" t="str">
        <v>Dürümcü Mustafa（待定）（跨區交通先調整）</v>
      </c>
      <c r="I23" s="1234" t="str">
        <v>營業待確認</v>
      </c>
      <c r="J23" s="1233" t="n">
        <v>46371</v>
      </c>
      <c r="K23" s="1234" t="str"/>
      <c r="L23" s="1092" t="str">
        <f>HYPERLINK("#'伊斯坦堡餐廳'!C17","查看來源／詳情")</f>
        <v>查看來源／詳情</v>
      </c>
      <c r="M23" s="1092" t="str">
        <v>依你指定的五家分配三餐；未訂位，營業與分店待核。</v>
      </c>
    </row>
    <row r="24" ht="70" customHeight="1">
      <c r="A24" s="1092" t="str">
        <v>MEAL-I18</v>
      </c>
      <c r="B24" s="1233" t="n">
        <v>46385</v>
      </c>
      <c r="C24" s="1092" t="str">
        <v>晚餐</v>
      </c>
      <c r="D24" s="1092" t="str">
        <v>Dürümcü Raif Usta</v>
      </c>
      <c r="E24" s="1092" t="str">
        <v>17:45–18:30</v>
      </c>
      <c r="F24" s="1234" t="str">
        <v>營業待確認</v>
      </c>
      <c r="G24" s="1092" t="str">
        <v>核對 Vezirhan Cd. 65/a 及最後點餐；17:45 到</v>
      </c>
      <c r="H24" s="1092" t="str">
        <v>Dürümcü Mustafa（待定）（同區、營業待核）</v>
      </c>
      <c r="I24" s="1234" t="str">
        <v>營業待確認</v>
      </c>
      <c r="J24" s="1233" t="n">
        <v>46371</v>
      </c>
      <c r="K24" s="1234" t="str"/>
      <c r="L24" s="1092" t="str">
        <f>HYPERLINK("#'伊斯坦堡餐廳'!C18","查看來源／詳情")</f>
        <v>查看來源／詳情</v>
      </c>
      <c r="M24" s="1092" t="str">
        <v>依你指定的五家分配三餐；未訂位，營業與分店待核。</v>
      </c>
    </row>
    <row r="25" ht="70" customHeight="1">
      <c r="A25" s="1092" t="str">
        <v>MEAL-J6</v>
      </c>
      <c r="B25" s="1233" t="n">
        <v>46386</v>
      </c>
      <c r="C25" s="1092" t="str">
        <v>早餐</v>
      </c>
      <c r="D25" s="1092" t="str">
        <v>Boris'in Yeri (Boris's Place)</v>
      </c>
      <c r="E25" s="1092" t="str">
        <v>06:45–07:50</v>
      </c>
      <c r="F25" s="1234" t="str">
        <v>營業待確認</v>
      </c>
      <c r="G25" s="1092" t="str">
        <v>確認早開門；早餐前預留跨區交通</v>
      </c>
      <c r="H25" s="1092" t="str">
        <v>Boris's Place／HASAN FEHMİ ÖZSÜT 1915（分店與交通先核）</v>
      </c>
      <c r="I25" s="1234" t="str">
        <v>當日核對</v>
      </c>
      <c r="J25" s="1233" t="n">
        <v>46371</v>
      </c>
      <c r="K25" s="1234" t="str"/>
      <c r="L25" s="1092" t="str">
        <f>HYPERLINK("#'伊斯坦堡餐廳'!C20","查看來源／詳情")</f>
        <v>查看來源／詳情</v>
      </c>
      <c r="M25" s="1092" t="str">
        <v>未收到營業／訂位證據，不標記已確認。</v>
      </c>
    </row>
    <row r="26" ht="70" customHeight="1">
      <c r="A26" s="1092" t="str">
        <v>MEAL-J14</v>
      </c>
      <c r="B26" s="1233" t="n">
        <v>46386</v>
      </c>
      <c r="C26" s="1092" t="str">
        <v>午餐</v>
      </c>
      <c r="D26" s="1092" t="str">
        <v>MAFish Wrap</v>
      </c>
      <c r="E26" s="1092" t="str">
        <v>14:00–14:45</v>
      </c>
      <c r="F26" s="1234" t="str">
        <v>營業待確認</v>
      </c>
      <c r="G26" s="1092" t="str">
        <v>渡輪回 Karaköy 才吃午餐；停航按抵達調整</v>
      </c>
      <c r="H26" s="1092" t="str">
        <v>Dürümcü Raif Usta（跨區交通先調整）</v>
      </c>
      <c r="I26" s="1234" t="str">
        <v>營業待確認</v>
      </c>
      <c r="J26" s="1233" t="n">
        <v>46371</v>
      </c>
      <c r="K26" s="1234" t="str"/>
      <c r="L26" s="1092" t="str">
        <f>HYPERLINK("#'伊斯坦堡餐廳'!C17","查看來源／詳情")</f>
        <v>查看來源／詳情</v>
      </c>
      <c r="M26" s="1092" t="str">
        <v>依你指定的五家分配三餐；未訂位，營業與分店待核。</v>
      </c>
    </row>
    <row r="27" ht="70" customHeight="1">
      <c r="A27" s="1092" t="str">
        <v>MEAL-J18</v>
      </c>
      <c r="B27" s="1233" t="n">
        <v>46386</v>
      </c>
      <c r="C27" s="1092" t="str">
        <v>晚餐</v>
      </c>
      <c r="D27" s="1092" t="str">
        <v>Dürümcü Mustafa（待定）</v>
      </c>
      <c r="E27" s="1092" t="str">
        <v>17:45–18:45</v>
      </c>
      <c r="F27" s="1234" t="str">
        <v>營業待確認</v>
      </c>
      <c r="G27" s="1092" t="str">
        <v>確認 Vezirhan 分店及 19:30 前供餐，預留交通</v>
      </c>
      <c r="H27" s="1092" t="str">
        <v>Dürümcü Raif Usta（同區、營業待核）</v>
      </c>
      <c r="I27" s="1234" t="str">
        <v>營業待確認</v>
      </c>
      <c r="J27" s="1233" t="n">
        <v>46371</v>
      </c>
      <c r="K27" s="1234" t="str"/>
      <c r="L27" s="1092" t="str">
        <f>HYPERLINK("#'伊斯坦堡餐廳'!C29","查看來源／詳情")</f>
        <v>查看來源／詳情</v>
      </c>
      <c r="M27" s="1092" t="str">
        <v>依你指定的五家分配三餐；未訂位，營業與分店待核。</v>
      </c>
    </row>
    <row r="28" ht="70" customHeight="1">
      <c r="A28" s="1092" t="str">
        <v>MEAL-K7</v>
      </c>
      <c r="B28" s="1233" t="n">
        <v>46387</v>
      </c>
      <c r="C28" s="1092" t="str">
        <v>早餐</v>
      </c>
      <c r="D28" s="1092" t="str">
        <v>HASAN FEHMİ ÖZSÜT 1915</v>
      </c>
      <c r="E28" s="1092" t="str">
        <v>08:30–09:10</v>
      </c>
      <c r="F28" s="1234" t="str">
        <v>營業待確認</v>
      </c>
      <c r="G28" s="1092" t="str">
        <v>確認 İstiklal 指定分店；09:10 準時離店</v>
      </c>
      <c r="H28" s="1092" t="str">
        <v>Boris's Place／HASAN FEHMİ ÖZSÜT 1915（分店與交通先核）</v>
      </c>
      <c r="I28" s="1234" t="str">
        <v>當日核對</v>
      </c>
      <c r="J28" s="1233" t="n">
        <v>46371</v>
      </c>
      <c r="K28" s="1234" t="str"/>
      <c r="L28" s="1092" t="str">
        <f>HYPERLINK("#'伊斯坦堡餐廳'!C19","查看來源／詳情")</f>
        <v>查看來源／詳情</v>
      </c>
      <c r="M28" s="1092" t="str">
        <v>未收到營業／訂位證據，不標記已確認。</v>
      </c>
    </row>
    <row r="29" ht="70" customHeight="1">
      <c r="A29" s="1092" t="str">
        <v>POLIN</v>
      </c>
      <c r="B29" s="1233" t="n">
        <v>46379</v>
      </c>
      <c r="C29" s="1092" t="str">
        <v>門票</v>
      </c>
      <c r="D29" s="1092" t="str">
        <v>POLIN</v>
      </c>
      <c r="E29" s="1092" t="str">
        <v>10:30–13:00</v>
      </c>
      <c r="F29" s="1234" t="str">
        <v>待購票</v>
      </c>
      <c r="G29" s="1092" t="str">
        <v>核對 12/23 開放並購核心展票</v>
      </c>
      <c r="H29" s="1092" t="str">
        <v>疲倦時省略館外散步</v>
      </c>
      <c r="I29" s="1234" t="str">
        <v>不適用</v>
      </c>
      <c r="J29" s="1233" t="n">
        <v>46357</v>
      </c>
      <c r="K29" s="1234" t="str"/>
      <c r="L29" s="1092" t="str">
        <f>HYPERLINK("#'華沙景點指南'!A5","查看來源／詳情")</f>
        <v>查看來源／詳情</v>
      </c>
      <c r="M29" s="1092" t="str"/>
    </row>
    <row r="30" ht="70" customHeight="1">
      <c r="A30" s="1092" t="str">
        <v>CASTLE</v>
      </c>
      <c r="B30" s="1233" t="n">
        <v>46382</v>
      </c>
      <c r="C30" s="1092" t="str">
        <v>門票</v>
      </c>
      <c r="D30" s="1092" t="str">
        <v>Royal Castle</v>
      </c>
      <c r="E30" s="1092" t="str">
        <v>10:30–12:30</v>
      </c>
      <c r="F30" s="1234" t="str">
        <v>待購票</v>
      </c>
      <c r="G30" s="1092" t="str">
        <v>核對 2026 12/26 開放與入場票</v>
      </c>
      <c r="H30" s="1092" t="str">
        <v>MSN＋市中心</v>
      </c>
      <c r="I30" s="1234" t="str">
        <v>當日核對</v>
      </c>
      <c r="J30" s="1233" t="n">
        <v>46357</v>
      </c>
      <c r="K30" s="1234" t="str"/>
      <c r="L30" s="1092" t="str">
        <f>HYPERLINK("#'華沙景點指南'!A17","查看來源／詳情")</f>
        <v>查看來源／詳情</v>
      </c>
      <c r="M30" s="1092" t="str"/>
    </row>
    <row r="31" ht="70" customHeight="1">
      <c r="A31" s="1092" t="str">
        <v>MSN</v>
      </c>
      <c r="B31" s="1233" t="n">
        <v>46382</v>
      </c>
      <c r="C31" s="1092" t="str">
        <v>門票</v>
      </c>
      <c r="D31" s="1092" t="str">
        <v>Museum of Modern Art Warsaw</v>
      </c>
      <c r="E31" s="1092" t="str">
        <v>14:50–16:20</v>
      </c>
      <c r="F31" s="1234" t="str">
        <v>待購票</v>
      </c>
      <c r="G31" s="1092" t="str">
        <v>官網目前列週六 11–19；出發前再核</v>
      </c>
      <c r="H31" s="1092" t="str">
        <v>酒店休息</v>
      </c>
      <c r="I31" s="1234" t="str">
        <v>不適用</v>
      </c>
      <c r="J31" s="1233" t="n">
        <v>46371</v>
      </c>
      <c r="K31" s="1234" t="str"/>
      <c r="L31" s="1092" t="str">
        <f>HYPERLINK("https://artmuseum.pl/en/visit","查看來源／詳情")</f>
        <v>查看來源／詳情</v>
      </c>
      <c r="M31" s="1092" t="str"/>
    </row>
    <row r="32" ht="70" customHeight="1">
      <c r="A32" s="1092" t="str">
        <v>SCIENCE</v>
      </c>
      <c r="B32" s="1233" t="n">
        <v>46384</v>
      </c>
      <c r="C32" s="1092" t="str">
        <v>開放／門票</v>
      </c>
      <c r="D32" s="1092" t="str">
        <v>伊斯蘭科學史博物館</v>
      </c>
      <c r="E32" s="1092" t="str">
        <v>09:00–10:15</v>
      </c>
      <c r="F32" s="1234" t="str">
        <v>營業待確認</v>
      </c>
      <c r="G32" s="1092" t="str">
        <v>核對冬季開放、票價及票種</v>
      </c>
      <c r="H32" s="1092" t="str">
        <v>Vefa／Fener 街區（天氣許可）</v>
      </c>
      <c r="I32" s="1234" t="str">
        <v>不適用</v>
      </c>
      <c r="J32" s="1233" t="n">
        <v>46371</v>
      </c>
      <c r="K32" s="1234" t="str"/>
      <c r="L32" s="1092" t="str">
        <f>HYPERLINK("#'伊斯坦堡景點指南'!A39","查看來源／詳情")</f>
        <v>查看來源／詳情</v>
      </c>
      <c r="M32" s="1092" t="str"/>
    </row>
    <row r="33" ht="70" customHeight="1">
      <c r="A33" s="1092" t="str">
        <v>YILDIZ</v>
      </c>
      <c r="B33" s="1233" t="n">
        <v>46385</v>
      </c>
      <c r="C33" s="1092" t="str">
        <v>門票</v>
      </c>
      <c r="D33" s="1092" t="str">
        <v>Yıldız Palace</v>
      </c>
      <c r="E33" s="1092" t="str">
        <v>09:15–11:15</v>
      </c>
      <c r="F33" s="1234" t="str">
        <v>待購票</v>
      </c>
      <c r="G33" s="1092" t="str">
        <v>核對冬季開放、票價與入場要求</v>
      </c>
      <c r="H33" s="1092" t="str">
        <v>Beşiktaş 街區＋午餐</v>
      </c>
      <c r="I33" s="1234" t="str">
        <v>不適用</v>
      </c>
      <c r="J33" s="1233" t="n">
        <v>46371</v>
      </c>
      <c r="K33" s="1234" t="str"/>
      <c r="L33" s="1092" t="str">
        <f>HYPERLINK("#'伊斯坦堡景點指南'!A44","查看來源／詳情")</f>
        <v>查看來源／詳情</v>
      </c>
      <c r="M33" s="1092" t="str"/>
    </row>
    <row r="34" ht="70" customHeight="1">
      <c r="A34" s="1092" t="str">
        <v>MICK</v>
      </c>
      <c r="B34" s="1233" t="n">
        <v>46385</v>
      </c>
      <c r="C34" s="1092" t="str">
        <v>開放</v>
      </c>
      <c r="D34" s="1092" t="str">
        <v>Adam Mickiewicz Museum</v>
      </c>
      <c r="E34" s="1092" t="str">
        <v>13:45–14:45</v>
      </c>
      <c r="F34" s="1234" t="str">
        <v>營業待確認</v>
      </c>
      <c r="G34" s="1092" t="str">
        <v>核對冬季開放及是否仍免票</v>
      </c>
      <c r="H34" s="1092" t="str">
        <v>Beyoğlu 街區／咖啡</v>
      </c>
      <c r="I34" s="1234" t="str">
        <v>不適用</v>
      </c>
      <c r="J34" s="1233" t="n">
        <v>46371</v>
      </c>
      <c r="K34" s="1234" t="str"/>
      <c r="L34" s="1092" t="str">
        <f>HYPERLINK("#'伊斯坦堡景點指南'!A45","查看來源／詳情")</f>
        <v>查看來源／詳情</v>
      </c>
      <c r="M34" s="1092" t="str"/>
    </row>
    <row r="35" ht="70" customHeight="1">
      <c r="A35" s="1092" t="str">
        <v>MEVLEVI</v>
      </c>
      <c r="B35" s="1233" t="n">
        <v>46385</v>
      </c>
      <c r="C35" s="1092" t="str">
        <v>開放（備選）</v>
      </c>
      <c r="D35" s="1092" t="str">
        <v>Galata Mevlevi Lodge</v>
      </c>
      <c r="E35" s="1092" t="str">
        <v>15:15–16:00</v>
      </c>
      <c r="F35" s="1234" t="str">
        <v>營業待確認</v>
      </c>
      <c r="G35" s="1092" t="str">
        <v>官方維修公告與旅遊頁有衝突；確認可入內才去</v>
      </c>
      <c r="H35" s="1092" t="str">
        <v>咖啡暖身／Galata 側巷</v>
      </c>
      <c r="I35" s="1234" t="str">
        <v>不適用</v>
      </c>
      <c r="J35" s="1233" t="n">
        <v>46371</v>
      </c>
      <c r="K35" s="1234" t="str"/>
      <c r="L35" s="1092" t="str">
        <f>HYPERLINK("https://istanbul.ktb.gov.tr/TR-342732/galata-mevlevihanesi-muzesi-semahane-zemini-bakim-ve-on-.html","查看來源／詳情")</f>
        <v>查看來源／詳情</v>
      </c>
      <c r="M35" s="1092" t="str">
        <v>不是必去，也不先付不可退票。</v>
      </c>
    </row>
    <row r="36" ht="70" customHeight="1">
      <c r="A36" s="1092" t="str">
        <v>FLIGHTS</v>
      </c>
      <c r="B36" s="1233" t="n">
        <v>46387</v>
      </c>
      <c r="C36" s="1092" t="str">
        <v>航班</v>
      </c>
      <c r="D36" s="1092" t="str">
        <v>完整電子機票／AUH–HKG</v>
      </c>
      <c r="E36" s="1092" t="str">
        <v>待補</v>
      </c>
      <c r="F36" s="1234" t="str">
        <v>待確認</v>
      </c>
      <c r="G36" s="1092" t="str">
        <v>補回程航班、當地到離港時間、日期及轉機長度</v>
      </c>
      <c r="H36" s="1092" t="str"/>
      <c r="I36" s="1234" t="str">
        <v>不適用</v>
      </c>
      <c r="J36" s="1233" t="n">
        <v>46302</v>
      </c>
      <c r="K36" s="1234" t="str"/>
      <c r="L36" s="1092" t="str"/>
      <c r="M36" s="1092" t="str">
        <v>其他航班同樣以已出票電子機票為準；返港時間不推算成確定值。</v>
      </c>
    </row>
    <row r="37" ht="70" customHeight="1">
      <c r="A37" s="1092" t="str">
        <v>HOTEL-WAW</v>
      </c>
      <c r="B37" s="1233" t="n">
        <v>46379</v>
      </c>
      <c r="C37" s="1092" t="str">
        <v>住宿</v>
      </c>
      <c r="D37" s="1092" t="str">
        <v>PURO Warszawa Centrum</v>
      </c>
      <c r="E37" s="1092" t="str">
        <v>4 晚</v>
      </c>
      <c r="F37" s="1234" t="str">
        <v>待確認</v>
      </c>
      <c r="G37" s="1092" t="str">
        <v>核對訂單、總價、付款人及早餐選項</v>
      </c>
      <c r="H37" s="1092" t="str"/>
      <c r="I37" s="1234" t="str">
        <v>不適用</v>
      </c>
      <c r="J37" s="1233" t="n">
        <v>46310</v>
      </c>
      <c r="K37" s="1234" t="str"/>
      <c r="L37" s="1092" t="str"/>
      <c r="M37" s="1092" t="str"/>
    </row>
    <row r="38" ht="70" customHeight="1">
      <c r="A38" s="1092" t="str">
        <v>HOTEL-IST</v>
      </c>
      <c r="B38" s="1233" t="n">
        <v>46383</v>
      </c>
      <c r="C38" s="1092" t="str">
        <v>住宿</v>
      </c>
      <c r="D38" s="1092" t="str">
        <v>10 Karaköy Istanbul</v>
      </c>
      <c r="E38" s="1092" t="str">
        <v>4 晚</v>
      </c>
      <c r="F38" s="1234" t="str">
        <v>待確認</v>
      </c>
      <c r="G38" s="1092" t="str">
        <v>核對訂單、總價、付款人及入住／退房時間</v>
      </c>
      <c r="H38" s="1092" t="str"/>
      <c r="I38" s="1234" t="str">
        <v>不適用</v>
      </c>
      <c r="J38" s="1233" t="n">
        <v>46310</v>
      </c>
      <c r="K38" s="1234" t="str"/>
      <c r="L38" s="1092" t="str"/>
      <c r="M38" s="1092" t="str"/>
    </row>
  </sheetData>
  <mergeCells>
    <mergeCell ref="A1:M1"/>
    <mergeCell ref="A2:M2"/>
  </mergeCells>
  <conditionalFormatting sqref="F5:F38">
    <cfRule type="containsText" dxfId="13" priority="1" operator="containsText" text="待"/>
    <cfRule type="containsText" dxfId="14" priority="2" operator="containsText" text="已"/>
    <cfRule type="containsText" dxfId="15" priority="3" operator="containsText" text="取消"/>
  </conditionalFormatting>
  <conditionalFormatting sqref="I5:I38">
    <cfRule type="containsText" dxfId="16" priority="4" operator="containsText" text="待"/>
    <cfRule type="containsText" dxfId="17" priority="5" operator="containsText" text="已"/>
    <cfRule type="containsText" dxfId="18" priority="6" operator="containsText" text="取消"/>
  </conditionalFormatting>
  <dataValidations count="2">
    <dataValidation type="list" sqref="F5:F38">
      <formula1>"待確認,營業待確認,待訂位,待購票,已確認營業,已訂位,已購票,已完成,取消,不適用,待選定,當日核對"</formula1>
    </dataValidation>
    <dataValidation type="list" sqref="I5:I38">
      <formula1>"待確認,營業待確認,待訂位,待購票,已確認營業,已訂位,已購票,已完成,取消,不適用,待選定,當日核對"</formula1>
    </dataValidation>
  </dataValidations>
  <pageMargins left="0.7" right="0.7" top="0.75" bottom="0.75" header="0.3" footer="0.3"/>
  <tableParts count="1">
    <tablePart ns1:id="R213ab66382e1401a"/>
  </tableParts>
</worksheet>
</file>

<file path=xl/worksheets/sheet15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xSplit="4" ySplit="4" topLeftCell="E5" activePane="bottomRight" state="frozen"/>
    </sheetView>
  </sheetViews>
  <sheetFormatPr defaultRowHeight="15"/>
  <cols>
    <col min="1" max="1" width="15" hidden="0" customWidth="1"/>
    <col min="2" max="2" width="18" hidden="0" customWidth="1"/>
    <col min="3" max="3" width="14" hidden="0" customWidth="1"/>
    <col min="4" max="4" width="34" hidden="0" customWidth="1"/>
    <col min="5" max="5" width="12" hidden="0" customWidth="1"/>
    <col min="6" max="6" width="14" hidden="0" customWidth="1"/>
    <col min="7" max="7" width="12" hidden="0" customWidth="1"/>
    <col min="8" max="8" width="17" hidden="0" customWidth="1"/>
    <col min="9" max="9" width="17" hidden="0" customWidth="1"/>
    <col min="10" max="10" width="17" hidden="0" customWidth="1"/>
    <col min="11" max="11" width="18" hidden="0" customWidth="1"/>
    <col min="12" max="12" width="18" hidden="0" customWidth="1"/>
    <col min="13" max="13" width="35" hidden="0" customWidth="1"/>
    <col min="14" max="14" width="22" hidden="0" customWidth="1"/>
  </cols>
  <sheetData>
    <row r="1" ht="38" customHeight="1">
      <c r="A1" s="1232" t="str">
        <v>支出明細｜輸入真正付款金額・共同支出按兩人平均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</row>
    <row r="2" ht="38" customHeight="1">
      <c r="A2" s="207" t="str">
        <v>每筆只記一次。共同支出＝A／B 各負擔一半；A 個人／B 個人＝由指定人全額負擔。機票不計；全部實付換算為 HKD。黃色欄位可輸入。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  <c r="M2" s="207"/>
    </row>
    <row r="3">
      <c r="A3" s="207" t="str">
        <f>HYPERLINK("#'每日行程'!A1","返回每日行程")</f>
        <v>返回每日行程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</row>
    <row r="4" ht="30" customHeight="1">
      <c r="A4" s="481" t="str">
        <v>日期（當地）</v>
      </c>
      <c r="B4" s="481" t="str">
        <v>城市</v>
      </c>
      <c r="C4" s="481" t="str">
        <v>類別</v>
      </c>
      <c r="D4" s="481" t="str">
        <v>項目／店家</v>
      </c>
      <c r="E4" s="481" t="str">
        <v>付款人</v>
      </c>
      <c r="F4" s="481" t="str">
        <v>歸屬</v>
      </c>
      <c r="G4" s="481" t="str">
        <v>幣別</v>
      </c>
      <c r="H4" s="481" t="str">
        <v>原幣實付</v>
      </c>
      <c r="I4" s="481" t="str">
        <v>HKD／原幣</v>
      </c>
      <c r="J4" s="481" t="str">
        <v>實支 HKD</v>
      </c>
      <c r="K4" s="481" t="str">
        <v>A 應負擔 HKD</v>
      </c>
      <c r="L4" s="481" t="str">
        <v>B 應負擔 HKD</v>
      </c>
      <c r="M4" s="481" t="str">
        <v>紀錄／匯率依據</v>
      </c>
      <c r="N4" t="str">
        <v>待補完整筆數</v>
      </c>
    </row>
    <row r="5" ht="30" customHeight="1">
      <c r="A5" s="1253"/>
      <c r="B5" s="1254"/>
      <c r="C5" s="1254"/>
      <c r="D5" s="1254"/>
      <c r="E5" s="1254"/>
      <c r="F5" s="1254"/>
      <c r="G5" s="1254"/>
      <c r="H5" s="1255"/>
      <c r="I5" s="1256" t="str">
        <f>IF(G5="","",IF(G5="HKD",1,IF(G5="PLN",'兩人旅費'!$H$4,IF(G5="TRY",'兩人旅費'!$J$4,IF(G5="EUR",'兩人旅費'!$L$4,IF(G5="USD",'兩人旅費'!$F$4,""))))))</f>
      </c>
      <c r="J5" s="1256" t="str">
        <f>IF(OR(A5="",E5="",F5="",H5="",I5=""),"",ROUND(H5*I5,2))</f>
      </c>
      <c r="K5" s="1256" t="str">
        <f>IF(J5="","",IF(F5="共同",J5/2,IF(F5="A 個人",J5,0)))</f>
      </c>
      <c r="L5" s="1256" t="str">
        <f>IF(J5="","",IF(F5="共同",J5/2,IF(F5="B 個人",J5,0)))</f>
      </c>
      <c r="M5" s="1254"/>
      <c r="N5" t="n">
        <f>COUNT(H5:H204)-COUNT(J5:J204)</f>
        <v>0</v>
      </c>
    </row>
    <row r="6" ht="30" customHeight="1">
      <c r="A6" s="1253"/>
      <c r="B6" s="1254"/>
      <c r="C6" s="1254"/>
      <c r="D6" s="1254"/>
      <c r="E6" s="1254"/>
      <c r="F6" s="1254"/>
      <c r="G6" s="1254"/>
      <c r="H6" s="1255"/>
      <c r="I6" s="1256" t="str">
        <f>IF(G6="","",IF(G6="HKD",1,IF(G6="PLN",'兩人旅費'!$H$4,IF(G6="TRY",'兩人旅費'!$J$4,IF(G6="EUR",'兩人旅費'!$L$4,IF(G6="USD",'兩人旅費'!$F$4,""))))))</f>
      </c>
      <c r="J6" s="1256" t="str">
        <f>IF(OR(A6="",E6="",F6="",H6="",I6=""),"",ROUND(H6*I6,2))</f>
      </c>
      <c r="K6" s="1256" t="str">
        <f>IF(J6="","",IF(F6="共同",J6/2,IF(F6="A 個人",J6,0)))</f>
      </c>
      <c r="L6" s="1256" t="str">
        <f>IF(J6="","",IF(F6="共同",J6/2,IF(F6="B 個人",J6,0)))</f>
      </c>
      <c r="M6" s="1254"/>
    </row>
    <row r="7" ht="30" customHeight="1">
      <c r="A7" s="1253"/>
      <c r="B7" s="1254"/>
      <c r="C7" s="1254"/>
      <c r="D7" s="1254"/>
      <c r="E7" s="1254"/>
      <c r="F7" s="1254"/>
      <c r="G7" s="1254"/>
      <c r="H7" s="1255"/>
      <c r="I7" s="1256" t="str">
        <f>IF(G7="","",IF(G7="HKD",1,IF(G7="PLN",'兩人旅費'!$H$4,IF(G7="TRY",'兩人旅費'!$J$4,IF(G7="EUR",'兩人旅費'!$L$4,IF(G7="USD",'兩人旅費'!$F$4,""))))))</f>
      </c>
      <c r="J7" s="1256" t="str">
        <f>IF(OR(A7="",E7="",F7="",H7="",I7=""),"",ROUND(H7*I7,2))</f>
      </c>
      <c r="K7" s="1256" t="str">
        <f>IF(J7="","",IF(F7="共同",J7/2,IF(F7="A 個人",J7,0)))</f>
      </c>
      <c r="L7" s="1256" t="str">
        <f>IF(J7="","",IF(F7="共同",J7/2,IF(F7="B 個人",J7,0)))</f>
      </c>
      <c r="M7" s="1254"/>
    </row>
    <row r="8" ht="30" customHeight="1">
      <c r="A8" s="1253"/>
      <c r="B8" s="1254"/>
      <c r="C8" s="1254"/>
      <c r="D8" s="1254"/>
      <c r="E8" s="1254"/>
      <c r="F8" s="1254"/>
      <c r="G8" s="1254"/>
      <c r="H8" s="1255"/>
      <c r="I8" s="1256" t="str">
        <f>IF(G8="","",IF(G8="HKD",1,IF(G8="PLN",'兩人旅費'!$H$4,IF(G8="TRY",'兩人旅費'!$J$4,IF(G8="EUR",'兩人旅費'!$L$4,IF(G8="USD",'兩人旅費'!$F$4,""))))))</f>
      </c>
      <c r="J8" s="1256" t="str">
        <f>IF(OR(A8="",E8="",F8="",H8="",I8=""),"",ROUND(H8*I8,2))</f>
      </c>
      <c r="K8" s="1256" t="str">
        <f>IF(J8="","",IF(F8="共同",J8/2,IF(F8="A 個人",J8,0)))</f>
      </c>
      <c r="L8" s="1256" t="str">
        <f>IF(J8="","",IF(F8="共同",J8/2,IF(F8="B 個人",J8,0)))</f>
      </c>
      <c r="M8" s="1254"/>
    </row>
    <row r="9" ht="30" customHeight="1">
      <c r="A9" s="1253"/>
      <c r="B9" s="1254"/>
      <c r="C9" s="1254"/>
      <c r="D9" s="1254"/>
      <c r="E9" s="1254"/>
      <c r="F9" s="1254"/>
      <c r="G9" s="1254"/>
      <c r="H9" s="1255"/>
      <c r="I9" s="1256" t="str">
        <f>IF(G9="","",IF(G9="HKD",1,IF(G9="PLN",'兩人旅費'!$H$4,IF(G9="TRY",'兩人旅費'!$J$4,IF(G9="EUR",'兩人旅費'!$L$4,IF(G9="USD",'兩人旅費'!$F$4,""))))))</f>
      </c>
      <c r="J9" s="1256" t="str">
        <f>IF(OR(A9="",E9="",F9="",H9="",I9=""),"",ROUND(H9*I9,2))</f>
      </c>
      <c r="K9" s="1256" t="str">
        <f>IF(J9="","",IF(F9="共同",J9/2,IF(F9="A 個人",J9,0)))</f>
      </c>
      <c r="L9" s="1256" t="str">
        <f>IF(J9="","",IF(F9="共同",J9/2,IF(F9="B 個人",J9,0)))</f>
      </c>
      <c r="M9" s="1254"/>
    </row>
    <row r="10" ht="30" customHeight="1">
      <c r="A10" s="1253"/>
      <c r="B10" s="1254"/>
      <c r="C10" s="1254"/>
      <c r="D10" s="1254"/>
      <c r="E10" s="1254"/>
      <c r="F10" s="1254"/>
      <c r="G10" s="1254"/>
      <c r="H10" s="1255"/>
      <c r="I10" s="1256" t="str">
        <f>IF(G10="","",IF(G10="HKD",1,IF(G10="PLN",'兩人旅費'!$H$4,IF(G10="TRY",'兩人旅費'!$J$4,IF(G10="EUR",'兩人旅費'!$L$4,IF(G10="USD",'兩人旅費'!$F$4,""))))))</f>
      </c>
      <c r="J10" s="1256" t="str">
        <f>IF(OR(A10="",E10="",F10="",H10="",I10=""),"",ROUND(H10*I10,2))</f>
      </c>
      <c r="K10" s="1256" t="str">
        <f>IF(J10="","",IF(F10="共同",J10/2,IF(F10="A 個人",J10,0)))</f>
      </c>
      <c r="L10" s="1256" t="str">
        <f>IF(J10="","",IF(F10="共同",J10/2,IF(F10="B 個人",J10,0)))</f>
      </c>
      <c r="M10" s="1254"/>
    </row>
    <row r="11" ht="30" customHeight="1">
      <c r="A11" s="1253"/>
      <c r="B11" s="1254"/>
      <c r="C11" s="1254"/>
      <c r="D11" s="1254"/>
      <c r="E11" s="1254"/>
      <c r="F11" s="1254"/>
      <c r="G11" s="1254"/>
      <c r="H11" s="1255"/>
      <c r="I11" s="1256" t="str">
        <f>IF(G11="","",IF(G11="HKD",1,IF(G11="PLN",'兩人旅費'!$H$4,IF(G11="TRY",'兩人旅費'!$J$4,IF(G11="EUR",'兩人旅費'!$L$4,IF(G11="USD",'兩人旅費'!$F$4,""))))))</f>
      </c>
      <c r="J11" s="1256" t="str">
        <f>IF(OR(A11="",E11="",F11="",H11="",I11=""),"",ROUND(H11*I11,2))</f>
      </c>
      <c r="K11" s="1256" t="str">
        <f>IF(J11="","",IF(F11="共同",J11/2,IF(F11="A 個人",J11,0)))</f>
      </c>
      <c r="L11" s="1256" t="str">
        <f>IF(J11="","",IF(F11="共同",J11/2,IF(F11="B 個人",J11,0)))</f>
      </c>
      <c r="M11" s="1254"/>
    </row>
    <row r="12" ht="30" customHeight="1">
      <c r="A12" s="1253"/>
      <c r="B12" s="1254"/>
      <c r="C12" s="1254"/>
      <c r="D12" s="1254"/>
      <c r="E12" s="1254"/>
      <c r="F12" s="1254"/>
      <c r="G12" s="1254"/>
      <c r="H12" s="1255"/>
      <c r="I12" s="1256" t="str">
        <f>IF(G12="","",IF(G12="HKD",1,IF(G12="PLN",'兩人旅費'!$H$4,IF(G12="TRY",'兩人旅費'!$J$4,IF(G12="EUR",'兩人旅費'!$L$4,IF(G12="USD",'兩人旅費'!$F$4,""))))))</f>
      </c>
      <c r="J12" s="1256" t="str">
        <f>IF(OR(A12="",E12="",F12="",H12="",I12=""),"",ROUND(H12*I12,2))</f>
      </c>
      <c r="K12" s="1256" t="str">
        <f>IF(J12="","",IF(F12="共同",J12/2,IF(F12="A 個人",J12,0)))</f>
      </c>
      <c r="L12" s="1256" t="str">
        <f>IF(J12="","",IF(F12="共同",J12/2,IF(F12="B 個人",J12,0)))</f>
      </c>
      <c r="M12" s="1254"/>
    </row>
    <row r="13" ht="30" customHeight="1">
      <c r="A13" s="1253"/>
      <c r="B13" s="1254"/>
      <c r="C13" s="1254"/>
      <c r="D13" s="1254"/>
      <c r="E13" s="1254"/>
      <c r="F13" s="1254"/>
      <c r="G13" s="1254"/>
      <c r="H13" s="1255"/>
      <c r="I13" s="1256" t="str">
        <f>IF(G13="","",IF(G13="HKD",1,IF(G13="PLN",'兩人旅費'!$H$4,IF(G13="TRY",'兩人旅費'!$J$4,IF(G13="EUR",'兩人旅費'!$L$4,IF(G13="USD",'兩人旅費'!$F$4,""))))))</f>
      </c>
      <c r="J13" s="1256" t="str">
        <f>IF(OR(A13="",E13="",F13="",H13="",I13=""),"",ROUND(H13*I13,2))</f>
      </c>
      <c r="K13" s="1256" t="str">
        <f>IF(J13="","",IF(F13="共同",J13/2,IF(F13="A 個人",J13,0)))</f>
      </c>
      <c r="L13" s="1256" t="str">
        <f>IF(J13="","",IF(F13="共同",J13/2,IF(F13="B 個人",J13,0)))</f>
      </c>
      <c r="M13" s="1254"/>
    </row>
    <row r="14" ht="30" customHeight="1">
      <c r="A14" s="1253"/>
      <c r="B14" s="1254"/>
      <c r="C14" s="1254"/>
      <c r="D14" s="1254"/>
      <c r="E14" s="1254"/>
      <c r="F14" s="1254"/>
      <c r="G14" s="1254"/>
      <c r="H14" s="1255"/>
      <c r="I14" s="1256" t="str">
        <f>IF(G14="","",IF(G14="HKD",1,IF(G14="PLN",'兩人旅費'!$H$4,IF(G14="TRY",'兩人旅費'!$J$4,IF(G14="EUR",'兩人旅費'!$L$4,IF(G14="USD",'兩人旅費'!$F$4,""))))))</f>
      </c>
      <c r="J14" s="1256" t="str">
        <f>IF(OR(A14="",E14="",F14="",H14="",I14=""),"",ROUND(H14*I14,2))</f>
      </c>
      <c r="K14" s="1256" t="str">
        <f>IF(J14="","",IF(F14="共同",J14/2,IF(F14="A 個人",J14,0)))</f>
      </c>
      <c r="L14" s="1256" t="str">
        <f>IF(J14="","",IF(F14="共同",J14/2,IF(F14="B 個人",J14,0)))</f>
      </c>
      <c r="M14" s="1254"/>
    </row>
    <row r="15" ht="30" customHeight="1">
      <c r="A15" s="1253"/>
      <c r="B15" s="1254"/>
      <c r="C15" s="1254"/>
      <c r="D15" s="1254"/>
      <c r="E15" s="1254"/>
      <c r="F15" s="1254"/>
      <c r="G15" s="1254"/>
      <c r="H15" s="1255"/>
      <c r="I15" s="1256" t="str">
        <f>IF(G15="","",IF(G15="HKD",1,IF(G15="PLN",'兩人旅費'!$H$4,IF(G15="TRY",'兩人旅費'!$J$4,IF(G15="EUR",'兩人旅費'!$L$4,IF(G15="USD",'兩人旅費'!$F$4,""))))))</f>
      </c>
      <c r="J15" s="1256" t="str">
        <f>IF(OR(A15="",E15="",F15="",H15="",I15=""),"",ROUND(H15*I15,2))</f>
      </c>
      <c r="K15" s="1256" t="str">
        <f>IF(J15="","",IF(F15="共同",J15/2,IF(F15="A 個人",J15,0)))</f>
      </c>
      <c r="L15" s="1256" t="str">
        <f>IF(J15="","",IF(F15="共同",J15/2,IF(F15="B 個人",J15,0)))</f>
      </c>
      <c r="M15" s="1254"/>
    </row>
    <row r="16" ht="30" customHeight="1">
      <c r="A16" s="1253"/>
      <c r="B16" s="1254"/>
      <c r="C16" s="1254"/>
      <c r="D16" s="1254"/>
      <c r="E16" s="1254"/>
      <c r="F16" s="1254"/>
      <c r="G16" s="1254"/>
      <c r="H16" s="1255"/>
      <c r="I16" s="1256" t="str">
        <f>IF(G16="","",IF(G16="HKD",1,IF(G16="PLN",'兩人旅費'!$H$4,IF(G16="TRY",'兩人旅費'!$J$4,IF(G16="EUR",'兩人旅費'!$L$4,IF(G16="USD",'兩人旅費'!$F$4,""))))))</f>
      </c>
      <c r="J16" s="1256" t="str">
        <f>IF(OR(A16="",E16="",F16="",H16="",I16=""),"",ROUND(H16*I16,2))</f>
      </c>
      <c r="K16" s="1256" t="str">
        <f>IF(J16="","",IF(F16="共同",J16/2,IF(F16="A 個人",J16,0)))</f>
      </c>
      <c r="L16" s="1256" t="str">
        <f>IF(J16="","",IF(F16="共同",J16/2,IF(F16="B 個人",J16,0)))</f>
      </c>
      <c r="M16" s="1254"/>
    </row>
    <row r="17" ht="30" customHeight="1">
      <c r="A17" s="1253"/>
      <c r="B17" s="1254"/>
      <c r="C17" s="1254"/>
      <c r="D17" s="1254"/>
      <c r="E17" s="1254"/>
      <c r="F17" s="1254"/>
      <c r="G17" s="1254"/>
      <c r="H17" s="1255"/>
      <c r="I17" s="1256" t="str">
        <f>IF(G17="","",IF(G17="HKD",1,IF(G17="PLN",'兩人旅費'!$H$4,IF(G17="TRY",'兩人旅費'!$J$4,IF(G17="EUR",'兩人旅費'!$L$4,IF(G17="USD",'兩人旅費'!$F$4,""))))))</f>
      </c>
      <c r="J17" s="1256" t="str">
        <f>IF(OR(A17="",E17="",F17="",H17="",I17=""),"",ROUND(H17*I17,2))</f>
      </c>
      <c r="K17" s="1256" t="str">
        <f>IF(J17="","",IF(F17="共同",J17/2,IF(F17="A 個人",J17,0)))</f>
      </c>
      <c r="L17" s="1256" t="str">
        <f>IF(J17="","",IF(F17="共同",J17/2,IF(F17="B 個人",J17,0)))</f>
      </c>
      <c r="M17" s="1254"/>
    </row>
    <row r="18" ht="30" customHeight="1">
      <c r="A18" s="1253"/>
      <c r="B18" s="1254"/>
      <c r="C18" s="1254"/>
      <c r="D18" s="1254"/>
      <c r="E18" s="1254"/>
      <c r="F18" s="1254"/>
      <c r="G18" s="1254"/>
      <c r="H18" s="1255"/>
      <c r="I18" s="1256" t="str">
        <f>IF(G18="","",IF(G18="HKD",1,IF(G18="PLN",'兩人旅費'!$H$4,IF(G18="TRY",'兩人旅費'!$J$4,IF(G18="EUR",'兩人旅費'!$L$4,IF(G18="USD",'兩人旅費'!$F$4,""))))))</f>
      </c>
      <c r="J18" s="1256" t="str">
        <f>IF(OR(A18="",E18="",F18="",H18="",I18=""),"",ROUND(H18*I18,2))</f>
      </c>
      <c r="K18" s="1256" t="str">
        <f>IF(J18="","",IF(F18="共同",J18/2,IF(F18="A 個人",J18,0)))</f>
      </c>
      <c r="L18" s="1256" t="str">
        <f>IF(J18="","",IF(F18="共同",J18/2,IF(F18="B 個人",J18,0)))</f>
      </c>
      <c r="M18" s="1254"/>
    </row>
    <row r="19" ht="30" customHeight="1">
      <c r="A19" s="1253"/>
      <c r="B19" s="1254"/>
      <c r="C19" s="1254"/>
      <c r="D19" s="1254"/>
      <c r="E19" s="1254"/>
      <c r="F19" s="1254"/>
      <c r="G19" s="1254"/>
      <c r="H19" s="1255"/>
      <c r="I19" s="1256" t="str">
        <f>IF(G19="","",IF(G19="HKD",1,IF(G19="PLN",'兩人旅費'!$H$4,IF(G19="TRY",'兩人旅費'!$J$4,IF(G19="EUR",'兩人旅費'!$L$4,IF(G19="USD",'兩人旅費'!$F$4,""))))))</f>
      </c>
      <c r="J19" s="1256" t="str">
        <f>IF(OR(A19="",E19="",F19="",H19="",I19=""),"",ROUND(H19*I19,2))</f>
      </c>
      <c r="K19" s="1256" t="str">
        <f>IF(J19="","",IF(F19="共同",J19/2,IF(F19="A 個人",J19,0)))</f>
      </c>
      <c r="L19" s="1256" t="str">
        <f>IF(J19="","",IF(F19="共同",J19/2,IF(F19="B 個人",J19,0)))</f>
      </c>
      <c r="M19" s="1254"/>
    </row>
    <row r="20" ht="30" customHeight="1">
      <c r="A20" s="1253"/>
      <c r="B20" s="1254"/>
      <c r="C20" s="1254"/>
      <c r="D20" s="1254"/>
      <c r="E20" s="1254"/>
      <c r="F20" s="1254"/>
      <c r="G20" s="1254"/>
      <c r="H20" s="1255"/>
      <c r="I20" s="1256" t="str">
        <f>IF(G20="","",IF(G20="HKD",1,IF(G20="PLN",'兩人旅費'!$H$4,IF(G20="TRY",'兩人旅費'!$J$4,IF(G20="EUR",'兩人旅費'!$L$4,IF(G20="USD",'兩人旅費'!$F$4,""))))))</f>
      </c>
      <c r="J20" s="1256" t="str">
        <f>IF(OR(A20="",E20="",F20="",H20="",I20=""),"",ROUND(H20*I20,2))</f>
      </c>
      <c r="K20" s="1256" t="str">
        <f>IF(J20="","",IF(F20="共同",J20/2,IF(F20="A 個人",J20,0)))</f>
      </c>
      <c r="L20" s="1256" t="str">
        <f>IF(J20="","",IF(F20="共同",J20/2,IF(F20="B 個人",J20,0)))</f>
      </c>
      <c r="M20" s="1254"/>
    </row>
    <row r="21" ht="30" customHeight="1">
      <c r="A21" s="1253"/>
      <c r="B21" s="1254"/>
      <c r="C21" s="1254"/>
      <c r="D21" s="1254"/>
      <c r="E21" s="1254"/>
      <c r="F21" s="1254"/>
      <c r="G21" s="1254"/>
      <c r="H21" s="1255"/>
      <c r="I21" s="1256" t="str">
        <f>IF(G21="","",IF(G21="HKD",1,IF(G21="PLN",'兩人旅費'!$H$4,IF(G21="TRY",'兩人旅費'!$J$4,IF(G21="EUR",'兩人旅費'!$L$4,IF(G21="USD",'兩人旅費'!$F$4,""))))))</f>
      </c>
      <c r="J21" s="1256" t="str">
        <f>IF(OR(A21="",E21="",F21="",H21="",I21=""),"",ROUND(H21*I21,2))</f>
      </c>
      <c r="K21" s="1256" t="str">
        <f>IF(J21="","",IF(F21="共同",J21/2,IF(F21="A 個人",J21,0)))</f>
      </c>
      <c r="L21" s="1256" t="str">
        <f>IF(J21="","",IF(F21="共同",J21/2,IF(F21="B 個人",J21,0)))</f>
      </c>
      <c r="M21" s="1254"/>
    </row>
    <row r="22" ht="30" customHeight="1">
      <c r="A22" s="1253"/>
      <c r="B22" s="1254"/>
      <c r="C22" s="1254"/>
      <c r="D22" s="1254"/>
      <c r="E22" s="1254"/>
      <c r="F22" s="1254"/>
      <c r="G22" s="1254"/>
      <c r="H22" s="1255"/>
      <c r="I22" s="1256" t="str">
        <f>IF(G22="","",IF(G22="HKD",1,IF(G22="PLN",'兩人旅費'!$H$4,IF(G22="TRY",'兩人旅費'!$J$4,IF(G22="EUR",'兩人旅費'!$L$4,IF(G22="USD",'兩人旅費'!$F$4,""))))))</f>
      </c>
      <c r="J22" s="1256" t="str">
        <f>IF(OR(A22="",E22="",F22="",H22="",I22=""),"",ROUND(H22*I22,2))</f>
      </c>
      <c r="K22" s="1256" t="str">
        <f>IF(J22="","",IF(F22="共同",J22/2,IF(F22="A 個人",J22,0)))</f>
      </c>
      <c r="L22" s="1256" t="str">
        <f>IF(J22="","",IF(F22="共同",J22/2,IF(F22="B 個人",J22,0)))</f>
      </c>
      <c r="M22" s="1254"/>
    </row>
    <row r="23" ht="30" customHeight="1">
      <c r="A23" s="1253"/>
      <c r="B23" s="1254"/>
      <c r="C23" s="1254"/>
      <c r="D23" s="1254"/>
      <c r="E23" s="1254"/>
      <c r="F23" s="1254"/>
      <c r="G23" s="1254"/>
      <c r="H23" s="1255"/>
      <c r="I23" s="1256" t="str">
        <f>IF(G23="","",IF(G23="HKD",1,IF(G23="PLN",'兩人旅費'!$H$4,IF(G23="TRY",'兩人旅費'!$J$4,IF(G23="EUR",'兩人旅費'!$L$4,IF(G23="USD",'兩人旅費'!$F$4,""))))))</f>
      </c>
      <c r="J23" s="1256" t="str">
        <f>IF(OR(A23="",E23="",F23="",H23="",I23=""),"",ROUND(H23*I23,2))</f>
      </c>
      <c r="K23" s="1256" t="str">
        <f>IF(J23="","",IF(F23="共同",J23/2,IF(F23="A 個人",J23,0)))</f>
      </c>
      <c r="L23" s="1256" t="str">
        <f>IF(J23="","",IF(F23="共同",J23/2,IF(F23="B 個人",J23,0)))</f>
      </c>
      <c r="M23" s="1254"/>
    </row>
    <row r="24" ht="30" customHeight="1">
      <c r="A24" s="1253"/>
      <c r="B24" s="1254"/>
      <c r="C24" s="1254"/>
      <c r="D24" s="1254"/>
      <c r="E24" s="1254"/>
      <c r="F24" s="1254"/>
      <c r="G24" s="1254"/>
      <c r="H24" s="1255"/>
      <c r="I24" s="1256" t="str">
        <f>IF(G24="","",IF(G24="HKD",1,IF(G24="PLN",'兩人旅費'!$H$4,IF(G24="TRY",'兩人旅費'!$J$4,IF(G24="EUR",'兩人旅費'!$L$4,IF(G24="USD",'兩人旅費'!$F$4,""))))))</f>
      </c>
      <c r="J24" s="1256" t="str">
        <f>IF(OR(A24="",E24="",F24="",H24="",I24=""),"",ROUND(H24*I24,2))</f>
      </c>
      <c r="K24" s="1256" t="str">
        <f>IF(J24="","",IF(F24="共同",J24/2,IF(F24="A 個人",J24,0)))</f>
      </c>
      <c r="L24" s="1256" t="str">
        <f>IF(J24="","",IF(F24="共同",J24/2,IF(F24="B 個人",J24,0)))</f>
      </c>
      <c r="M24" s="1254"/>
    </row>
    <row r="25" ht="30" customHeight="1">
      <c r="A25" s="1253"/>
      <c r="B25" s="1254"/>
      <c r="C25" s="1254"/>
      <c r="D25" s="1254"/>
      <c r="E25" s="1254"/>
      <c r="F25" s="1254"/>
      <c r="G25" s="1254"/>
      <c r="H25" s="1255"/>
      <c r="I25" s="1256" t="str">
        <f>IF(G25="","",IF(G25="HKD",1,IF(G25="PLN",'兩人旅費'!$H$4,IF(G25="TRY",'兩人旅費'!$J$4,IF(G25="EUR",'兩人旅費'!$L$4,IF(G25="USD",'兩人旅費'!$F$4,""))))))</f>
      </c>
      <c r="J25" s="1256" t="str">
        <f>IF(OR(A25="",E25="",F25="",H25="",I25=""),"",ROUND(H25*I25,2))</f>
      </c>
      <c r="K25" s="1256" t="str">
        <f>IF(J25="","",IF(F25="共同",J25/2,IF(F25="A 個人",J25,0)))</f>
      </c>
      <c r="L25" s="1256" t="str">
        <f>IF(J25="","",IF(F25="共同",J25/2,IF(F25="B 個人",J25,0)))</f>
      </c>
      <c r="M25" s="1254"/>
    </row>
    <row r="26" ht="30" customHeight="1">
      <c r="A26" s="1253"/>
      <c r="B26" s="1254"/>
      <c r="C26" s="1254"/>
      <c r="D26" s="1254"/>
      <c r="E26" s="1254"/>
      <c r="F26" s="1254"/>
      <c r="G26" s="1254"/>
      <c r="H26" s="1255"/>
      <c r="I26" s="1256" t="str">
        <f>IF(G26="","",IF(G26="HKD",1,IF(G26="PLN",'兩人旅費'!$H$4,IF(G26="TRY",'兩人旅費'!$J$4,IF(G26="EUR",'兩人旅費'!$L$4,IF(G26="USD",'兩人旅費'!$F$4,""))))))</f>
      </c>
      <c r="J26" s="1256" t="str">
        <f>IF(OR(A26="",E26="",F26="",H26="",I26=""),"",ROUND(H26*I26,2))</f>
      </c>
      <c r="K26" s="1256" t="str">
        <f>IF(J26="","",IF(F26="共同",J26/2,IF(F26="A 個人",J26,0)))</f>
      </c>
      <c r="L26" s="1256" t="str">
        <f>IF(J26="","",IF(F26="共同",J26/2,IF(F26="B 個人",J26,0)))</f>
      </c>
      <c r="M26" s="1254"/>
    </row>
    <row r="27" ht="30" customHeight="1">
      <c r="A27" s="1253"/>
      <c r="B27" s="1254"/>
      <c r="C27" s="1254"/>
      <c r="D27" s="1254"/>
      <c r="E27" s="1254"/>
      <c r="F27" s="1254"/>
      <c r="G27" s="1254"/>
      <c r="H27" s="1255"/>
      <c r="I27" s="1256" t="str">
        <f>IF(G27="","",IF(G27="HKD",1,IF(G27="PLN",'兩人旅費'!$H$4,IF(G27="TRY",'兩人旅費'!$J$4,IF(G27="EUR",'兩人旅費'!$L$4,IF(G27="USD",'兩人旅費'!$F$4,""))))))</f>
      </c>
      <c r="J27" s="1256" t="str">
        <f>IF(OR(A27="",E27="",F27="",H27="",I27=""),"",ROUND(H27*I27,2))</f>
      </c>
      <c r="K27" s="1256" t="str">
        <f>IF(J27="","",IF(F27="共同",J27/2,IF(F27="A 個人",J27,0)))</f>
      </c>
      <c r="L27" s="1256" t="str">
        <f>IF(J27="","",IF(F27="共同",J27/2,IF(F27="B 個人",J27,0)))</f>
      </c>
      <c r="M27" s="1254"/>
    </row>
    <row r="28" ht="30" customHeight="1">
      <c r="A28" s="1253"/>
      <c r="B28" s="1254"/>
      <c r="C28" s="1254"/>
      <c r="D28" s="1254"/>
      <c r="E28" s="1254"/>
      <c r="F28" s="1254"/>
      <c r="G28" s="1254"/>
      <c r="H28" s="1255"/>
      <c r="I28" s="1256" t="str">
        <f>IF(G28="","",IF(G28="HKD",1,IF(G28="PLN",'兩人旅費'!$H$4,IF(G28="TRY",'兩人旅費'!$J$4,IF(G28="EUR",'兩人旅費'!$L$4,IF(G28="USD",'兩人旅費'!$F$4,""))))))</f>
      </c>
      <c r="J28" s="1256" t="str">
        <f>IF(OR(A28="",E28="",F28="",H28="",I28=""),"",ROUND(H28*I28,2))</f>
      </c>
      <c r="K28" s="1256" t="str">
        <f>IF(J28="","",IF(F28="共同",J28/2,IF(F28="A 個人",J28,0)))</f>
      </c>
      <c r="L28" s="1256" t="str">
        <f>IF(J28="","",IF(F28="共同",J28/2,IF(F28="B 個人",J28,0)))</f>
      </c>
      <c r="M28" s="1254"/>
    </row>
    <row r="29" ht="30" customHeight="1">
      <c r="A29" s="1253"/>
      <c r="B29" s="1254"/>
      <c r="C29" s="1254"/>
      <c r="D29" s="1254"/>
      <c r="E29" s="1254"/>
      <c r="F29" s="1254"/>
      <c r="G29" s="1254"/>
      <c r="H29" s="1255"/>
      <c r="I29" s="1256" t="str">
        <f>IF(G29="","",IF(G29="HKD",1,IF(G29="PLN",'兩人旅費'!$H$4,IF(G29="TRY",'兩人旅費'!$J$4,IF(G29="EUR",'兩人旅費'!$L$4,IF(G29="USD",'兩人旅費'!$F$4,""))))))</f>
      </c>
      <c r="J29" s="1256" t="str">
        <f>IF(OR(A29="",E29="",F29="",H29="",I29=""),"",ROUND(H29*I29,2))</f>
      </c>
      <c r="K29" s="1256" t="str">
        <f>IF(J29="","",IF(F29="共同",J29/2,IF(F29="A 個人",J29,0)))</f>
      </c>
      <c r="L29" s="1256" t="str">
        <f>IF(J29="","",IF(F29="共同",J29/2,IF(F29="B 個人",J29,0)))</f>
      </c>
      <c r="M29" s="1254"/>
    </row>
    <row r="30" ht="30" customHeight="1">
      <c r="A30" s="1253"/>
      <c r="B30" s="1254"/>
      <c r="C30" s="1254"/>
      <c r="D30" s="1254"/>
      <c r="E30" s="1254"/>
      <c r="F30" s="1254"/>
      <c r="G30" s="1254"/>
      <c r="H30" s="1255"/>
      <c r="I30" s="1256" t="str">
        <f>IF(G30="","",IF(G30="HKD",1,IF(G30="PLN",'兩人旅費'!$H$4,IF(G30="TRY",'兩人旅費'!$J$4,IF(G30="EUR",'兩人旅費'!$L$4,IF(G30="USD",'兩人旅費'!$F$4,""))))))</f>
      </c>
      <c r="J30" s="1256" t="str">
        <f>IF(OR(A30="",E30="",F30="",H30="",I30=""),"",ROUND(H30*I30,2))</f>
      </c>
      <c r="K30" s="1256" t="str">
        <f>IF(J30="","",IF(F30="共同",J30/2,IF(F30="A 個人",J30,0)))</f>
      </c>
      <c r="L30" s="1256" t="str">
        <f>IF(J30="","",IF(F30="共同",J30/2,IF(F30="B 個人",J30,0)))</f>
      </c>
      <c r="M30" s="1254"/>
    </row>
    <row r="31" ht="30" customHeight="1">
      <c r="A31" s="1253"/>
      <c r="B31" s="1254"/>
      <c r="C31" s="1254"/>
      <c r="D31" s="1254"/>
      <c r="E31" s="1254"/>
      <c r="F31" s="1254"/>
      <c r="G31" s="1254"/>
      <c r="H31" s="1255"/>
      <c r="I31" s="1256" t="str">
        <f>IF(G31="","",IF(G31="HKD",1,IF(G31="PLN",'兩人旅費'!$H$4,IF(G31="TRY",'兩人旅費'!$J$4,IF(G31="EUR",'兩人旅費'!$L$4,IF(G31="USD",'兩人旅費'!$F$4,""))))))</f>
      </c>
      <c r="J31" s="1256" t="str">
        <f>IF(OR(A31="",E31="",F31="",H31="",I31=""),"",ROUND(H31*I31,2))</f>
      </c>
      <c r="K31" s="1256" t="str">
        <f>IF(J31="","",IF(F31="共同",J31/2,IF(F31="A 個人",J31,0)))</f>
      </c>
      <c r="L31" s="1256" t="str">
        <f>IF(J31="","",IF(F31="共同",J31/2,IF(F31="B 個人",J31,0)))</f>
      </c>
      <c r="M31" s="1254"/>
    </row>
    <row r="32" ht="30" customHeight="1">
      <c r="A32" s="1253"/>
      <c r="B32" s="1254"/>
      <c r="C32" s="1254"/>
      <c r="D32" s="1254"/>
      <c r="E32" s="1254"/>
      <c r="F32" s="1254"/>
      <c r="G32" s="1254"/>
      <c r="H32" s="1255"/>
      <c r="I32" s="1256" t="str">
        <f>IF(G32="","",IF(G32="HKD",1,IF(G32="PLN",'兩人旅費'!$H$4,IF(G32="TRY",'兩人旅費'!$J$4,IF(G32="EUR",'兩人旅費'!$L$4,IF(G32="USD",'兩人旅費'!$F$4,""))))))</f>
      </c>
      <c r="J32" s="1256" t="str">
        <f>IF(OR(A32="",E32="",F32="",H32="",I32=""),"",ROUND(H32*I32,2))</f>
      </c>
      <c r="K32" s="1256" t="str">
        <f>IF(J32="","",IF(F32="共同",J32/2,IF(F32="A 個人",J32,0)))</f>
      </c>
      <c r="L32" s="1256" t="str">
        <f>IF(J32="","",IF(F32="共同",J32/2,IF(F32="B 個人",J32,0)))</f>
      </c>
      <c r="M32" s="1254"/>
    </row>
    <row r="33" ht="30" customHeight="1">
      <c r="A33" s="1253"/>
      <c r="B33" s="1254"/>
      <c r="C33" s="1254"/>
      <c r="D33" s="1254"/>
      <c r="E33" s="1254"/>
      <c r="F33" s="1254"/>
      <c r="G33" s="1254"/>
      <c r="H33" s="1255"/>
      <c r="I33" s="1256" t="str">
        <f>IF(G33="","",IF(G33="HKD",1,IF(G33="PLN",'兩人旅費'!$H$4,IF(G33="TRY",'兩人旅費'!$J$4,IF(G33="EUR",'兩人旅費'!$L$4,IF(G33="USD",'兩人旅費'!$F$4,""))))))</f>
      </c>
      <c r="J33" s="1256" t="str">
        <f>IF(OR(A33="",E33="",F33="",H33="",I33=""),"",ROUND(H33*I33,2))</f>
      </c>
      <c r="K33" s="1256" t="str">
        <f>IF(J33="","",IF(F33="共同",J33/2,IF(F33="A 個人",J33,0)))</f>
      </c>
      <c r="L33" s="1256" t="str">
        <f>IF(J33="","",IF(F33="共同",J33/2,IF(F33="B 個人",J33,0)))</f>
      </c>
      <c r="M33" s="1254"/>
    </row>
    <row r="34" ht="30" customHeight="1">
      <c r="A34" s="1253"/>
      <c r="B34" s="1254"/>
      <c r="C34" s="1254"/>
      <c r="D34" s="1254"/>
      <c r="E34" s="1254"/>
      <c r="F34" s="1254"/>
      <c r="G34" s="1254"/>
      <c r="H34" s="1255"/>
      <c r="I34" s="1256" t="str">
        <f>IF(G34="","",IF(G34="HKD",1,IF(G34="PLN",'兩人旅費'!$H$4,IF(G34="TRY",'兩人旅費'!$J$4,IF(G34="EUR",'兩人旅費'!$L$4,IF(G34="USD",'兩人旅費'!$F$4,""))))))</f>
      </c>
      <c r="J34" s="1256" t="str">
        <f>IF(OR(A34="",E34="",F34="",H34="",I34=""),"",ROUND(H34*I34,2))</f>
      </c>
      <c r="K34" s="1256" t="str">
        <f>IF(J34="","",IF(F34="共同",J34/2,IF(F34="A 個人",J34,0)))</f>
      </c>
      <c r="L34" s="1256" t="str">
        <f>IF(J34="","",IF(F34="共同",J34/2,IF(F34="B 個人",J34,0)))</f>
      </c>
      <c r="M34" s="1254"/>
    </row>
    <row r="35" ht="30" customHeight="1">
      <c r="A35" s="1253"/>
      <c r="B35" s="1254"/>
      <c r="C35" s="1254"/>
      <c r="D35" s="1254"/>
      <c r="E35" s="1254"/>
      <c r="F35" s="1254"/>
      <c r="G35" s="1254"/>
      <c r="H35" s="1255"/>
      <c r="I35" s="1256" t="str">
        <f>IF(G35="","",IF(G35="HKD",1,IF(G35="PLN",'兩人旅費'!$H$4,IF(G35="TRY",'兩人旅費'!$J$4,IF(G35="EUR",'兩人旅費'!$L$4,IF(G35="USD",'兩人旅費'!$F$4,""))))))</f>
      </c>
      <c r="J35" s="1256" t="str">
        <f>IF(OR(A35="",E35="",F35="",H35="",I35=""),"",ROUND(H35*I35,2))</f>
      </c>
      <c r="K35" s="1256" t="str">
        <f>IF(J35="","",IF(F35="共同",J35/2,IF(F35="A 個人",J35,0)))</f>
      </c>
      <c r="L35" s="1256" t="str">
        <f>IF(J35="","",IF(F35="共同",J35/2,IF(F35="B 個人",J35,0)))</f>
      </c>
      <c r="M35" s="1254"/>
    </row>
    <row r="36" ht="30" customHeight="1">
      <c r="A36" s="1253"/>
      <c r="B36" s="1254"/>
      <c r="C36" s="1254"/>
      <c r="D36" s="1254"/>
      <c r="E36" s="1254"/>
      <c r="F36" s="1254"/>
      <c r="G36" s="1254"/>
      <c r="H36" s="1255"/>
      <c r="I36" s="1256" t="str">
        <f>IF(G36="","",IF(G36="HKD",1,IF(G36="PLN",'兩人旅費'!$H$4,IF(G36="TRY",'兩人旅費'!$J$4,IF(G36="EUR",'兩人旅費'!$L$4,IF(G36="USD",'兩人旅費'!$F$4,""))))))</f>
      </c>
      <c r="J36" s="1256" t="str">
        <f>IF(OR(A36="",E36="",F36="",H36="",I36=""),"",ROUND(H36*I36,2))</f>
      </c>
      <c r="K36" s="1256" t="str">
        <f>IF(J36="","",IF(F36="共同",J36/2,IF(F36="A 個人",J36,0)))</f>
      </c>
      <c r="L36" s="1256" t="str">
        <f>IF(J36="","",IF(F36="共同",J36/2,IF(F36="B 個人",J36,0)))</f>
      </c>
      <c r="M36" s="1254"/>
    </row>
    <row r="37" ht="30" customHeight="1">
      <c r="A37" s="1253"/>
      <c r="B37" s="1254"/>
      <c r="C37" s="1254"/>
      <c r="D37" s="1254"/>
      <c r="E37" s="1254"/>
      <c r="F37" s="1254"/>
      <c r="G37" s="1254"/>
      <c r="H37" s="1255"/>
      <c r="I37" s="1256" t="str">
        <f>IF(G37="","",IF(G37="HKD",1,IF(G37="PLN",'兩人旅費'!$H$4,IF(G37="TRY",'兩人旅費'!$J$4,IF(G37="EUR",'兩人旅費'!$L$4,IF(G37="USD",'兩人旅費'!$F$4,""))))))</f>
      </c>
      <c r="J37" s="1256" t="str">
        <f>IF(OR(A37="",E37="",F37="",H37="",I37=""),"",ROUND(H37*I37,2))</f>
      </c>
      <c r="K37" s="1256" t="str">
        <f>IF(J37="","",IF(F37="共同",J37/2,IF(F37="A 個人",J37,0)))</f>
      </c>
      <c r="L37" s="1256" t="str">
        <f>IF(J37="","",IF(F37="共同",J37/2,IF(F37="B 個人",J37,0)))</f>
      </c>
      <c r="M37" s="1254"/>
    </row>
    <row r="38" ht="30" customHeight="1">
      <c r="A38" s="1253"/>
      <c r="B38" s="1254"/>
      <c r="C38" s="1254"/>
      <c r="D38" s="1254"/>
      <c r="E38" s="1254"/>
      <c r="F38" s="1254"/>
      <c r="G38" s="1254"/>
      <c r="H38" s="1255"/>
      <c r="I38" s="1256" t="str">
        <f>IF(G38="","",IF(G38="HKD",1,IF(G38="PLN",'兩人旅費'!$H$4,IF(G38="TRY",'兩人旅費'!$J$4,IF(G38="EUR",'兩人旅費'!$L$4,IF(G38="USD",'兩人旅費'!$F$4,""))))))</f>
      </c>
      <c r="J38" s="1256" t="str">
        <f>IF(OR(A38="",E38="",F38="",H38="",I38=""),"",ROUND(H38*I38,2))</f>
      </c>
      <c r="K38" s="1256" t="str">
        <f>IF(J38="","",IF(F38="共同",J38/2,IF(F38="A 個人",J38,0)))</f>
      </c>
      <c r="L38" s="1256" t="str">
        <f>IF(J38="","",IF(F38="共同",J38/2,IF(F38="B 個人",J38,0)))</f>
      </c>
      <c r="M38" s="1254"/>
    </row>
    <row r="39" ht="30" customHeight="1">
      <c r="A39" s="1253"/>
      <c r="B39" s="1254"/>
      <c r="C39" s="1254"/>
      <c r="D39" s="1254"/>
      <c r="E39" s="1254"/>
      <c r="F39" s="1254"/>
      <c r="G39" s="1254"/>
      <c r="H39" s="1255"/>
      <c r="I39" s="1256" t="str">
        <f>IF(G39="","",IF(G39="HKD",1,IF(G39="PLN",'兩人旅費'!$H$4,IF(G39="TRY",'兩人旅費'!$J$4,IF(G39="EUR",'兩人旅費'!$L$4,IF(G39="USD",'兩人旅費'!$F$4,""))))))</f>
      </c>
      <c r="J39" s="1256" t="str">
        <f>IF(OR(A39="",E39="",F39="",H39="",I39=""),"",ROUND(H39*I39,2))</f>
      </c>
      <c r="K39" s="1256" t="str">
        <f>IF(J39="","",IF(F39="共同",J39/2,IF(F39="A 個人",J39,0)))</f>
      </c>
      <c r="L39" s="1256" t="str">
        <f>IF(J39="","",IF(F39="共同",J39/2,IF(F39="B 個人",J39,0)))</f>
      </c>
      <c r="M39" s="1254"/>
    </row>
    <row r="40" ht="30" customHeight="1">
      <c r="A40" s="1253"/>
      <c r="B40" s="1254"/>
      <c r="C40" s="1254"/>
      <c r="D40" s="1254"/>
      <c r="E40" s="1254"/>
      <c r="F40" s="1254"/>
      <c r="G40" s="1254"/>
      <c r="H40" s="1255"/>
      <c r="I40" s="1256" t="str">
        <f>IF(G40="","",IF(G40="HKD",1,IF(G40="PLN",'兩人旅費'!$H$4,IF(G40="TRY",'兩人旅費'!$J$4,IF(G40="EUR",'兩人旅費'!$L$4,IF(G40="USD",'兩人旅費'!$F$4,""))))))</f>
      </c>
      <c r="J40" s="1256" t="str">
        <f>IF(OR(A40="",E40="",F40="",H40="",I40=""),"",ROUND(H40*I40,2))</f>
      </c>
      <c r="K40" s="1256" t="str">
        <f>IF(J40="","",IF(F40="共同",J40/2,IF(F40="A 個人",J40,0)))</f>
      </c>
      <c r="L40" s="1256" t="str">
        <f>IF(J40="","",IF(F40="共同",J40/2,IF(F40="B 個人",J40,0)))</f>
      </c>
      <c r="M40" s="1254"/>
    </row>
    <row r="41" ht="30" customHeight="1">
      <c r="A41" s="1253"/>
      <c r="B41" s="1254"/>
      <c r="C41" s="1254"/>
      <c r="D41" s="1254"/>
      <c r="E41" s="1254"/>
      <c r="F41" s="1254"/>
      <c r="G41" s="1254"/>
      <c r="H41" s="1255"/>
      <c r="I41" s="1256" t="str">
        <f>IF(G41="","",IF(G41="HKD",1,IF(G41="PLN",'兩人旅費'!$H$4,IF(G41="TRY",'兩人旅費'!$J$4,IF(G41="EUR",'兩人旅費'!$L$4,IF(G41="USD",'兩人旅費'!$F$4,""))))))</f>
      </c>
      <c r="J41" s="1256" t="str">
        <f>IF(OR(A41="",E41="",F41="",H41="",I41=""),"",ROUND(H41*I41,2))</f>
      </c>
      <c r="K41" s="1256" t="str">
        <f>IF(J41="","",IF(F41="共同",J41/2,IF(F41="A 個人",J41,0)))</f>
      </c>
      <c r="L41" s="1256" t="str">
        <f>IF(J41="","",IF(F41="共同",J41/2,IF(F41="B 個人",J41,0)))</f>
      </c>
      <c r="M41" s="1254"/>
    </row>
    <row r="42" ht="30" customHeight="1">
      <c r="A42" s="1253"/>
      <c r="B42" s="1254"/>
      <c r="C42" s="1254"/>
      <c r="D42" s="1254"/>
      <c r="E42" s="1254"/>
      <c r="F42" s="1254"/>
      <c r="G42" s="1254"/>
      <c r="H42" s="1255"/>
      <c r="I42" s="1256" t="str">
        <f>IF(G42="","",IF(G42="HKD",1,IF(G42="PLN",'兩人旅費'!$H$4,IF(G42="TRY",'兩人旅費'!$J$4,IF(G42="EUR",'兩人旅費'!$L$4,IF(G42="USD",'兩人旅費'!$F$4,""))))))</f>
      </c>
      <c r="J42" s="1256" t="str">
        <f>IF(OR(A42="",E42="",F42="",H42="",I42=""),"",ROUND(H42*I42,2))</f>
      </c>
      <c r="K42" s="1256" t="str">
        <f>IF(J42="","",IF(F42="共同",J42/2,IF(F42="A 個人",J42,0)))</f>
      </c>
      <c r="L42" s="1256" t="str">
        <f>IF(J42="","",IF(F42="共同",J42/2,IF(F42="B 個人",J42,0)))</f>
      </c>
      <c r="M42" s="1254"/>
    </row>
    <row r="43" ht="30" customHeight="1">
      <c r="A43" s="1253"/>
      <c r="B43" s="1254"/>
      <c r="C43" s="1254"/>
      <c r="D43" s="1254"/>
      <c r="E43" s="1254"/>
      <c r="F43" s="1254"/>
      <c r="G43" s="1254"/>
      <c r="H43" s="1255"/>
      <c r="I43" s="1256" t="str">
        <f>IF(G43="","",IF(G43="HKD",1,IF(G43="PLN",'兩人旅費'!$H$4,IF(G43="TRY",'兩人旅費'!$J$4,IF(G43="EUR",'兩人旅費'!$L$4,IF(G43="USD",'兩人旅費'!$F$4,""))))))</f>
      </c>
      <c r="J43" s="1256" t="str">
        <f>IF(OR(A43="",E43="",F43="",H43="",I43=""),"",ROUND(H43*I43,2))</f>
      </c>
      <c r="K43" s="1256" t="str">
        <f>IF(J43="","",IF(F43="共同",J43/2,IF(F43="A 個人",J43,0)))</f>
      </c>
      <c r="L43" s="1256" t="str">
        <f>IF(J43="","",IF(F43="共同",J43/2,IF(F43="B 個人",J43,0)))</f>
      </c>
      <c r="M43" s="1254"/>
    </row>
    <row r="44" ht="30" customHeight="1">
      <c r="A44" s="1253"/>
      <c r="B44" s="1254"/>
      <c r="C44" s="1254"/>
      <c r="D44" s="1254"/>
      <c r="E44" s="1254"/>
      <c r="F44" s="1254"/>
      <c r="G44" s="1254"/>
      <c r="H44" s="1255"/>
      <c r="I44" s="1256" t="str">
        <f>IF(G44="","",IF(G44="HKD",1,IF(G44="PLN",'兩人旅費'!$H$4,IF(G44="TRY",'兩人旅費'!$J$4,IF(G44="EUR",'兩人旅費'!$L$4,IF(G44="USD",'兩人旅費'!$F$4,""))))))</f>
      </c>
      <c r="J44" s="1256" t="str">
        <f>IF(OR(A44="",E44="",F44="",H44="",I44=""),"",ROUND(H44*I44,2))</f>
      </c>
      <c r="K44" s="1256" t="str">
        <f>IF(J44="","",IF(F44="共同",J44/2,IF(F44="A 個人",J44,0)))</f>
      </c>
      <c r="L44" s="1256" t="str">
        <f>IF(J44="","",IF(F44="共同",J44/2,IF(F44="B 個人",J44,0)))</f>
      </c>
      <c r="M44" s="1254"/>
    </row>
    <row r="45" ht="30" customHeight="1">
      <c r="A45" s="1253"/>
      <c r="B45" s="1254"/>
      <c r="C45" s="1254"/>
      <c r="D45" s="1254"/>
      <c r="E45" s="1254"/>
      <c r="F45" s="1254"/>
      <c r="G45" s="1254"/>
      <c r="H45" s="1255"/>
      <c r="I45" s="1256" t="str">
        <f>IF(G45="","",IF(G45="HKD",1,IF(G45="PLN",'兩人旅費'!$H$4,IF(G45="TRY",'兩人旅費'!$J$4,IF(G45="EUR",'兩人旅費'!$L$4,IF(G45="USD",'兩人旅費'!$F$4,""))))))</f>
      </c>
      <c r="J45" s="1256" t="str">
        <f>IF(OR(A45="",E45="",F45="",H45="",I45=""),"",ROUND(H45*I45,2))</f>
      </c>
      <c r="K45" s="1256" t="str">
        <f>IF(J45="","",IF(F45="共同",J45/2,IF(F45="A 個人",J45,0)))</f>
      </c>
      <c r="L45" s="1256" t="str">
        <f>IF(J45="","",IF(F45="共同",J45/2,IF(F45="B 個人",J45,0)))</f>
      </c>
      <c r="M45" s="1254"/>
    </row>
    <row r="46" ht="30" customHeight="1">
      <c r="A46" s="1253"/>
      <c r="B46" s="1254"/>
      <c r="C46" s="1254"/>
      <c r="D46" s="1254"/>
      <c r="E46" s="1254"/>
      <c r="F46" s="1254"/>
      <c r="G46" s="1254"/>
      <c r="H46" s="1255"/>
      <c r="I46" s="1256" t="str">
        <f>IF(G46="","",IF(G46="HKD",1,IF(G46="PLN",'兩人旅費'!$H$4,IF(G46="TRY",'兩人旅費'!$J$4,IF(G46="EUR",'兩人旅費'!$L$4,IF(G46="USD",'兩人旅費'!$F$4,""))))))</f>
      </c>
      <c r="J46" s="1256" t="str">
        <f>IF(OR(A46="",E46="",F46="",H46="",I46=""),"",ROUND(H46*I46,2))</f>
      </c>
      <c r="K46" s="1256" t="str">
        <f>IF(J46="","",IF(F46="共同",J46/2,IF(F46="A 個人",J46,0)))</f>
      </c>
      <c r="L46" s="1256" t="str">
        <f>IF(J46="","",IF(F46="共同",J46/2,IF(F46="B 個人",J46,0)))</f>
      </c>
      <c r="M46" s="1254"/>
    </row>
    <row r="47" ht="30" customHeight="1">
      <c r="A47" s="1253"/>
      <c r="B47" s="1254"/>
      <c r="C47" s="1254"/>
      <c r="D47" s="1254"/>
      <c r="E47" s="1254"/>
      <c r="F47" s="1254"/>
      <c r="G47" s="1254"/>
      <c r="H47" s="1255"/>
      <c r="I47" s="1256" t="str">
        <f>IF(G47="","",IF(G47="HKD",1,IF(G47="PLN",'兩人旅費'!$H$4,IF(G47="TRY",'兩人旅費'!$J$4,IF(G47="EUR",'兩人旅費'!$L$4,IF(G47="USD",'兩人旅費'!$F$4,""))))))</f>
      </c>
      <c r="J47" s="1256" t="str">
        <f>IF(OR(A47="",E47="",F47="",H47="",I47=""),"",ROUND(H47*I47,2))</f>
      </c>
      <c r="K47" s="1256" t="str">
        <f>IF(J47="","",IF(F47="共同",J47/2,IF(F47="A 個人",J47,0)))</f>
      </c>
      <c r="L47" s="1256" t="str">
        <f>IF(J47="","",IF(F47="共同",J47/2,IF(F47="B 個人",J47,0)))</f>
      </c>
      <c r="M47" s="1254"/>
    </row>
    <row r="48" ht="30" customHeight="1">
      <c r="A48" s="1253"/>
      <c r="B48" s="1254"/>
      <c r="C48" s="1254"/>
      <c r="D48" s="1254"/>
      <c r="E48" s="1254"/>
      <c r="F48" s="1254"/>
      <c r="G48" s="1254"/>
      <c r="H48" s="1255"/>
      <c r="I48" s="1256" t="str">
        <f>IF(G48="","",IF(G48="HKD",1,IF(G48="PLN",'兩人旅費'!$H$4,IF(G48="TRY",'兩人旅費'!$J$4,IF(G48="EUR",'兩人旅費'!$L$4,IF(G48="USD",'兩人旅費'!$F$4,""))))))</f>
      </c>
      <c r="J48" s="1256" t="str">
        <f>IF(OR(A48="",E48="",F48="",H48="",I48=""),"",ROUND(H48*I48,2))</f>
      </c>
      <c r="K48" s="1256" t="str">
        <f>IF(J48="","",IF(F48="共同",J48/2,IF(F48="A 個人",J48,0)))</f>
      </c>
      <c r="L48" s="1256" t="str">
        <f>IF(J48="","",IF(F48="共同",J48/2,IF(F48="B 個人",J48,0)))</f>
      </c>
      <c r="M48" s="1254"/>
    </row>
    <row r="49" ht="30" customHeight="1">
      <c r="A49" s="1253"/>
      <c r="B49" s="1254"/>
      <c r="C49" s="1254"/>
      <c r="D49" s="1254"/>
      <c r="E49" s="1254"/>
      <c r="F49" s="1254"/>
      <c r="G49" s="1254"/>
      <c r="H49" s="1255"/>
      <c r="I49" s="1256" t="str">
        <f>IF(G49="","",IF(G49="HKD",1,IF(G49="PLN",'兩人旅費'!$H$4,IF(G49="TRY",'兩人旅費'!$J$4,IF(G49="EUR",'兩人旅費'!$L$4,IF(G49="USD",'兩人旅費'!$F$4,""))))))</f>
      </c>
      <c r="J49" s="1256" t="str">
        <f>IF(OR(A49="",E49="",F49="",H49="",I49=""),"",ROUND(H49*I49,2))</f>
      </c>
      <c r="K49" s="1256" t="str">
        <f>IF(J49="","",IF(F49="共同",J49/2,IF(F49="A 個人",J49,0)))</f>
      </c>
      <c r="L49" s="1256" t="str">
        <f>IF(J49="","",IF(F49="共同",J49/2,IF(F49="B 個人",J49,0)))</f>
      </c>
      <c r="M49" s="1254"/>
    </row>
    <row r="50" ht="30" customHeight="1">
      <c r="A50" s="1253"/>
      <c r="B50" s="1254"/>
      <c r="C50" s="1254"/>
      <c r="D50" s="1254"/>
      <c r="E50" s="1254"/>
      <c r="F50" s="1254"/>
      <c r="G50" s="1254"/>
      <c r="H50" s="1255"/>
      <c r="I50" s="1256" t="str">
        <f>IF(G50="","",IF(G50="HKD",1,IF(G50="PLN",'兩人旅費'!$H$4,IF(G50="TRY",'兩人旅費'!$J$4,IF(G50="EUR",'兩人旅費'!$L$4,IF(G50="USD",'兩人旅費'!$F$4,""))))))</f>
      </c>
      <c r="J50" s="1256" t="str">
        <f>IF(OR(A50="",E50="",F50="",H50="",I50=""),"",ROUND(H50*I50,2))</f>
      </c>
      <c r="K50" s="1256" t="str">
        <f>IF(J50="","",IF(F50="共同",J50/2,IF(F50="A 個人",J50,0)))</f>
      </c>
      <c r="L50" s="1256" t="str">
        <f>IF(J50="","",IF(F50="共同",J50/2,IF(F50="B 個人",J50,0)))</f>
      </c>
      <c r="M50" s="1254"/>
    </row>
    <row r="51" ht="30" customHeight="1">
      <c r="A51" s="1253"/>
      <c r="B51" s="1254"/>
      <c r="C51" s="1254"/>
      <c r="D51" s="1254"/>
      <c r="E51" s="1254"/>
      <c r="F51" s="1254"/>
      <c r="G51" s="1254"/>
      <c r="H51" s="1255"/>
      <c r="I51" s="1256" t="str">
        <f>IF(G51="","",IF(G51="HKD",1,IF(G51="PLN",'兩人旅費'!$H$4,IF(G51="TRY",'兩人旅費'!$J$4,IF(G51="EUR",'兩人旅費'!$L$4,IF(G51="USD",'兩人旅費'!$F$4,""))))))</f>
      </c>
      <c r="J51" s="1256" t="str">
        <f>IF(OR(A51="",E51="",F51="",H51="",I51=""),"",ROUND(H51*I51,2))</f>
      </c>
      <c r="K51" s="1256" t="str">
        <f>IF(J51="","",IF(F51="共同",J51/2,IF(F51="A 個人",J51,0)))</f>
      </c>
      <c r="L51" s="1256" t="str">
        <f>IF(J51="","",IF(F51="共同",J51/2,IF(F51="B 個人",J51,0)))</f>
      </c>
      <c r="M51" s="1254"/>
    </row>
    <row r="52" ht="30" customHeight="1">
      <c r="A52" s="1253"/>
      <c r="B52" s="1254"/>
      <c r="C52" s="1254"/>
      <c r="D52" s="1254"/>
      <c r="E52" s="1254"/>
      <c r="F52" s="1254"/>
      <c r="G52" s="1254"/>
      <c r="H52" s="1255"/>
      <c r="I52" s="1256" t="str">
        <f>IF(G52="","",IF(G52="HKD",1,IF(G52="PLN",'兩人旅費'!$H$4,IF(G52="TRY",'兩人旅費'!$J$4,IF(G52="EUR",'兩人旅費'!$L$4,IF(G52="USD",'兩人旅費'!$F$4,""))))))</f>
      </c>
      <c r="J52" s="1256" t="str">
        <f>IF(OR(A52="",E52="",F52="",H52="",I52=""),"",ROUND(H52*I52,2))</f>
      </c>
      <c r="K52" s="1256" t="str">
        <f>IF(J52="","",IF(F52="共同",J52/2,IF(F52="A 個人",J52,0)))</f>
      </c>
      <c r="L52" s="1256" t="str">
        <f>IF(J52="","",IF(F52="共同",J52/2,IF(F52="B 個人",J52,0)))</f>
      </c>
      <c r="M52" s="1254"/>
    </row>
    <row r="53" ht="30" customHeight="1">
      <c r="A53" s="1253"/>
      <c r="B53" s="1254"/>
      <c r="C53" s="1254"/>
      <c r="D53" s="1254"/>
      <c r="E53" s="1254"/>
      <c r="F53" s="1254"/>
      <c r="G53" s="1254"/>
      <c r="H53" s="1255"/>
      <c r="I53" s="1256" t="str">
        <f>IF(G53="","",IF(G53="HKD",1,IF(G53="PLN",'兩人旅費'!$H$4,IF(G53="TRY",'兩人旅費'!$J$4,IF(G53="EUR",'兩人旅費'!$L$4,IF(G53="USD",'兩人旅費'!$F$4,""))))))</f>
      </c>
      <c r="J53" s="1256" t="str">
        <f>IF(OR(A53="",E53="",F53="",H53="",I53=""),"",ROUND(H53*I53,2))</f>
      </c>
      <c r="K53" s="1256" t="str">
        <f>IF(J53="","",IF(F53="共同",J53/2,IF(F53="A 個人",J53,0)))</f>
      </c>
      <c r="L53" s="1256" t="str">
        <f>IF(J53="","",IF(F53="共同",J53/2,IF(F53="B 個人",J53,0)))</f>
      </c>
      <c r="M53" s="1254"/>
    </row>
    <row r="54" ht="30" customHeight="1">
      <c r="A54" s="1253"/>
      <c r="B54" s="1254"/>
      <c r="C54" s="1254"/>
      <c r="D54" s="1254"/>
      <c r="E54" s="1254"/>
      <c r="F54" s="1254"/>
      <c r="G54" s="1254"/>
      <c r="H54" s="1255"/>
      <c r="I54" s="1256" t="str">
        <f>IF(G54="","",IF(G54="HKD",1,IF(G54="PLN",'兩人旅費'!$H$4,IF(G54="TRY",'兩人旅費'!$J$4,IF(G54="EUR",'兩人旅費'!$L$4,IF(G54="USD",'兩人旅費'!$F$4,""))))))</f>
      </c>
      <c r="J54" s="1256" t="str">
        <f>IF(OR(A54="",E54="",F54="",H54="",I54=""),"",ROUND(H54*I54,2))</f>
      </c>
      <c r="K54" s="1256" t="str">
        <f>IF(J54="","",IF(F54="共同",J54/2,IF(F54="A 個人",J54,0)))</f>
      </c>
      <c r="L54" s="1256" t="str">
        <f>IF(J54="","",IF(F54="共同",J54/2,IF(F54="B 個人",J54,0)))</f>
      </c>
      <c r="M54" s="1254"/>
    </row>
    <row r="55" ht="30" customHeight="1">
      <c r="A55" s="1253"/>
      <c r="B55" s="1254"/>
      <c r="C55" s="1254"/>
      <c r="D55" s="1254"/>
      <c r="E55" s="1254"/>
      <c r="F55" s="1254"/>
      <c r="G55" s="1254"/>
      <c r="H55" s="1255"/>
      <c r="I55" s="1256" t="str">
        <f>IF(G55="","",IF(G55="HKD",1,IF(G55="PLN",'兩人旅費'!$H$4,IF(G55="TRY",'兩人旅費'!$J$4,IF(G55="EUR",'兩人旅費'!$L$4,IF(G55="USD",'兩人旅費'!$F$4,""))))))</f>
      </c>
      <c r="J55" s="1256" t="str">
        <f>IF(OR(A55="",E55="",F55="",H55="",I55=""),"",ROUND(H55*I55,2))</f>
      </c>
      <c r="K55" s="1256" t="str">
        <f>IF(J55="","",IF(F55="共同",J55/2,IF(F55="A 個人",J55,0)))</f>
      </c>
      <c r="L55" s="1256" t="str">
        <f>IF(J55="","",IF(F55="共同",J55/2,IF(F55="B 個人",J55,0)))</f>
      </c>
      <c r="M55" s="1254"/>
    </row>
    <row r="56" ht="30" customHeight="1">
      <c r="A56" s="1253"/>
      <c r="B56" s="1254"/>
      <c r="C56" s="1254"/>
      <c r="D56" s="1254"/>
      <c r="E56" s="1254"/>
      <c r="F56" s="1254"/>
      <c r="G56" s="1254"/>
      <c r="H56" s="1255"/>
      <c r="I56" s="1256" t="str">
        <f>IF(G56="","",IF(G56="HKD",1,IF(G56="PLN",'兩人旅費'!$H$4,IF(G56="TRY",'兩人旅費'!$J$4,IF(G56="EUR",'兩人旅費'!$L$4,IF(G56="USD",'兩人旅費'!$F$4,""))))))</f>
      </c>
      <c r="J56" s="1256" t="str">
        <f>IF(OR(A56="",E56="",F56="",H56="",I56=""),"",ROUND(H56*I56,2))</f>
      </c>
      <c r="K56" s="1256" t="str">
        <f>IF(J56="","",IF(F56="共同",J56/2,IF(F56="A 個人",J56,0)))</f>
      </c>
      <c r="L56" s="1256" t="str">
        <f>IF(J56="","",IF(F56="共同",J56/2,IF(F56="B 個人",J56,0)))</f>
      </c>
      <c r="M56" s="1254"/>
    </row>
    <row r="57" ht="30" customHeight="1">
      <c r="A57" s="1253"/>
      <c r="B57" s="1254"/>
      <c r="C57" s="1254"/>
      <c r="D57" s="1254"/>
      <c r="E57" s="1254"/>
      <c r="F57" s="1254"/>
      <c r="G57" s="1254"/>
      <c r="H57" s="1255"/>
      <c r="I57" s="1256" t="str">
        <f>IF(G57="","",IF(G57="HKD",1,IF(G57="PLN",'兩人旅費'!$H$4,IF(G57="TRY",'兩人旅費'!$J$4,IF(G57="EUR",'兩人旅費'!$L$4,IF(G57="USD",'兩人旅費'!$F$4,""))))))</f>
      </c>
      <c r="J57" s="1256" t="str">
        <f>IF(OR(A57="",E57="",F57="",H57="",I57=""),"",ROUND(H57*I57,2))</f>
      </c>
      <c r="K57" s="1256" t="str">
        <f>IF(J57="","",IF(F57="共同",J57/2,IF(F57="A 個人",J57,0)))</f>
      </c>
      <c r="L57" s="1256" t="str">
        <f>IF(J57="","",IF(F57="共同",J57/2,IF(F57="B 個人",J57,0)))</f>
      </c>
      <c r="M57" s="1254"/>
    </row>
    <row r="58" ht="30" customHeight="1">
      <c r="A58" s="1253"/>
      <c r="B58" s="1254"/>
      <c r="C58" s="1254"/>
      <c r="D58" s="1254"/>
      <c r="E58" s="1254"/>
      <c r="F58" s="1254"/>
      <c r="G58" s="1254"/>
      <c r="H58" s="1255"/>
      <c r="I58" s="1256" t="str">
        <f>IF(G58="","",IF(G58="HKD",1,IF(G58="PLN",'兩人旅費'!$H$4,IF(G58="TRY",'兩人旅費'!$J$4,IF(G58="EUR",'兩人旅費'!$L$4,IF(G58="USD",'兩人旅費'!$F$4,""))))))</f>
      </c>
      <c r="J58" s="1256" t="str">
        <f>IF(OR(A58="",E58="",F58="",H58="",I58=""),"",ROUND(H58*I58,2))</f>
      </c>
      <c r="K58" s="1256" t="str">
        <f>IF(J58="","",IF(F58="共同",J58/2,IF(F58="A 個人",J58,0)))</f>
      </c>
      <c r="L58" s="1256" t="str">
        <f>IF(J58="","",IF(F58="共同",J58/2,IF(F58="B 個人",J58,0)))</f>
      </c>
      <c r="M58" s="1254"/>
    </row>
    <row r="59" ht="30" customHeight="1">
      <c r="A59" s="1253"/>
      <c r="B59" s="1254"/>
      <c r="C59" s="1254"/>
      <c r="D59" s="1254"/>
      <c r="E59" s="1254"/>
      <c r="F59" s="1254"/>
      <c r="G59" s="1254"/>
      <c r="H59" s="1255"/>
      <c r="I59" s="1256" t="str">
        <f>IF(G59="","",IF(G59="HKD",1,IF(G59="PLN",'兩人旅費'!$H$4,IF(G59="TRY",'兩人旅費'!$J$4,IF(G59="EUR",'兩人旅費'!$L$4,IF(G59="USD",'兩人旅費'!$F$4,""))))))</f>
      </c>
      <c r="J59" s="1256" t="str">
        <f>IF(OR(A59="",E59="",F59="",H59="",I59=""),"",ROUND(H59*I59,2))</f>
      </c>
      <c r="K59" s="1256" t="str">
        <f>IF(J59="","",IF(F59="共同",J59/2,IF(F59="A 個人",J59,0)))</f>
      </c>
      <c r="L59" s="1256" t="str">
        <f>IF(J59="","",IF(F59="共同",J59/2,IF(F59="B 個人",J59,0)))</f>
      </c>
      <c r="M59" s="1254"/>
    </row>
    <row r="60" ht="30" customHeight="1">
      <c r="A60" s="1253"/>
      <c r="B60" s="1254"/>
      <c r="C60" s="1254"/>
      <c r="D60" s="1254"/>
      <c r="E60" s="1254"/>
      <c r="F60" s="1254"/>
      <c r="G60" s="1254"/>
      <c r="H60" s="1255"/>
      <c r="I60" s="1256" t="str">
        <f>IF(G60="","",IF(G60="HKD",1,IF(G60="PLN",'兩人旅費'!$H$4,IF(G60="TRY",'兩人旅費'!$J$4,IF(G60="EUR",'兩人旅費'!$L$4,IF(G60="USD",'兩人旅費'!$F$4,""))))))</f>
      </c>
      <c r="J60" s="1256" t="str">
        <f>IF(OR(A60="",E60="",F60="",H60="",I60=""),"",ROUND(H60*I60,2))</f>
      </c>
      <c r="K60" s="1256" t="str">
        <f>IF(J60="","",IF(F60="共同",J60/2,IF(F60="A 個人",J60,0)))</f>
      </c>
      <c r="L60" s="1256" t="str">
        <f>IF(J60="","",IF(F60="共同",J60/2,IF(F60="B 個人",J60,0)))</f>
      </c>
      <c r="M60" s="1254"/>
    </row>
    <row r="61" ht="30" customHeight="1">
      <c r="A61" s="1253"/>
      <c r="B61" s="1254"/>
      <c r="C61" s="1254"/>
      <c r="D61" s="1254"/>
      <c r="E61" s="1254"/>
      <c r="F61" s="1254"/>
      <c r="G61" s="1254"/>
      <c r="H61" s="1255"/>
      <c r="I61" s="1256" t="str">
        <f>IF(G61="","",IF(G61="HKD",1,IF(G61="PLN",'兩人旅費'!$H$4,IF(G61="TRY",'兩人旅費'!$J$4,IF(G61="EUR",'兩人旅費'!$L$4,IF(G61="USD",'兩人旅費'!$F$4,""))))))</f>
      </c>
      <c r="J61" s="1256" t="str">
        <f>IF(OR(A61="",E61="",F61="",H61="",I61=""),"",ROUND(H61*I61,2))</f>
      </c>
      <c r="K61" s="1256" t="str">
        <f>IF(J61="","",IF(F61="共同",J61/2,IF(F61="A 個人",J61,0)))</f>
      </c>
      <c r="L61" s="1256" t="str">
        <f>IF(J61="","",IF(F61="共同",J61/2,IF(F61="B 個人",J61,0)))</f>
      </c>
      <c r="M61" s="1254"/>
    </row>
    <row r="62" ht="30" customHeight="1">
      <c r="A62" s="1253"/>
      <c r="B62" s="1254"/>
      <c r="C62" s="1254"/>
      <c r="D62" s="1254"/>
      <c r="E62" s="1254"/>
      <c r="F62" s="1254"/>
      <c r="G62" s="1254"/>
      <c r="H62" s="1255"/>
      <c r="I62" s="1256" t="str">
        <f>IF(G62="","",IF(G62="HKD",1,IF(G62="PLN",'兩人旅費'!$H$4,IF(G62="TRY",'兩人旅費'!$J$4,IF(G62="EUR",'兩人旅費'!$L$4,IF(G62="USD",'兩人旅費'!$F$4,""))))))</f>
      </c>
      <c r="J62" s="1256" t="str">
        <f>IF(OR(A62="",E62="",F62="",H62="",I62=""),"",ROUND(H62*I62,2))</f>
      </c>
      <c r="K62" s="1256" t="str">
        <f>IF(J62="","",IF(F62="共同",J62/2,IF(F62="A 個人",J62,0)))</f>
      </c>
      <c r="L62" s="1256" t="str">
        <f>IF(J62="","",IF(F62="共同",J62/2,IF(F62="B 個人",J62,0)))</f>
      </c>
      <c r="M62" s="1254"/>
    </row>
    <row r="63" ht="30" customHeight="1">
      <c r="A63" s="1253"/>
      <c r="B63" s="1254"/>
      <c r="C63" s="1254"/>
      <c r="D63" s="1254"/>
      <c r="E63" s="1254"/>
      <c r="F63" s="1254"/>
      <c r="G63" s="1254"/>
      <c r="H63" s="1255"/>
      <c r="I63" s="1256" t="str">
        <f>IF(G63="","",IF(G63="HKD",1,IF(G63="PLN",'兩人旅費'!$H$4,IF(G63="TRY",'兩人旅費'!$J$4,IF(G63="EUR",'兩人旅費'!$L$4,IF(G63="USD",'兩人旅費'!$F$4,""))))))</f>
      </c>
      <c r="J63" s="1256" t="str">
        <f>IF(OR(A63="",E63="",F63="",H63="",I63=""),"",ROUND(H63*I63,2))</f>
      </c>
      <c r="K63" s="1256" t="str">
        <f>IF(J63="","",IF(F63="共同",J63/2,IF(F63="A 個人",J63,0)))</f>
      </c>
      <c r="L63" s="1256" t="str">
        <f>IF(J63="","",IF(F63="共同",J63/2,IF(F63="B 個人",J63,0)))</f>
      </c>
      <c r="M63" s="1254"/>
    </row>
    <row r="64" ht="30" customHeight="1">
      <c r="A64" s="1253"/>
      <c r="B64" s="1254"/>
      <c r="C64" s="1254"/>
      <c r="D64" s="1254"/>
      <c r="E64" s="1254"/>
      <c r="F64" s="1254"/>
      <c r="G64" s="1254"/>
      <c r="H64" s="1255"/>
      <c r="I64" s="1256" t="str">
        <f>IF(G64="","",IF(G64="HKD",1,IF(G64="PLN",'兩人旅費'!$H$4,IF(G64="TRY",'兩人旅費'!$J$4,IF(G64="EUR",'兩人旅費'!$L$4,IF(G64="USD",'兩人旅費'!$F$4,""))))))</f>
      </c>
      <c r="J64" s="1256" t="str">
        <f>IF(OR(A64="",E64="",F64="",H64="",I64=""),"",ROUND(H64*I64,2))</f>
      </c>
      <c r="K64" s="1256" t="str">
        <f>IF(J64="","",IF(F64="共同",J64/2,IF(F64="A 個人",J64,0)))</f>
      </c>
      <c r="L64" s="1256" t="str">
        <f>IF(J64="","",IF(F64="共同",J64/2,IF(F64="B 個人",J64,0)))</f>
      </c>
      <c r="M64" s="1254"/>
    </row>
    <row r="65" ht="30" customHeight="1">
      <c r="A65" s="1253"/>
      <c r="B65" s="1254"/>
      <c r="C65" s="1254"/>
      <c r="D65" s="1254"/>
      <c r="E65" s="1254"/>
      <c r="F65" s="1254"/>
      <c r="G65" s="1254"/>
      <c r="H65" s="1255"/>
      <c r="I65" s="1256" t="str">
        <f>IF(G65="","",IF(G65="HKD",1,IF(G65="PLN",'兩人旅費'!$H$4,IF(G65="TRY",'兩人旅費'!$J$4,IF(G65="EUR",'兩人旅費'!$L$4,IF(G65="USD",'兩人旅費'!$F$4,""))))))</f>
      </c>
      <c r="J65" s="1256" t="str">
        <f>IF(OR(A65="",E65="",F65="",H65="",I65=""),"",ROUND(H65*I65,2))</f>
      </c>
      <c r="K65" s="1256" t="str">
        <f>IF(J65="","",IF(F65="共同",J65/2,IF(F65="A 個人",J65,0)))</f>
      </c>
      <c r="L65" s="1256" t="str">
        <f>IF(J65="","",IF(F65="共同",J65/2,IF(F65="B 個人",J65,0)))</f>
      </c>
      <c r="M65" s="1254"/>
    </row>
    <row r="66" ht="30" customHeight="1">
      <c r="A66" s="1253"/>
      <c r="B66" s="1254"/>
      <c r="C66" s="1254"/>
      <c r="D66" s="1254"/>
      <c r="E66" s="1254"/>
      <c r="F66" s="1254"/>
      <c r="G66" s="1254"/>
      <c r="H66" s="1255"/>
      <c r="I66" s="1256" t="str">
        <f>IF(G66="","",IF(G66="HKD",1,IF(G66="PLN",'兩人旅費'!$H$4,IF(G66="TRY",'兩人旅費'!$J$4,IF(G66="EUR",'兩人旅費'!$L$4,IF(G66="USD",'兩人旅費'!$F$4,""))))))</f>
      </c>
      <c r="J66" s="1256" t="str">
        <f>IF(OR(A66="",E66="",F66="",H66="",I66=""),"",ROUND(H66*I66,2))</f>
      </c>
      <c r="K66" s="1256" t="str">
        <f>IF(J66="","",IF(F66="共同",J66/2,IF(F66="A 個人",J66,0)))</f>
      </c>
      <c r="L66" s="1256" t="str">
        <f>IF(J66="","",IF(F66="共同",J66/2,IF(F66="B 個人",J66,0)))</f>
      </c>
      <c r="M66" s="1254"/>
    </row>
    <row r="67" ht="30" customHeight="1">
      <c r="A67" s="1253"/>
      <c r="B67" s="1254"/>
      <c r="C67" s="1254"/>
      <c r="D67" s="1254"/>
      <c r="E67" s="1254"/>
      <c r="F67" s="1254"/>
      <c r="G67" s="1254"/>
      <c r="H67" s="1255"/>
      <c r="I67" s="1256" t="str">
        <f>IF(G67="","",IF(G67="HKD",1,IF(G67="PLN",'兩人旅費'!$H$4,IF(G67="TRY",'兩人旅費'!$J$4,IF(G67="EUR",'兩人旅費'!$L$4,IF(G67="USD",'兩人旅費'!$F$4,""))))))</f>
      </c>
      <c r="J67" s="1256" t="str">
        <f>IF(OR(A67="",E67="",F67="",H67="",I67=""),"",ROUND(H67*I67,2))</f>
      </c>
      <c r="K67" s="1256" t="str">
        <f>IF(J67="","",IF(F67="共同",J67/2,IF(F67="A 個人",J67,0)))</f>
      </c>
      <c r="L67" s="1256" t="str">
        <f>IF(J67="","",IF(F67="共同",J67/2,IF(F67="B 個人",J67,0)))</f>
      </c>
      <c r="M67" s="1254"/>
    </row>
    <row r="68" ht="30" customHeight="1">
      <c r="A68" s="1253"/>
      <c r="B68" s="1254"/>
      <c r="C68" s="1254"/>
      <c r="D68" s="1254"/>
      <c r="E68" s="1254"/>
      <c r="F68" s="1254"/>
      <c r="G68" s="1254"/>
      <c r="H68" s="1255"/>
      <c r="I68" s="1256" t="str">
        <f>IF(G68="","",IF(G68="HKD",1,IF(G68="PLN",'兩人旅費'!$H$4,IF(G68="TRY",'兩人旅費'!$J$4,IF(G68="EUR",'兩人旅費'!$L$4,IF(G68="USD",'兩人旅費'!$F$4,""))))))</f>
      </c>
      <c r="J68" s="1256" t="str">
        <f>IF(OR(A68="",E68="",F68="",H68="",I68=""),"",ROUND(H68*I68,2))</f>
      </c>
      <c r="K68" s="1256" t="str">
        <f>IF(J68="","",IF(F68="共同",J68/2,IF(F68="A 個人",J68,0)))</f>
      </c>
      <c r="L68" s="1256" t="str">
        <f>IF(J68="","",IF(F68="共同",J68/2,IF(F68="B 個人",J68,0)))</f>
      </c>
      <c r="M68" s="1254"/>
    </row>
    <row r="69" ht="30" customHeight="1">
      <c r="A69" s="1253"/>
      <c r="B69" s="1254"/>
      <c r="C69" s="1254"/>
      <c r="D69" s="1254"/>
      <c r="E69" s="1254"/>
      <c r="F69" s="1254"/>
      <c r="G69" s="1254"/>
      <c r="H69" s="1255"/>
      <c r="I69" s="1256" t="str">
        <f>IF(G69="","",IF(G69="HKD",1,IF(G69="PLN",'兩人旅費'!$H$4,IF(G69="TRY",'兩人旅費'!$J$4,IF(G69="EUR",'兩人旅費'!$L$4,IF(G69="USD",'兩人旅費'!$F$4,""))))))</f>
      </c>
      <c r="J69" s="1256" t="str">
        <f>IF(OR(A69="",E69="",F69="",H69="",I69=""),"",ROUND(H69*I69,2))</f>
      </c>
      <c r="K69" s="1256" t="str">
        <f>IF(J69="","",IF(F69="共同",J69/2,IF(F69="A 個人",J69,0)))</f>
      </c>
      <c r="L69" s="1256" t="str">
        <f>IF(J69="","",IF(F69="共同",J69/2,IF(F69="B 個人",J69,0)))</f>
      </c>
      <c r="M69" s="1254"/>
    </row>
    <row r="70" ht="30" customHeight="1">
      <c r="A70" s="1253"/>
      <c r="B70" s="1254"/>
      <c r="C70" s="1254"/>
      <c r="D70" s="1254"/>
      <c r="E70" s="1254"/>
      <c r="F70" s="1254"/>
      <c r="G70" s="1254"/>
      <c r="H70" s="1255"/>
      <c r="I70" s="1256" t="str">
        <f>IF(G70="","",IF(G70="HKD",1,IF(G70="PLN",'兩人旅費'!$H$4,IF(G70="TRY",'兩人旅費'!$J$4,IF(G70="EUR",'兩人旅費'!$L$4,IF(G70="USD",'兩人旅費'!$F$4,""))))))</f>
      </c>
      <c r="J70" s="1256" t="str">
        <f>IF(OR(A70="",E70="",F70="",H70="",I70=""),"",ROUND(H70*I70,2))</f>
      </c>
      <c r="K70" s="1256" t="str">
        <f>IF(J70="","",IF(F70="共同",J70/2,IF(F70="A 個人",J70,0)))</f>
      </c>
      <c r="L70" s="1256" t="str">
        <f>IF(J70="","",IF(F70="共同",J70/2,IF(F70="B 個人",J70,0)))</f>
      </c>
      <c r="M70" s="1254"/>
    </row>
    <row r="71" ht="30" customHeight="1">
      <c r="A71" s="1253"/>
      <c r="B71" s="1254"/>
      <c r="C71" s="1254"/>
      <c r="D71" s="1254"/>
      <c r="E71" s="1254"/>
      <c r="F71" s="1254"/>
      <c r="G71" s="1254"/>
      <c r="H71" s="1255"/>
      <c r="I71" s="1256" t="str">
        <f>IF(G71="","",IF(G71="HKD",1,IF(G71="PLN",'兩人旅費'!$H$4,IF(G71="TRY",'兩人旅費'!$J$4,IF(G71="EUR",'兩人旅費'!$L$4,IF(G71="USD",'兩人旅費'!$F$4,""))))))</f>
      </c>
      <c r="J71" s="1256" t="str">
        <f>IF(OR(A71="",E71="",F71="",H71="",I71=""),"",ROUND(H71*I71,2))</f>
      </c>
      <c r="K71" s="1256" t="str">
        <f>IF(J71="","",IF(F71="共同",J71/2,IF(F71="A 個人",J71,0)))</f>
      </c>
      <c r="L71" s="1256" t="str">
        <f>IF(J71="","",IF(F71="共同",J71/2,IF(F71="B 個人",J71,0)))</f>
      </c>
      <c r="M71" s="1254"/>
    </row>
    <row r="72" ht="30" customHeight="1">
      <c r="A72" s="1253"/>
      <c r="B72" s="1254"/>
      <c r="C72" s="1254"/>
      <c r="D72" s="1254"/>
      <c r="E72" s="1254"/>
      <c r="F72" s="1254"/>
      <c r="G72" s="1254"/>
      <c r="H72" s="1255"/>
      <c r="I72" s="1256" t="str">
        <f>IF(G72="","",IF(G72="HKD",1,IF(G72="PLN",'兩人旅費'!$H$4,IF(G72="TRY",'兩人旅費'!$J$4,IF(G72="EUR",'兩人旅費'!$L$4,IF(G72="USD",'兩人旅費'!$F$4,""))))))</f>
      </c>
      <c r="J72" s="1256" t="str">
        <f>IF(OR(A72="",E72="",F72="",H72="",I72=""),"",ROUND(H72*I72,2))</f>
      </c>
      <c r="K72" s="1256" t="str">
        <f>IF(J72="","",IF(F72="共同",J72/2,IF(F72="A 個人",J72,0)))</f>
      </c>
      <c r="L72" s="1256" t="str">
        <f>IF(J72="","",IF(F72="共同",J72/2,IF(F72="B 個人",J72,0)))</f>
      </c>
      <c r="M72" s="1254"/>
    </row>
    <row r="73" ht="30" customHeight="1">
      <c r="A73" s="1253"/>
      <c r="B73" s="1254"/>
      <c r="C73" s="1254"/>
      <c r="D73" s="1254"/>
      <c r="E73" s="1254"/>
      <c r="F73" s="1254"/>
      <c r="G73" s="1254"/>
      <c r="H73" s="1255"/>
      <c r="I73" s="1256" t="str">
        <f>IF(G73="","",IF(G73="HKD",1,IF(G73="PLN",'兩人旅費'!$H$4,IF(G73="TRY",'兩人旅費'!$J$4,IF(G73="EUR",'兩人旅費'!$L$4,IF(G73="USD",'兩人旅費'!$F$4,""))))))</f>
      </c>
      <c r="J73" s="1256" t="str">
        <f>IF(OR(A73="",E73="",F73="",H73="",I73=""),"",ROUND(H73*I73,2))</f>
      </c>
      <c r="K73" s="1256" t="str">
        <f>IF(J73="","",IF(F73="共同",J73/2,IF(F73="A 個人",J73,0)))</f>
      </c>
      <c r="L73" s="1256" t="str">
        <f>IF(J73="","",IF(F73="共同",J73/2,IF(F73="B 個人",J73,0)))</f>
      </c>
      <c r="M73" s="1254"/>
    </row>
    <row r="74" ht="30" customHeight="1">
      <c r="A74" s="1253"/>
      <c r="B74" s="1254"/>
      <c r="C74" s="1254"/>
      <c r="D74" s="1254"/>
      <c r="E74" s="1254"/>
      <c r="F74" s="1254"/>
      <c r="G74" s="1254"/>
      <c r="H74" s="1255"/>
      <c r="I74" s="1256" t="str">
        <f>IF(G74="","",IF(G74="HKD",1,IF(G74="PLN",'兩人旅費'!$H$4,IF(G74="TRY",'兩人旅費'!$J$4,IF(G74="EUR",'兩人旅費'!$L$4,IF(G74="USD",'兩人旅費'!$F$4,""))))))</f>
      </c>
      <c r="J74" s="1256" t="str">
        <f>IF(OR(A74="",E74="",F74="",H74="",I74=""),"",ROUND(H74*I74,2))</f>
      </c>
      <c r="K74" s="1256" t="str">
        <f>IF(J74="","",IF(F74="共同",J74/2,IF(F74="A 個人",J74,0)))</f>
      </c>
      <c r="L74" s="1256" t="str">
        <f>IF(J74="","",IF(F74="共同",J74/2,IF(F74="B 個人",J74,0)))</f>
      </c>
      <c r="M74" s="1254"/>
    </row>
    <row r="75" ht="30" customHeight="1">
      <c r="A75" s="1253"/>
      <c r="B75" s="1254"/>
      <c r="C75" s="1254"/>
      <c r="D75" s="1254"/>
      <c r="E75" s="1254"/>
      <c r="F75" s="1254"/>
      <c r="G75" s="1254"/>
      <c r="H75" s="1255"/>
      <c r="I75" s="1256" t="str">
        <f>IF(G75="","",IF(G75="HKD",1,IF(G75="PLN",'兩人旅費'!$H$4,IF(G75="TRY",'兩人旅費'!$J$4,IF(G75="EUR",'兩人旅費'!$L$4,IF(G75="USD",'兩人旅費'!$F$4,""))))))</f>
      </c>
      <c r="J75" s="1256" t="str">
        <f>IF(OR(A75="",E75="",F75="",H75="",I75=""),"",ROUND(H75*I75,2))</f>
      </c>
      <c r="K75" s="1256" t="str">
        <f>IF(J75="","",IF(F75="共同",J75/2,IF(F75="A 個人",J75,0)))</f>
      </c>
      <c r="L75" s="1256" t="str">
        <f>IF(J75="","",IF(F75="共同",J75/2,IF(F75="B 個人",J75,0)))</f>
      </c>
      <c r="M75" s="1254"/>
    </row>
    <row r="76" ht="30" customHeight="1">
      <c r="A76" s="1253"/>
      <c r="B76" s="1254"/>
      <c r="C76" s="1254"/>
      <c r="D76" s="1254"/>
      <c r="E76" s="1254"/>
      <c r="F76" s="1254"/>
      <c r="G76" s="1254"/>
      <c r="H76" s="1255"/>
      <c r="I76" s="1256" t="str">
        <f>IF(G76="","",IF(G76="HKD",1,IF(G76="PLN",'兩人旅費'!$H$4,IF(G76="TRY",'兩人旅費'!$J$4,IF(G76="EUR",'兩人旅費'!$L$4,IF(G76="USD",'兩人旅費'!$F$4,""))))))</f>
      </c>
      <c r="J76" s="1256" t="str">
        <f>IF(OR(A76="",E76="",F76="",H76="",I76=""),"",ROUND(H76*I76,2))</f>
      </c>
      <c r="K76" s="1256" t="str">
        <f>IF(J76="","",IF(F76="共同",J76/2,IF(F76="A 個人",J76,0)))</f>
      </c>
      <c r="L76" s="1256" t="str">
        <f>IF(J76="","",IF(F76="共同",J76/2,IF(F76="B 個人",J76,0)))</f>
      </c>
      <c r="M76" s="1254"/>
    </row>
    <row r="77" ht="30" customHeight="1">
      <c r="A77" s="1253"/>
      <c r="B77" s="1254"/>
      <c r="C77" s="1254"/>
      <c r="D77" s="1254"/>
      <c r="E77" s="1254"/>
      <c r="F77" s="1254"/>
      <c r="G77" s="1254"/>
      <c r="H77" s="1255"/>
      <c r="I77" s="1256" t="str">
        <f>IF(G77="","",IF(G77="HKD",1,IF(G77="PLN",'兩人旅費'!$H$4,IF(G77="TRY",'兩人旅費'!$J$4,IF(G77="EUR",'兩人旅費'!$L$4,IF(G77="USD",'兩人旅費'!$F$4,""))))))</f>
      </c>
      <c r="J77" s="1256" t="str">
        <f>IF(OR(A77="",E77="",F77="",H77="",I77=""),"",ROUND(H77*I77,2))</f>
      </c>
      <c r="K77" s="1256" t="str">
        <f>IF(J77="","",IF(F77="共同",J77/2,IF(F77="A 個人",J77,0)))</f>
      </c>
      <c r="L77" s="1256" t="str">
        <f>IF(J77="","",IF(F77="共同",J77/2,IF(F77="B 個人",J77,0)))</f>
      </c>
      <c r="M77" s="1254"/>
    </row>
    <row r="78" ht="30" customHeight="1">
      <c r="A78" s="1253"/>
      <c r="B78" s="1254"/>
      <c r="C78" s="1254"/>
      <c r="D78" s="1254"/>
      <c r="E78" s="1254"/>
      <c r="F78" s="1254"/>
      <c r="G78" s="1254"/>
      <c r="H78" s="1255"/>
      <c r="I78" s="1256" t="str">
        <f>IF(G78="","",IF(G78="HKD",1,IF(G78="PLN",'兩人旅費'!$H$4,IF(G78="TRY",'兩人旅費'!$J$4,IF(G78="EUR",'兩人旅費'!$L$4,IF(G78="USD",'兩人旅費'!$F$4,""))))))</f>
      </c>
      <c r="J78" s="1256" t="str">
        <f>IF(OR(A78="",E78="",F78="",H78="",I78=""),"",ROUND(H78*I78,2))</f>
      </c>
      <c r="K78" s="1256" t="str">
        <f>IF(J78="","",IF(F78="共同",J78/2,IF(F78="A 個人",J78,0)))</f>
      </c>
      <c r="L78" s="1256" t="str">
        <f>IF(J78="","",IF(F78="共同",J78/2,IF(F78="B 個人",J78,0)))</f>
      </c>
      <c r="M78" s="1254"/>
    </row>
    <row r="79" ht="30" customHeight="1">
      <c r="A79" s="1253"/>
      <c r="B79" s="1254"/>
      <c r="C79" s="1254"/>
      <c r="D79" s="1254"/>
      <c r="E79" s="1254"/>
      <c r="F79" s="1254"/>
      <c r="G79" s="1254"/>
      <c r="H79" s="1255"/>
      <c r="I79" s="1256" t="str">
        <f>IF(G79="","",IF(G79="HKD",1,IF(G79="PLN",'兩人旅費'!$H$4,IF(G79="TRY",'兩人旅費'!$J$4,IF(G79="EUR",'兩人旅費'!$L$4,IF(G79="USD",'兩人旅費'!$F$4,""))))))</f>
      </c>
      <c r="J79" s="1256" t="str">
        <f>IF(OR(A79="",E79="",F79="",H79="",I79=""),"",ROUND(H79*I79,2))</f>
      </c>
      <c r="K79" s="1256" t="str">
        <f>IF(J79="","",IF(F79="共同",J79/2,IF(F79="A 個人",J79,0)))</f>
      </c>
      <c r="L79" s="1256" t="str">
        <f>IF(J79="","",IF(F79="共同",J79/2,IF(F79="B 個人",J79,0)))</f>
      </c>
      <c r="M79" s="1254"/>
    </row>
    <row r="80" ht="30" customHeight="1">
      <c r="A80" s="1253"/>
      <c r="B80" s="1254"/>
      <c r="C80" s="1254"/>
      <c r="D80" s="1254"/>
      <c r="E80" s="1254"/>
      <c r="F80" s="1254"/>
      <c r="G80" s="1254"/>
      <c r="H80" s="1255"/>
      <c r="I80" s="1256" t="str">
        <f>IF(G80="","",IF(G80="HKD",1,IF(G80="PLN",'兩人旅費'!$H$4,IF(G80="TRY",'兩人旅費'!$J$4,IF(G80="EUR",'兩人旅費'!$L$4,IF(G80="USD",'兩人旅費'!$F$4,""))))))</f>
      </c>
      <c r="J80" s="1256" t="str">
        <f>IF(OR(A80="",E80="",F80="",H80="",I80=""),"",ROUND(H80*I80,2))</f>
      </c>
      <c r="K80" s="1256" t="str">
        <f>IF(J80="","",IF(F80="共同",J80/2,IF(F80="A 個人",J80,0)))</f>
      </c>
      <c r="L80" s="1256" t="str">
        <f>IF(J80="","",IF(F80="共同",J80/2,IF(F80="B 個人",J80,0)))</f>
      </c>
      <c r="M80" s="1254"/>
    </row>
    <row r="81" ht="30" customHeight="1">
      <c r="A81" s="1253"/>
      <c r="B81" s="1254"/>
      <c r="C81" s="1254"/>
      <c r="D81" s="1254"/>
      <c r="E81" s="1254"/>
      <c r="F81" s="1254"/>
      <c r="G81" s="1254"/>
      <c r="H81" s="1255"/>
      <c r="I81" s="1256" t="str">
        <f>IF(G81="","",IF(G81="HKD",1,IF(G81="PLN",'兩人旅費'!$H$4,IF(G81="TRY",'兩人旅費'!$J$4,IF(G81="EUR",'兩人旅費'!$L$4,IF(G81="USD",'兩人旅費'!$F$4,""))))))</f>
      </c>
      <c r="J81" s="1256" t="str">
        <f>IF(OR(A81="",E81="",F81="",H81="",I81=""),"",ROUND(H81*I81,2))</f>
      </c>
      <c r="K81" s="1256" t="str">
        <f>IF(J81="","",IF(F81="共同",J81/2,IF(F81="A 個人",J81,0)))</f>
      </c>
      <c r="L81" s="1256" t="str">
        <f>IF(J81="","",IF(F81="共同",J81/2,IF(F81="B 個人",J81,0)))</f>
      </c>
      <c r="M81" s="1254"/>
    </row>
    <row r="82" ht="30" customHeight="1">
      <c r="A82" s="1253"/>
      <c r="B82" s="1254"/>
      <c r="C82" s="1254"/>
      <c r="D82" s="1254"/>
      <c r="E82" s="1254"/>
      <c r="F82" s="1254"/>
      <c r="G82" s="1254"/>
      <c r="H82" s="1255"/>
      <c r="I82" s="1256" t="str">
        <f>IF(G82="","",IF(G82="HKD",1,IF(G82="PLN",'兩人旅費'!$H$4,IF(G82="TRY",'兩人旅費'!$J$4,IF(G82="EUR",'兩人旅費'!$L$4,IF(G82="USD",'兩人旅費'!$F$4,""))))))</f>
      </c>
      <c r="J82" s="1256" t="str">
        <f>IF(OR(A82="",E82="",F82="",H82="",I82=""),"",ROUND(H82*I82,2))</f>
      </c>
      <c r="K82" s="1256" t="str">
        <f>IF(J82="","",IF(F82="共同",J82/2,IF(F82="A 個人",J82,0)))</f>
      </c>
      <c r="L82" s="1256" t="str">
        <f>IF(J82="","",IF(F82="共同",J82/2,IF(F82="B 個人",J82,0)))</f>
      </c>
      <c r="M82" s="1254"/>
    </row>
    <row r="83" ht="30" customHeight="1">
      <c r="A83" s="1253"/>
      <c r="B83" s="1254"/>
      <c r="C83" s="1254"/>
      <c r="D83" s="1254"/>
      <c r="E83" s="1254"/>
      <c r="F83" s="1254"/>
      <c r="G83" s="1254"/>
      <c r="H83" s="1255"/>
      <c r="I83" s="1256" t="str">
        <f>IF(G83="","",IF(G83="HKD",1,IF(G83="PLN",'兩人旅費'!$H$4,IF(G83="TRY",'兩人旅費'!$J$4,IF(G83="EUR",'兩人旅費'!$L$4,IF(G83="USD",'兩人旅費'!$F$4,""))))))</f>
      </c>
      <c r="J83" s="1256" t="str">
        <f>IF(OR(A83="",E83="",F83="",H83="",I83=""),"",ROUND(H83*I83,2))</f>
      </c>
      <c r="K83" s="1256" t="str">
        <f>IF(J83="","",IF(F83="共同",J83/2,IF(F83="A 個人",J83,0)))</f>
      </c>
      <c r="L83" s="1256" t="str">
        <f>IF(J83="","",IF(F83="共同",J83/2,IF(F83="B 個人",J83,0)))</f>
      </c>
      <c r="M83" s="1254"/>
    </row>
    <row r="84" ht="30" customHeight="1">
      <c r="A84" s="1253"/>
      <c r="B84" s="1254"/>
      <c r="C84" s="1254"/>
      <c r="D84" s="1254"/>
      <c r="E84" s="1254"/>
      <c r="F84" s="1254"/>
      <c r="G84" s="1254"/>
      <c r="H84" s="1255"/>
      <c r="I84" s="1256" t="str">
        <f>IF(G84="","",IF(G84="HKD",1,IF(G84="PLN",'兩人旅費'!$H$4,IF(G84="TRY",'兩人旅費'!$J$4,IF(G84="EUR",'兩人旅費'!$L$4,IF(G84="USD",'兩人旅費'!$F$4,""))))))</f>
      </c>
      <c r="J84" s="1256" t="str">
        <f>IF(OR(A84="",E84="",F84="",H84="",I84=""),"",ROUND(H84*I84,2))</f>
      </c>
      <c r="K84" s="1256" t="str">
        <f>IF(J84="","",IF(F84="共同",J84/2,IF(F84="A 個人",J84,0)))</f>
      </c>
      <c r="L84" s="1256" t="str">
        <f>IF(J84="","",IF(F84="共同",J84/2,IF(F84="B 個人",J84,0)))</f>
      </c>
      <c r="M84" s="1254"/>
    </row>
    <row r="85" ht="30" customHeight="1">
      <c r="A85" s="1253"/>
      <c r="B85" s="1254"/>
      <c r="C85" s="1254"/>
      <c r="D85" s="1254"/>
      <c r="E85" s="1254"/>
      <c r="F85" s="1254"/>
      <c r="G85" s="1254"/>
      <c r="H85" s="1255"/>
      <c r="I85" s="1256" t="str">
        <f>IF(G85="","",IF(G85="HKD",1,IF(G85="PLN",'兩人旅費'!$H$4,IF(G85="TRY",'兩人旅費'!$J$4,IF(G85="EUR",'兩人旅費'!$L$4,IF(G85="USD",'兩人旅費'!$F$4,""))))))</f>
      </c>
      <c r="J85" s="1256" t="str">
        <f>IF(OR(A85="",E85="",F85="",H85="",I85=""),"",ROUND(H85*I85,2))</f>
      </c>
      <c r="K85" s="1256" t="str">
        <f>IF(J85="","",IF(F85="共同",J85/2,IF(F85="A 個人",J85,0)))</f>
      </c>
      <c r="L85" s="1256" t="str">
        <f>IF(J85="","",IF(F85="共同",J85/2,IF(F85="B 個人",J85,0)))</f>
      </c>
      <c r="M85" s="1254"/>
    </row>
    <row r="86" ht="30" customHeight="1">
      <c r="A86" s="1253"/>
      <c r="B86" s="1254"/>
      <c r="C86" s="1254"/>
      <c r="D86" s="1254"/>
      <c r="E86" s="1254"/>
      <c r="F86" s="1254"/>
      <c r="G86" s="1254"/>
      <c r="H86" s="1255"/>
      <c r="I86" s="1256" t="str">
        <f>IF(G86="","",IF(G86="HKD",1,IF(G86="PLN",'兩人旅費'!$H$4,IF(G86="TRY",'兩人旅費'!$J$4,IF(G86="EUR",'兩人旅費'!$L$4,IF(G86="USD",'兩人旅費'!$F$4,""))))))</f>
      </c>
      <c r="J86" s="1256" t="str">
        <f>IF(OR(A86="",E86="",F86="",H86="",I86=""),"",ROUND(H86*I86,2))</f>
      </c>
      <c r="K86" s="1256" t="str">
        <f>IF(J86="","",IF(F86="共同",J86/2,IF(F86="A 個人",J86,0)))</f>
      </c>
      <c r="L86" s="1256" t="str">
        <f>IF(J86="","",IF(F86="共同",J86/2,IF(F86="B 個人",J86,0)))</f>
      </c>
      <c r="M86" s="1254"/>
    </row>
    <row r="87" ht="30" customHeight="1">
      <c r="A87" s="1253"/>
      <c r="B87" s="1254"/>
      <c r="C87" s="1254"/>
      <c r="D87" s="1254"/>
      <c r="E87" s="1254"/>
      <c r="F87" s="1254"/>
      <c r="G87" s="1254"/>
      <c r="H87" s="1255"/>
      <c r="I87" s="1256" t="str">
        <f>IF(G87="","",IF(G87="HKD",1,IF(G87="PLN",'兩人旅費'!$H$4,IF(G87="TRY",'兩人旅費'!$J$4,IF(G87="EUR",'兩人旅費'!$L$4,IF(G87="USD",'兩人旅費'!$F$4,""))))))</f>
      </c>
      <c r="J87" s="1256" t="str">
        <f>IF(OR(A87="",E87="",F87="",H87="",I87=""),"",ROUND(H87*I87,2))</f>
      </c>
      <c r="K87" s="1256" t="str">
        <f>IF(J87="","",IF(F87="共同",J87/2,IF(F87="A 個人",J87,0)))</f>
      </c>
      <c r="L87" s="1256" t="str">
        <f>IF(J87="","",IF(F87="共同",J87/2,IF(F87="B 個人",J87,0)))</f>
      </c>
      <c r="M87" s="1254"/>
    </row>
    <row r="88" ht="30" customHeight="1">
      <c r="A88" s="1253"/>
      <c r="B88" s="1254"/>
      <c r="C88" s="1254"/>
      <c r="D88" s="1254"/>
      <c r="E88" s="1254"/>
      <c r="F88" s="1254"/>
      <c r="G88" s="1254"/>
      <c r="H88" s="1255"/>
      <c r="I88" s="1256" t="str">
        <f>IF(G88="","",IF(G88="HKD",1,IF(G88="PLN",'兩人旅費'!$H$4,IF(G88="TRY",'兩人旅費'!$J$4,IF(G88="EUR",'兩人旅費'!$L$4,IF(G88="USD",'兩人旅費'!$F$4,""))))))</f>
      </c>
      <c r="J88" s="1256" t="str">
        <f>IF(OR(A88="",E88="",F88="",H88="",I88=""),"",ROUND(H88*I88,2))</f>
      </c>
      <c r="K88" s="1256" t="str">
        <f>IF(J88="","",IF(F88="共同",J88/2,IF(F88="A 個人",J88,0)))</f>
      </c>
      <c r="L88" s="1256" t="str">
        <f>IF(J88="","",IF(F88="共同",J88/2,IF(F88="B 個人",J88,0)))</f>
      </c>
      <c r="M88" s="1254"/>
    </row>
    <row r="89" ht="30" customHeight="1">
      <c r="A89" s="1253"/>
      <c r="B89" s="1254"/>
      <c r="C89" s="1254"/>
      <c r="D89" s="1254"/>
      <c r="E89" s="1254"/>
      <c r="F89" s="1254"/>
      <c r="G89" s="1254"/>
      <c r="H89" s="1255"/>
      <c r="I89" s="1256" t="str">
        <f>IF(G89="","",IF(G89="HKD",1,IF(G89="PLN",'兩人旅費'!$H$4,IF(G89="TRY",'兩人旅費'!$J$4,IF(G89="EUR",'兩人旅費'!$L$4,IF(G89="USD",'兩人旅費'!$F$4,""))))))</f>
      </c>
      <c r="J89" s="1256" t="str">
        <f>IF(OR(A89="",E89="",F89="",H89="",I89=""),"",ROUND(H89*I89,2))</f>
      </c>
      <c r="K89" s="1256" t="str">
        <f>IF(J89="","",IF(F89="共同",J89/2,IF(F89="A 個人",J89,0)))</f>
      </c>
      <c r="L89" s="1256" t="str">
        <f>IF(J89="","",IF(F89="共同",J89/2,IF(F89="B 個人",J89,0)))</f>
      </c>
      <c r="M89" s="1254"/>
    </row>
    <row r="90" ht="30" customHeight="1">
      <c r="A90" s="1253"/>
      <c r="B90" s="1254"/>
      <c r="C90" s="1254"/>
      <c r="D90" s="1254"/>
      <c r="E90" s="1254"/>
      <c r="F90" s="1254"/>
      <c r="G90" s="1254"/>
      <c r="H90" s="1255"/>
      <c r="I90" s="1256" t="str">
        <f>IF(G90="","",IF(G90="HKD",1,IF(G90="PLN",'兩人旅費'!$H$4,IF(G90="TRY",'兩人旅費'!$J$4,IF(G90="EUR",'兩人旅費'!$L$4,IF(G90="USD",'兩人旅費'!$F$4,""))))))</f>
      </c>
      <c r="J90" s="1256" t="str">
        <f>IF(OR(A90="",E90="",F90="",H90="",I90=""),"",ROUND(H90*I90,2))</f>
      </c>
      <c r="K90" s="1256" t="str">
        <f>IF(J90="","",IF(F90="共同",J90/2,IF(F90="A 個人",J90,0)))</f>
      </c>
      <c r="L90" s="1256" t="str">
        <f>IF(J90="","",IF(F90="共同",J90/2,IF(F90="B 個人",J90,0)))</f>
      </c>
      <c r="M90" s="1254"/>
    </row>
    <row r="91" ht="30" customHeight="1">
      <c r="A91" s="1253"/>
      <c r="B91" s="1254"/>
      <c r="C91" s="1254"/>
      <c r="D91" s="1254"/>
      <c r="E91" s="1254"/>
      <c r="F91" s="1254"/>
      <c r="G91" s="1254"/>
      <c r="H91" s="1255"/>
      <c r="I91" s="1256" t="str">
        <f>IF(G91="","",IF(G91="HKD",1,IF(G91="PLN",'兩人旅費'!$H$4,IF(G91="TRY",'兩人旅費'!$J$4,IF(G91="EUR",'兩人旅費'!$L$4,IF(G91="USD",'兩人旅費'!$F$4,""))))))</f>
      </c>
      <c r="J91" s="1256" t="str">
        <f>IF(OR(A91="",E91="",F91="",H91="",I91=""),"",ROUND(H91*I91,2))</f>
      </c>
      <c r="K91" s="1256" t="str">
        <f>IF(J91="","",IF(F91="共同",J91/2,IF(F91="A 個人",J91,0)))</f>
      </c>
      <c r="L91" s="1256" t="str">
        <f>IF(J91="","",IF(F91="共同",J91/2,IF(F91="B 個人",J91,0)))</f>
      </c>
      <c r="M91" s="1254"/>
    </row>
    <row r="92" ht="30" customHeight="1">
      <c r="A92" s="1253"/>
      <c r="B92" s="1254"/>
      <c r="C92" s="1254"/>
      <c r="D92" s="1254"/>
      <c r="E92" s="1254"/>
      <c r="F92" s="1254"/>
      <c r="G92" s="1254"/>
      <c r="H92" s="1255"/>
      <c r="I92" s="1256" t="str">
        <f>IF(G92="","",IF(G92="HKD",1,IF(G92="PLN",'兩人旅費'!$H$4,IF(G92="TRY",'兩人旅費'!$J$4,IF(G92="EUR",'兩人旅費'!$L$4,IF(G92="USD",'兩人旅費'!$F$4,""))))))</f>
      </c>
      <c r="J92" s="1256" t="str">
        <f>IF(OR(A92="",E92="",F92="",H92="",I92=""),"",ROUND(H92*I92,2))</f>
      </c>
      <c r="K92" s="1256" t="str">
        <f>IF(J92="","",IF(F92="共同",J92/2,IF(F92="A 個人",J92,0)))</f>
      </c>
      <c r="L92" s="1256" t="str">
        <f>IF(J92="","",IF(F92="共同",J92/2,IF(F92="B 個人",J92,0)))</f>
      </c>
      <c r="M92" s="1254"/>
    </row>
    <row r="93" ht="30" customHeight="1">
      <c r="A93" s="1253"/>
      <c r="B93" s="1254"/>
      <c r="C93" s="1254"/>
      <c r="D93" s="1254"/>
      <c r="E93" s="1254"/>
      <c r="F93" s="1254"/>
      <c r="G93" s="1254"/>
      <c r="H93" s="1255"/>
      <c r="I93" s="1256" t="str">
        <f>IF(G93="","",IF(G93="HKD",1,IF(G93="PLN",'兩人旅費'!$H$4,IF(G93="TRY",'兩人旅費'!$J$4,IF(G93="EUR",'兩人旅費'!$L$4,IF(G93="USD",'兩人旅費'!$F$4,""))))))</f>
      </c>
      <c r="J93" s="1256" t="str">
        <f>IF(OR(A93="",E93="",F93="",H93="",I93=""),"",ROUND(H93*I93,2))</f>
      </c>
      <c r="K93" s="1256" t="str">
        <f>IF(J93="","",IF(F93="共同",J93/2,IF(F93="A 個人",J93,0)))</f>
      </c>
      <c r="L93" s="1256" t="str">
        <f>IF(J93="","",IF(F93="共同",J93/2,IF(F93="B 個人",J93,0)))</f>
      </c>
      <c r="M93" s="1254"/>
    </row>
    <row r="94" ht="30" customHeight="1">
      <c r="A94" s="1253"/>
      <c r="B94" s="1254"/>
      <c r="C94" s="1254"/>
      <c r="D94" s="1254"/>
      <c r="E94" s="1254"/>
      <c r="F94" s="1254"/>
      <c r="G94" s="1254"/>
      <c r="H94" s="1255"/>
      <c r="I94" s="1256" t="str">
        <f>IF(G94="","",IF(G94="HKD",1,IF(G94="PLN",'兩人旅費'!$H$4,IF(G94="TRY",'兩人旅費'!$J$4,IF(G94="EUR",'兩人旅費'!$L$4,IF(G94="USD",'兩人旅費'!$F$4,""))))))</f>
      </c>
      <c r="J94" s="1256" t="str">
        <f>IF(OR(A94="",E94="",F94="",H94="",I94=""),"",ROUND(H94*I94,2))</f>
      </c>
      <c r="K94" s="1256" t="str">
        <f>IF(J94="","",IF(F94="共同",J94/2,IF(F94="A 個人",J94,0)))</f>
      </c>
      <c r="L94" s="1256" t="str">
        <f>IF(J94="","",IF(F94="共同",J94/2,IF(F94="B 個人",J94,0)))</f>
      </c>
      <c r="M94" s="1254"/>
    </row>
    <row r="95" ht="30" customHeight="1">
      <c r="A95" s="1253"/>
      <c r="B95" s="1254"/>
      <c r="C95" s="1254"/>
      <c r="D95" s="1254"/>
      <c r="E95" s="1254"/>
      <c r="F95" s="1254"/>
      <c r="G95" s="1254"/>
      <c r="H95" s="1255"/>
      <c r="I95" s="1256" t="str">
        <f>IF(G95="","",IF(G95="HKD",1,IF(G95="PLN",'兩人旅費'!$H$4,IF(G95="TRY",'兩人旅費'!$J$4,IF(G95="EUR",'兩人旅費'!$L$4,IF(G95="USD",'兩人旅費'!$F$4,""))))))</f>
      </c>
      <c r="J95" s="1256" t="str">
        <f>IF(OR(A95="",E95="",F95="",H95="",I95=""),"",ROUND(H95*I95,2))</f>
      </c>
      <c r="K95" s="1256" t="str">
        <f>IF(J95="","",IF(F95="共同",J95/2,IF(F95="A 個人",J95,0)))</f>
      </c>
      <c r="L95" s="1256" t="str">
        <f>IF(J95="","",IF(F95="共同",J95/2,IF(F95="B 個人",J95,0)))</f>
      </c>
      <c r="M95" s="1254"/>
    </row>
    <row r="96" ht="30" customHeight="1">
      <c r="A96" s="1253"/>
      <c r="B96" s="1254"/>
      <c r="C96" s="1254"/>
      <c r="D96" s="1254"/>
      <c r="E96" s="1254"/>
      <c r="F96" s="1254"/>
      <c r="G96" s="1254"/>
      <c r="H96" s="1255"/>
      <c r="I96" s="1256" t="str">
        <f>IF(G96="","",IF(G96="HKD",1,IF(G96="PLN",'兩人旅費'!$H$4,IF(G96="TRY",'兩人旅費'!$J$4,IF(G96="EUR",'兩人旅費'!$L$4,IF(G96="USD",'兩人旅費'!$F$4,""))))))</f>
      </c>
      <c r="J96" s="1256" t="str">
        <f>IF(OR(A96="",E96="",F96="",H96="",I96=""),"",ROUND(H96*I96,2))</f>
      </c>
      <c r="K96" s="1256" t="str">
        <f>IF(J96="","",IF(F96="共同",J96/2,IF(F96="A 個人",J96,0)))</f>
      </c>
      <c r="L96" s="1256" t="str">
        <f>IF(J96="","",IF(F96="共同",J96/2,IF(F96="B 個人",J96,0)))</f>
      </c>
      <c r="M96" s="1254"/>
    </row>
    <row r="97" ht="30" customHeight="1">
      <c r="A97" s="1253"/>
      <c r="B97" s="1254"/>
      <c r="C97" s="1254"/>
      <c r="D97" s="1254"/>
      <c r="E97" s="1254"/>
      <c r="F97" s="1254"/>
      <c r="G97" s="1254"/>
      <c r="H97" s="1255"/>
      <c r="I97" s="1256" t="str">
        <f>IF(G97="","",IF(G97="HKD",1,IF(G97="PLN",'兩人旅費'!$H$4,IF(G97="TRY",'兩人旅費'!$J$4,IF(G97="EUR",'兩人旅費'!$L$4,IF(G97="USD",'兩人旅費'!$F$4,""))))))</f>
      </c>
      <c r="J97" s="1256" t="str">
        <f>IF(OR(A97="",E97="",F97="",H97="",I97=""),"",ROUND(H97*I97,2))</f>
      </c>
      <c r="K97" s="1256" t="str">
        <f>IF(J97="","",IF(F97="共同",J97/2,IF(F97="A 個人",J97,0)))</f>
      </c>
      <c r="L97" s="1256" t="str">
        <f>IF(J97="","",IF(F97="共同",J97/2,IF(F97="B 個人",J97,0)))</f>
      </c>
      <c r="M97" s="1254"/>
    </row>
    <row r="98" ht="30" customHeight="1">
      <c r="A98" s="1253"/>
      <c r="B98" s="1254"/>
      <c r="C98" s="1254"/>
      <c r="D98" s="1254"/>
      <c r="E98" s="1254"/>
      <c r="F98" s="1254"/>
      <c r="G98" s="1254"/>
      <c r="H98" s="1255"/>
      <c r="I98" s="1256" t="str">
        <f>IF(G98="","",IF(G98="HKD",1,IF(G98="PLN",'兩人旅費'!$H$4,IF(G98="TRY",'兩人旅費'!$J$4,IF(G98="EUR",'兩人旅費'!$L$4,IF(G98="USD",'兩人旅費'!$F$4,""))))))</f>
      </c>
      <c r="J98" s="1256" t="str">
        <f>IF(OR(A98="",E98="",F98="",H98="",I98=""),"",ROUND(H98*I98,2))</f>
      </c>
      <c r="K98" s="1256" t="str">
        <f>IF(J98="","",IF(F98="共同",J98/2,IF(F98="A 個人",J98,0)))</f>
      </c>
      <c r="L98" s="1256" t="str">
        <f>IF(J98="","",IF(F98="共同",J98/2,IF(F98="B 個人",J98,0)))</f>
      </c>
      <c r="M98" s="1254"/>
    </row>
    <row r="99" ht="30" customHeight="1">
      <c r="A99" s="1253"/>
      <c r="B99" s="1254"/>
      <c r="C99" s="1254"/>
      <c r="D99" s="1254"/>
      <c r="E99" s="1254"/>
      <c r="F99" s="1254"/>
      <c r="G99" s="1254"/>
      <c r="H99" s="1255"/>
      <c r="I99" s="1256" t="str">
        <f>IF(G99="","",IF(G99="HKD",1,IF(G99="PLN",'兩人旅費'!$H$4,IF(G99="TRY",'兩人旅費'!$J$4,IF(G99="EUR",'兩人旅費'!$L$4,IF(G99="USD",'兩人旅費'!$F$4,""))))))</f>
      </c>
      <c r="J99" s="1256" t="str">
        <f>IF(OR(A99="",E99="",F99="",H99="",I99=""),"",ROUND(H99*I99,2))</f>
      </c>
      <c r="K99" s="1256" t="str">
        <f>IF(J99="","",IF(F99="共同",J99/2,IF(F99="A 個人",J99,0)))</f>
      </c>
      <c r="L99" s="1256" t="str">
        <f>IF(J99="","",IF(F99="共同",J99/2,IF(F99="B 個人",J99,0)))</f>
      </c>
      <c r="M99" s="1254"/>
    </row>
    <row r="100" ht="30" customHeight="1">
      <c r="A100" s="1253"/>
      <c r="B100" s="1254"/>
      <c r="C100" s="1254"/>
      <c r="D100" s="1254"/>
      <c r="E100" s="1254"/>
      <c r="F100" s="1254"/>
      <c r="G100" s="1254"/>
      <c r="H100" s="1255"/>
      <c r="I100" s="1256" t="str">
        <f>IF(G100="","",IF(G100="HKD",1,IF(G100="PLN",'兩人旅費'!$H$4,IF(G100="TRY",'兩人旅費'!$J$4,IF(G100="EUR",'兩人旅費'!$L$4,IF(G100="USD",'兩人旅費'!$F$4,""))))))</f>
      </c>
      <c r="J100" s="1256" t="str">
        <f>IF(OR(A100="",E100="",F100="",H100="",I100=""),"",ROUND(H100*I100,2))</f>
      </c>
      <c r="K100" s="1256" t="str">
        <f>IF(J100="","",IF(F100="共同",J100/2,IF(F100="A 個人",J100,0)))</f>
      </c>
      <c r="L100" s="1256" t="str">
        <f>IF(J100="","",IF(F100="共同",J100/2,IF(F100="B 個人",J100,0)))</f>
      </c>
      <c r="M100" s="1254"/>
    </row>
    <row r="101" ht="30" customHeight="1">
      <c r="A101" s="1253"/>
      <c r="B101" s="1254"/>
      <c r="C101" s="1254"/>
      <c r="D101" s="1254"/>
      <c r="E101" s="1254"/>
      <c r="F101" s="1254"/>
      <c r="G101" s="1254"/>
      <c r="H101" s="1255"/>
      <c r="I101" s="1256" t="str">
        <f>IF(G101="","",IF(G101="HKD",1,IF(G101="PLN",'兩人旅費'!$H$4,IF(G101="TRY",'兩人旅費'!$J$4,IF(G101="EUR",'兩人旅費'!$L$4,IF(G101="USD",'兩人旅費'!$F$4,""))))))</f>
      </c>
      <c r="J101" s="1256" t="str">
        <f>IF(OR(A101="",E101="",F101="",H101="",I101=""),"",ROUND(H101*I101,2))</f>
      </c>
      <c r="K101" s="1256" t="str">
        <f>IF(J101="","",IF(F101="共同",J101/2,IF(F101="A 個人",J101,0)))</f>
      </c>
      <c r="L101" s="1256" t="str">
        <f>IF(J101="","",IF(F101="共同",J101/2,IF(F101="B 個人",J101,0)))</f>
      </c>
      <c r="M101" s="1254"/>
    </row>
    <row r="102" ht="30" customHeight="1">
      <c r="A102" s="1253"/>
      <c r="B102" s="1254"/>
      <c r="C102" s="1254"/>
      <c r="D102" s="1254"/>
      <c r="E102" s="1254"/>
      <c r="F102" s="1254"/>
      <c r="G102" s="1254"/>
      <c r="H102" s="1255"/>
      <c r="I102" s="1256" t="str">
        <f>IF(G102="","",IF(G102="HKD",1,IF(G102="PLN",'兩人旅費'!$H$4,IF(G102="TRY",'兩人旅費'!$J$4,IF(G102="EUR",'兩人旅費'!$L$4,IF(G102="USD",'兩人旅費'!$F$4,""))))))</f>
      </c>
      <c r="J102" s="1256" t="str">
        <f>IF(OR(A102="",E102="",F102="",H102="",I102=""),"",ROUND(H102*I102,2))</f>
      </c>
      <c r="K102" s="1256" t="str">
        <f>IF(J102="","",IF(F102="共同",J102/2,IF(F102="A 個人",J102,0)))</f>
      </c>
      <c r="L102" s="1256" t="str">
        <f>IF(J102="","",IF(F102="共同",J102/2,IF(F102="B 個人",J102,0)))</f>
      </c>
      <c r="M102" s="1254"/>
    </row>
    <row r="103" ht="30" customHeight="1">
      <c r="A103" s="1253"/>
      <c r="B103" s="1254"/>
      <c r="C103" s="1254"/>
      <c r="D103" s="1254"/>
      <c r="E103" s="1254"/>
      <c r="F103" s="1254"/>
      <c r="G103" s="1254"/>
      <c r="H103" s="1255"/>
      <c r="I103" s="1256" t="str">
        <f>IF(G103="","",IF(G103="HKD",1,IF(G103="PLN",'兩人旅費'!$H$4,IF(G103="TRY",'兩人旅費'!$J$4,IF(G103="EUR",'兩人旅費'!$L$4,IF(G103="USD",'兩人旅費'!$F$4,""))))))</f>
      </c>
      <c r="J103" s="1256" t="str">
        <f>IF(OR(A103="",E103="",F103="",H103="",I103=""),"",ROUND(H103*I103,2))</f>
      </c>
      <c r="K103" s="1256" t="str">
        <f>IF(J103="","",IF(F103="共同",J103/2,IF(F103="A 個人",J103,0)))</f>
      </c>
      <c r="L103" s="1256" t="str">
        <f>IF(J103="","",IF(F103="共同",J103/2,IF(F103="B 個人",J103,0)))</f>
      </c>
      <c r="M103" s="1254"/>
    </row>
    <row r="104" ht="30" customHeight="1">
      <c r="A104" s="1253"/>
      <c r="B104" s="1254"/>
      <c r="C104" s="1254"/>
      <c r="D104" s="1254"/>
      <c r="E104" s="1254"/>
      <c r="F104" s="1254"/>
      <c r="G104" s="1254"/>
      <c r="H104" s="1255"/>
      <c r="I104" s="1256" t="str">
        <f>IF(G104="","",IF(G104="HKD",1,IF(G104="PLN",'兩人旅費'!$H$4,IF(G104="TRY",'兩人旅費'!$J$4,IF(G104="EUR",'兩人旅費'!$L$4,IF(G104="USD",'兩人旅費'!$F$4,""))))))</f>
      </c>
      <c r="J104" s="1256" t="str">
        <f>IF(OR(A104="",E104="",F104="",H104="",I104=""),"",ROUND(H104*I104,2))</f>
      </c>
      <c r="K104" s="1256" t="str">
        <f>IF(J104="","",IF(F104="共同",J104/2,IF(F104="A 個人",J104,0)))</f>
      </c>
      <c r="L104" s="1256" t="str">
        <f>IF(J104="","",IF(F104="共同",J104/2,IF(F104="B 個人",J104,0)))</f>
      </c>
      <c r="M104" s="1254"/>
    </row>
    <row r="105" ht="30" customHeight="1">
      <c r="A105" s="1253"/>
      <c r="B105" s="1254"/>
      <c r="C105" s="1254"/>
      <c r="D105" s="1254"/>
      <c r="E105" s="1254"/>
      <c r="F105" s="1254"/>
      <c r="G105" s="1254"/>
      <c r="H105" s="1255"/>
      <c r="I105" s="1256" t="str">
        <f>IF(G105="","",IF(G105="HKD",1,IF(G105="PLN",'兩人旅費'!$H$4,IF(G105="TRY",'兩人旅費'!$J$4,IF(G105="EUR",'兩人旅費'!$L$4,IF(G105="USD",'兩人旅費'!$F$4,""))))))</f>
      </c>
      <c r="J105" s="1256" t="str">
        <f>IF(OR(A105="",E105="",F105="",H105="",I105=""),"",ROUND(H105*I105,2))</f>
      </c>
      <c r="K105" s="1256" t="str">
        <f>IF(J105="","",IF(F105="共同",J105/2,IF(F105="A 個人",J105,0)))</f>
      </c>
      <c r="L105" s="1256" t="str">
        <f>IF(J105="","",IF(F105="共同",J105/2,IF(F105="B 個人",J105,0)))</f>
      </c>
      <c r="M105" s="1254"/>
    </row>
    <row r="106" ht="30" customHeight="1">
      <c r="A106" s="1253"/>
      <c r="B106" s="1254"/>
      <c r="C106" s="1254"/>
      <c r="D106" s="1254"/>
      <c r="E106" s="1254"/>
      <c r="F106" s="1254"/>
      <c r="G106" s="1254"/>
      <c r="H106" s="1255"/>
      <c r="I106" s="1256" t="str">
        <f>IF(G106="","",IF(G106="HKD",1,IF(G106="PLN",'兩人旅費'!$H$4,IF(G106="TRY",'兩人旅費'!$J$4,IF(G106="EUR",'兩人旅費'!$L$4,IF(G106="USD",'兩人旅費'!$F$4,""))))))</f>
      </c>
      <c r="J106" s="1256" t="str">
        <f>IF(OR(A106="",E106="",F106="",H106="",I106=""),"",ROUND(H106*I106,2))</f>
      </c>
      <c r="K106" s="1256" t="str">
        <f>IF(J106="","",IF(F106="共同",J106/2,IF(F106="A 個人",J106,0)))</f>
      </c>
      <c r="L106" s="1256" t="str">
        <f>IF(J106="","",IF(F106="共同",J106/2,IF(F106="B 個人",J106,0)))</f>
      </c>
      <c r="M106" s="1254"/>
    </row>
    <row r="107" ht="30" customHeight="1">
      <c r="A107" s="1253"/>
      <c r="B107" s="1254"/>
      <c r="C107" s="1254"/>
      <c r="D107" s="1254"/>
      <c r="E107" s="1254"/>
      <c r="F107" s="1254"/>
      <c r="G107" s="1254"/>
      <c r="H107" s="1255"/>
      <c r="I107" s="1256" t="str">
        <f>IF(G107="","",IF(G107="HKD",1,IF(G107="PLN",'兩人旅費'!$H$4,IF(G107="TRY",'兩人旅費'!$J$4,IF(G107="EUR",'兩人旅費'!$L$4,IF(G107="USD",'兩人旅費'!$F$4,""))))))</f>
      </c>
      <c r="J107" s="1256" t="str">
        <f>IF(OR(A107="",E107="",F107="",H107="",I107=""),"",ROUND(H107*I107,2))</f>
      </c>
      <c r="K107" s="1256" t="str">
        <f>IF(J107="","",IF(F107="共同",J107/2,IF(F107="A 個人",J107,0)))</f>
      </c>
      <c r="L107" s="1256" t="str">
        <f>IF(J107="","",IF(F107="共同",J107/2,IF(F107="B 個人",J107,0)))</f>
      </c>
      <c r="M107" s="1254"/>
    </row>
    <row r="108" ht="30" customHeight="1">
      <c r="A108" s="1253"/>
      <c r="B108" s="1254"/>
      <c r="C108" s="1254"/>
      <c r="D108" s="1254"/>
      <c r="E108" s="1254"/>
      <c r="F108" s="1254"/>
      <c r="G108" s="1254"/>
      <c r="H108" s="1255"/>
      <c r="I108" s="1256" t="str">
        <f>IF(G108="","",IF(G108="HKD",1,IF(G108="PLN",'兩人旅費'!$H$4,IF(G108="TRY",'兩人旅費'!$J$4,IF(G108="EUR",'兩人旅費'!$L$4,IF(G108="USD",'兩人旅費'!$F$4,""))))))</f>
      </c>
      <c r="J108" s="1256" t="str">
        <f>IF(OR(A108="",E108="",F108="",H108="",I108=""),"",ROUND(H108*I108,2))</f>
      </c>
      <c r="K108" s="1256" t="str">
        <f>IF(J108="","",IF(F108="共同",J108/2,IF(F108="A 個人",J108,0)))</f>
      </c>
      <c r="L108" s="1256" t="str">
        <f>IF(J108="","",IF(F108="共同",J108/2,IF(F108="B 個人",J108,0)))</f>
      </c>
      <c r="M108" s="1254"/>
    </row>
    <row r="109" ht="30" customHeight="1">
      <c r="A109" s="1253"/>
      <c r="B109" s="1254"/>
      <c r="C109" s="1254"/>
      <c r="D109" s="1254"/>
      <c r="E109" s="1254"/>
      <c r="F109" s="1254"/>
      <c r="G109" s="1254"/>
      <c r="H109" s="1255"/>
      <c r="I109" s="1256" t="str">
        <f>IF(G109="","",IF(G109="HKD",1,IF(G109="PLN",'兩人旅費'!$H$4,IF(G109="TRY",'兩人旅費'!$J$4,IF(G109="EUR",'兩人旅費'!$L$4,IF(G109="USD",'兩人旅費'!$F$4,""))))))</f>
      </c>
      <c r="J109" s="1256" t="str">
        <f>IF(OR(A109="",E109="",F109="",H109="",I109=""),"",ROUND(H109*I109,2))</f>
      </c>
      <c r="K109" s="1256" t="str">
        <f>IF(J109="","",IF(F109="共同",J109/2,IF(F109="A 個人",J109,0)))</f>
      </c>
      <c r="L109" s="1256" t="str">
        <f>IF(J109="","",IF(F109="共同",J109/2,IF(F109="B 個人",J109,0)))</f>
      </c>
      <c r="M109" s="1254"/>
    </row>
    <row r="110" ht="30" customHeight="1">
      <c r="A110" s="1253"/>
      <c r="B110" s="1254"/>
      <c r="C110" s="1254"/>
      <c r="D110" s="1254"/>
      <c r="E110" s="1254"/>
      <c r="F110" s="1254"/>
      <c r="G110" s="1254"/>
      <c r="H110" s="1255"/>
      <c r="I110" s="1256" t="str">
        <f>IF(G110="","",IF(G110="HKD",1,IF(G110="PLN",'兩人旅費'!$H$4,IF(G110="TRY",'兩人旅費'!$J$4,IF(G110="EUR",'兩人旅費'!$L$4,IF(G110="USD",'兩人旅費'!$F$4,""))))))</f>
      </c>
      <c r="J110" s="1256" t="str">
        <f>IF(OR(A110="",E110="",F110="",H110="",I110=""),"",ROUND(H110*I110,2))</f>
      </c>
      <c r="K110" s="1256" t="str">
        <f>IF(J110="","",IF(F110="共同",J110/2,IF(F110="A 個人",J110,0)))</f>
      </c>
      <c r="L110" s="1256" t="str">
        <f>IF(J110="","",IF(F110="共同",J110/2,IF(F110="B 個人",J110,0)))</f>
      </c>
      <c r="M110" s="1254"/>
    </row>
    <row r="111" ht="30" customHeight="1">
      <c r="A111" s="1253"/>
      <c r="B111" s="1254"/>
      <c r="C111" s="1254"/>
      <c r="D111" s="1254"/>
      <c r="E111" s="1254"/>
      <c r="F111" s="1254"/>
      <c r="G111" s="1254"/>
      <c r="H111" s="1255"/>
      <c r="I111" s="1256" t="str">
        <f>IF(G111="","",IF(G111="HKD",1,IF(G111="PLN",'兩人旅費'!$H$4,IF(G111="TRY",'兩人旅費'!$J$4,IF(G111="EUR",'兩人旅費'!$L$4,IF(G111="USD",'兩人旅費'!$F$4,""))))))</f>
      </c>
      <c r="J111" s="1256" t="str">
        <f>IF(OR(A111="",E111="",F111="",H111="",I111=""),"",ROUND(H111*I111,2))</f>
      </c>
      <c r="K111" s="1256" t="str">
        <f>IF(J111="","",IF(F111="共同",J111/2,IF(F111="A 個人",J111,0)))</f>
      </c>
      <c r="L111" s="1256" t="str">
        <f>IF(J111="","",IF(F111="共同",J111/2,IF(F111="B 個人",J111,0)))</f>
      </c>
      <c r="M111" s="1254"/>
    </row>
    <row r="112" ht="30" customHeight="1">
      <c r="A112" s="1253"/>
      <c r="B112" s="1254"/>
      <c r="C112" s="1254"/>
      <c r="D112" s="1254"/>
      <c r="E112" s="1254"/>
      <c r="F112" s="1254"/>
      <c r="G112" s="1254"/>
      <c r="H112" s="1255"/>
      <c r="I112" s="1256" t="str">
        <f>IF(G112="","",IF(G112="HKD",1,IF(G112="PLN",'兩人旅費'!$H$4,IF(G112="TRY",'兩人旅費'!$J$4,IF(G112="EUR",'兩人旅費'!$L$4,IF(G112="USD",'兩人旅費'!$F$4,""))))))</f>
      </c>
      <c r="J112" s="1256" t="str">
        <f>IF(OR(A112="",E112="",F112="",H112="",I112=""),"",ROUND(H112*I112,2))</f>
      </c>
      <c r="K112" s="1256" t="str">
        <f>IF(J112="","",IF(F112="共同",J112/2,IF(F112="A 個人",J112,0)))</f>
      </c>
      <c r="L112" s="1256" t="str">
        <f>IF(J112="","",IF(F112="共同",J112/2,IF(F112="B 個人",J112,0)))</f>
      </c>
      <c r="M112" s="1254"/>
    </row>
    <row r="113" ht="30" customHeight="1">
      <c r="A113" s="1253"/>
      <c r="B113" s="1254"/>
      <c r="C113" s="1254"/>
      <c r="D113" s="1254"/>
      <c r="E113" s="1254"/>
      <c r="F113" s="1254"/>
      <c r="G113" s="1254"/>
      <c r="H113" s="1255"/>
      <c r="I113" s="1256" t="str">
        <f>IF(G113="","",IF(G113="HKD",1,IF(G113="PLN",'兩人旅費'!$H$4,IF(G113="TRY",'兩人旅費'!$J$4,IF(G113="EUR",'兩人旅費'!$L$4,IF(G113="USD",'兩人旅費'!$F$4,""))))))</f>
      </c>
      <c r="J113" s="1256" t="str">
        <f>IF(OR(A113="",E113="",F113="",H113="",I113=""),"",ROUND(H113*I113,2))</f>
      </c>
      <c r="K113" s="1256" t="str">
        <f>IF(J113="","",IF(F113="共同",J113/2,IF(F113="A 個人",J113,0)))</f>
      </c>
      <c r="L113" s="1256" t="str">
        <f>IF(J113="","",IF(F113="共同",J113/2,IF(F113="B 個人",J113,0)))</f>
      </c>
      <c r="M113" s="1254"/>
    </row>
    <row r="114" ht="30" customHeight="1">
      <c r="A114" s="1253"/>
      <c r="B114" s="1254"/>
      <c r="C114" s="1254"/>
      <c r="D114" s="1254"/>
      <c r="E114" s="1254"/>
      <c r="F114" s="1254"/>
      <c r="G114" s="1254"/>
      <c r="H114" s="1255"/>
      <c r="I114" s="1256" t="str">
        <f>IF(G114="","",IF(G114="HKD",1,IF(G114="PLN",'兩人旅費'!$H$4,IF(G114="TRY",'兩人旅費'!$J$4,IF(G114="EUR",'兩人旅費'!$L$4,IF(G114="USD",'兩人旅費'!$F$4,""))))))</f>
      </c>
      <c r="J114" s="1256" t="str">
        <f>IF(OR(A114="",E114="",F114="",H114="",I114=""),"",ROUND(H114*I114,2))</f>
      </c>
      <c r="K114" s="1256" t="str">
        <f>IF(J114="","",IF(F114="共同",J114/2,IF(F114="A 個人",J114,0)))</f>
      </c>
      <c r="L114" s="1256" t="str">
        <f>IF(J114="","",IF(F114="共同",J114/2,IF(F114="B 個人",J114,0)))</f>
      </c>
      <c r="M114" s="1254"/>
    </row>
    <row r="115" ht="30" customHeight="1">
      <c r="A115" s="1253"/>
      <c r="B115" s="1254"/>
      <c r="C115" s="1254"/>
      <c r="D115" s="1254"/>
      <c r="E115" s="1254"/>
      <c r="F115" s="1254"/>
      <c r="G115" s="1254"/>
      <c r="H115" s="1255"/>
      <c r="I115" s="1256" t="str">
        <f>IF(G115="","",IF(G115="HKD",1,IF(G115="PLN",'兩人旅費'!$H$4,IF(G115="TRY",'兩人旅費'!$J$4,IF(G115="EUR",'兩人旅費'!$L$4,IF(G115="USD",'兩人旅費'!$F$4,""))))))</f>
      </c>
      <c r="J115" s="1256" t="str">
        <f>IF(OR(A115="",E115="",F115="",H115="",I115=""),"",ROUND(H115*I115,2))</f>
      </c>
      <c r="K115" s="1256" t="str">
        <f>IF(J115="","",IF(F115="共同",J115/2,IF(F115="A 個人",J115,0)))</f>
      </c>
      <c r="L115" s="1256" t="str">
        <f>IF(J115="","",IF(F115="共同",J115/2,IF(F115="B 個人",J115,0)))</f>
      </c>
      <c r="M115" s="1254"/>
    </row>
    <row r="116" ht="30" customHeight="1">
      <c r="A116" s="1253"/>
      <c r="B116" s="1254"/>
      <c r="C116" s="1254"/>
      <c r="D116" s="1254"/>
      <c r="E116" s="1254"/>
      <c r="F116" s="1254"/>
      <c r="G116" s="1254"/>
      <c r="H116" s="1255"/>
      <c r="I116" s="1256" t="str">
        <f>IF(G116="","",IF(G116="HKD",1,IF(G116="PLN",'兩人旅費'!$H$4,IF(G116="TRY",'兩人旅費'!$J$4,IF(G116="EUR",'兩人旅費'!$L$4,IF(G116="USD",'兩人旅費'!$F$4,""))))))</f>
      </c>
      <c r="J116" s="1256" t="str">
        <f>IF(OR(A116="",E116="",F116="",H116="",I116=""),"",ROUND(H116*I116,2))</f>
      </c>
      <c r="K116" s="1256" t="str">
        <f>IF(J116="","",IF(F116="共同",J116/2,IF(F116="A 個人",J116,0)))</f>
      </c>
      <c r="L116" s="1256" t="str">
        <f>IF(J116="","",IF(F116="共同",J116/2,IF(F116="B 個人",J116,0)))</f>
      </c>
      <c r="M116" s="1254"/>
    </row>
    <row r="117" ht="30" customHeight="1">
      <c r="A117" s="1253"/>
      <c r="B117" s="1254"/>
      <c r="C117" s="1254"/>
      <c r="D117" s="1254"/>
      <c r="E117" s="1254"/>
      <c r="F117" s="1254"/>
      <c r="G117" s="1254"/>
      <c r="H117" s="1255"/>
      <c r="I117" s="1256" t="str">
        <f>IF(G117="","",IF(G117="HKD",1,IF(G117="PLN",'兩人旅費'!$H$4,IF(G117="TRY",'兩人旅費'!$J$4,IF(G117="EUR",'兩人旅費'!$L$4,IF(G117="USD",'兩人旅費'!$F$4,""))))))</f>
      </c>
      <c r="J117" s="1256" t="str">
        <f>IF(OR(A117="",E117="",F117="",H117="",I117=""),"",ROUND(H117*I117,2))</f>
      </c>
      <c r="K117" s="1256" t="str">
        <f>IF(J117="","",IF(F117="共同",J117/2,IF(F117="A 個人",J117,0)))</f>
      </c>
      <c r="L117" s="1256" t="str">
        <f>IF(J117="","",IF(F117="共同",J117/2,IF(F117="B 個人",J117,0)))</f>
      </c>
      <c r="M117" s="1254"/>
    </row>
    <row r="118" ht="30" customHeight="1">
      <c r="A118" s="1253"/>
      <c r="B118" s="1254"/>
      <c r="C118" s="1254"/>
      <c r="D118" s="1254"/>
      <c r="E118" s="1254"/>
      <c r="F118" s="1254"/>
      <c r="G118" s="1254"/>
      <c r="H118" s="1255"/>
      <c r="I118" s="1256" t="str">
        <f>IF(G118="","",IF(G118="HKD",1,IF(G118="PLN",'兩人旅費'!$H$4,IF(G118="TRY",'兩人旅費'!$J$4,IF(G118="EUR",'兩人旅費'!$L$4,IF(G118="USD",'兩人旅費'!$F$4,""))))))</f>
      </c>
      <c r="J118" s="1256" t="str">
        <f>IF(OR(A118="",E118="",F118="",H118="",I118=""),"",ROUND(H118*I118,2))</f>
      </c>
      <c r="K118" s="1256" t="str">
        <f>IF(J118="","",IF(F118="共同",J118/2,IF(F118="A 個人",J118,0)))</f>
      </c>
      <c r="L118" s="1256" t="str">
        <f>IF(J118="","",IF(F118="共同",J118/2,IF(F118="B 個人",J118,0)))</f>
      </c>
      <c r="M118" s="1254"/>
    </row>
    <row r="119" ht="30" customHeight="1">
      <c r="A119" s="1253"/>
      <c r="B119" s="1254"/>
      <c r="C119" s="1254"/>
      <c r="D119" s="1254"/>
      <c r="E119" s="1254"/>
      <c r="F119" s="1254"/>
      <c r="G119" s="1254"/>
      <c r="H119" s="1255"/>
      <c r="I119" s="1256" t="str">
        <f>IF(G119="","",IF(G119="HKD",1,IF(G119="PLN",'兩人旅費'!$H$4,IF(G119="TRY",'兩人旅費'!$J$4,IF(G119="EUR",'兩人旅費'!$L$4,IF(G119="USD",'兩人旅費'!$F$4,""))))))</f>
      </c>
      <c r="J119" s="1256" t="str">
        <f>IF(OR(A119="",E119="",F119="",H119="",I119=""),"",ROUND(H119*I119,2))</f>
      </c>
      <c r="K119" s="1256" t="str">
        <f>IF(J119="","",IF(F119="共同",J119/2,IF(F119="A 個人",J119,0)))</f>
      </c>
      <c r="L119" s="1256" t="str">
        <f>IF(J119="","",IF(F119="共同",J119/2,IF(F119="B 個人",J119,0)))</f>
      </c>
      <c r="M119" s="1254"/>
    </row>
    <row r="120" ht="30" customHeight="1">
      <c r="A120" s="1253"/>
      <c r="B120" s="1254"/>
      <c r="C120" s="1254"/>
      <c r="D120" s="1254"/>
      <c r="E120" s="1254"/>
      <c r="F120" s="1254"/>
      <c r="G120" s="1254"/>
      <c r="H120" s="1255"/>
      <c r="I120" s="1256" t="str">
        <f>IF(G120="","",IF(G120="HKD",1,IF(G120="PLN",'兩人旅費'!$H$4,IF(G120="TRY",'兩人旅費'!$J$4,IF(G120="EUR",'兩人旅費'!$L$4,IF(G120="USD",'兩人旅費'!$F$4,""))))))</f>
      </c>
      <c r="J120" s="1256" t="str">
        <f>IF(OR(A120="",E120="",F120="",H120="",I120=""),"",ROUND(H120*I120,2))</f>
      </c>
      <c r="K120" s="1256" t="str">
        <f>IF(J120="","",IF(F120="共同",J120/2,IF(F120="A 個人",J120,0)))</f>
      </c>
      <c r="L120" s="1256" t="str">
        <f>IF(J120="","",IF(F120="共同",J120/2,IF(F120="B 個人",J120,0)))</f>
      </c>
      <c r="M120" s="1254"/>
    </row>
    <row r="121" ht="30" customHeight="1">
      <c r="A121" s="1253"/>
      <c r="B121" s="1254"/>
      <c r="C121" s="1254"/>
      <c r="D121" s="1254"/>
      <c r="E121" s="1254"/>
      <c r="F121" s="1254"/>
      <c r="G121" s="1254"/>
      <c r="H121" s="1255"/>
      <c r="I121" s="1256" t="str">
        <f>IF(G121="","",IF(G121="HKD",1,IF(G121="PLN",'兩人旅費'!$H$4,IF(G121="TRY",'兩人旅費'!$J$4,IF(G121="EUR",'兩人旅費'!$L$4,IF(G121="USD",'兩人旅費'!$F$4,""))))))</f>
      </c>
      <c r="J121" s="1256" t="str">
        <f>IF(OR(A121="",E121="",F121="",H121="",I121=""),"",ROUND(H121*I121,2))</f>
      </c>
      <c r="K121" s="1256" t="str">
        <f>IF(J121="","",IF(F121="共同",J121/2,IF(F121="A 個人",J121,0)))</f>
      </c>
      <c r="L121" s="1256" t="str">
        <f>IF(J121="","",IF(F121="共同",J121/2,IF(F121="B 個人",J121,0)))</f>
      </c>
      <c r="M121" s="1254"/>
    </row>
    <row r="122" ht="30" customHeight="1">
      <c r="A122" s="1253"/>
      <c r="B122" s="1254"/>
      <c r="C122" s="1254"/>
      <c r="D122" s="1254"/>
      <c r="E122" s="1254"/>
      <c r="F122" s="1254"/>
      <c r="G122" s="1254"/>
      <c r="H122" s="1255"/>
      <c r="I122" s="1256" t="str">
        <f>IF(G122="","",IF(G122="HKD",1,IF(G122="PLN",'兩人旅費'!$H$4,IF(G122="TRY",'兩人旅費'!$J$4,IF(G122="EUR",'兩人旅費'!$L$4,IF(G122="USD",'兩人旅費'!$F$4,""))))))</f>
      </c>
      <c r="J122" s="1256" t="str">
        <f>IF(OR(A122="",E122="",F122="",H122="",I122=""),"",ROUND(H122*I122,2))</f>
      </c>
      <c r="K122" s="1256" t="str">
        <f>IF(J122="","",IF(F122="共同",J122/2,IF(F122="A 個人",J122,0)))</f>
      </c>
      <c r="L122" s="1256" t="str">
        <f>IF(J122="","",IF(F122="共同",J122/2,IF(F122="B 個人",J122,0)))</f>
      </c>
      <c r="M122" s="1254"/>
    </row>
    <row r="123" ht="30" customHeight="1">
      <c r="A123" s="1253"/>
      <c r="B123" s="1254"/>
      <c r="C123" s="1254"/>
      <c r="D123" s="1254"/>
      <c r="E123" s="1254"/>
      <c r="F123" s="1254"/>
      <c r="G123" s="1254"/>
      <c r="H123" s="1255"/>
      <c r="I123" s="1256" t="str">
        <f>IF(G123="","",IF(G123="HKD",1,IF(G123="PLN",'兩人旅費'!$H$4,IF(G123="TRY",'兩人旅費'!$J$4,IF(G123="EUR",'兩人旅費'!$L$4,IF(G123="USD",'兩人旅費'!$F$4,""))))))</f>
      </c>
      <c r="J123" s="1256" t="str">
        <f>IF(OR(A123="",E123="",F123="",H123="",I123=""),"",ROUND(H123*I123,2))</f>
      </c>
      <c r="K123" s="1256" t="str">
        <f>IF(J123="","",IF(F123="共同",J123/2,IF(F123="A 個人",J123,0)))</f>
      </c>
      <c r="L123" s="1256" t="str">
        <f>IF(J123="","",IF(F123="共同",J123/2,IF(F123="B 個人",J123,0)))</f>
      </c>
      <c r="M123" s="1254"/>
    </row>
    <row r="124" ht="30" customHeight="1">
      <c r="A124" s="1253"/>
      <c r="B124" s="1254"/>
      <c r="C124" s="1254"/>
      <c r="D124" s="1254"/>
      <c r="E124" s="1254"/>
      <c r="F124" s="1254"/>
      <c r="G124" s="1254"/>
      <c r="H124" s="1255"/>
      <c r="I124" s="1256" t="str">
        <f>IF(G124="","",IF(G124="HKD",1,IF(G124="PLN",'兩人旅費'!$H$4,IF(G124="TRY",'兩人旅費'!$J$4,IF(G124="EUR",'兩人旅費'!$L$4,IF(G124="USD",'兩人旅費'!$F$4,""))))))</f>
      </c>
      <c r="J124" s="1256" t="str">
        <f>IF(OR(A124="",E124="",F124="",H124="",I124=""),"",ROUND(H124*I124,2))</f>
      </c>
      <c r="K124" s="1256" t="str">
        <f>IF(J124="","",IF(F124="共同",J124/2,IF(F124="A 個人",J124,0)))</f>
      </c>
      <c r="L124" s="1256" t="str">
        <f>IF(J124="","",IF(F124="共同",J124/2,IF(F124="B 個人",J124,0)))</f>
      </c>
      <c r="M124" s="1254"/>
    </row>
    <row r="125" ht="30" customHeight="1">
      <c r="A125" s="1253"/>
      <c r="B125" s="1254"/>
      <c r="C125" s="1254"/>
      <c r="D125" s="1254"/>
      <c r="E125" s="1254"/>
      <c r="F125" s="1254"/>
      <c r="G125" s="1254"/>
      <c r="H125" s="1255"/>
      <c r="I125" s="1256" t="str">
        <f>IF(G125="","",IF(G125="HKD",1,IF(G125="PLN",'兩人旅費'!$H$4,IF(G125="TRY",'兩人旅費'!$J$4,IF(G125="EUR",'兩人旅費'!$L$4,IF(G125="USD",'兩人旅費'!$F$4,""))))))</f>
      </c>
      <c r="J125" s="1256" t="str">
        <f>IF(OR(A125="",E125="",F125="",H125="",I125=""),"",ROUND(H125*I125,2))</f>
      </c>
      <c r="K125" s="1256" t="str">
        <f>IF(J125="","",IF(F125="共同",J125/2,IF(F125="A 個人",J125,0)))</f>
      </c>
      <c r="L125" s="1256" t="str">
        <f>IF(J125="","",IF(F125="共同",J125/2,IF(F125="B 個人",J125,0)))</f>
      </c>
      <c r="M125" s="1254"/>
    </row>
    <row r="126" ht="30" customHeight="1">
      <c r="A126" s="1253"/>
      <c r="B126" s="1254"/>
      <c r="C126" s="1254"/>
      <c r="D126" s="1254"/>
      <c r="E126" s="1254"/>
      <c r="F126" s="1254"/>
      <c r="G126" s="1254"/>
      <c r="H126" s="1255"/>
      <c r="I126" s="1256" t="str">
        <f>IF(G126="","",IF(G126="HKD",1,IF(G126="PLN",'兩人旅費'!$H$4,IF(G126="TRY",'兩人旅費'!$J$4,IF(G126="EUR",'兩人旅費'!$L$4,IF(G126="USD",'兩人旅費'!$F$4,""))))))</f>
      </c>
      <c r="J126" s="1256" t="str">
        <f>IF(OR(A126="",E126="",F126="",H126="",I126=""),"",ROUND(H126*I126,2))</f>
      </c>
      <c r="K126" s="1256" t="str">
        <f>IF(J126="","",IF(F126="共同",J126/2,IF(F126="A 個人",J126,0)))</f>
      </c>
      <c r="L126" s="1256" t="str">
        <f>IF(J126="","",IF(F126="共同",J126/2,IF(F126="B 個人",J126,0)))</f>
      </c>
      <c r="M126" s="1254"/>
    </row>
    <row r="127" ht="30" customHeight="1">
      <c r="A127" s="1253"/>
      <c r="B127" s="1254"/>
      <c r="C127" s="1254"/>
      <c r="D127" s="1254"/>
      <c r="E127" s="1254"/>
      <c r="F127" s="1254"/>
      <c r="G127" s="1254"/>
      <c r="H127" s="1255"/>
      <c r="I127" s="1256" t="str">
        <f>IF(G127="","",IF(G127="HKD",1,IF(G127="PLN",'兩人旅費'!$H$4,IF(G127="TRY",'兩人旅費'!$J$4,IF(G127="EUR",'兩人旅費'!$L$4,IF(G127="USD",'兩人旅費'!$F$4,""))))))</f>
      </c>
      <c r="J127" s="1256" t="str">
        <f>IF(OR(A127="",E127="",F127="",H127="",I127=""),"",ROUND(H127*I127,2))</f>
      </c>
      <c r="K127" s="1256" t="str">
        <f>IF(J127="","",IF(F127="共同",J127/2,IF(F127="A 個人",J127,0)))</f>
      </c>
      <c r="L127" s="1256" t="str">
        <f>IF(J127="","",IF(F127="共同",J127/2,IF(F127="B 個人",J127,0)))</f>
      </c>
      <c r="M127" s="1254"/>
    </row>
    <row r="128" ht="30" customHeight="1">
      <c r="A128" s="1253"/>
      <c r="B128" s="1254"/>
      <c r="C128" s="1254"/>
      <c r="D128" s="1254"/>
      <c r="E128" s="1254"/>
      <c r="F128" s="1254"/>
      <c r="G128" s="1254"/>
      <c r="H128" s="1255"/>
      <c r="I128" s="1256" t="str">
        <f>IF(G128="","",IF(G128="HKD",1,IF(G128="PLN",'兩人旅費'!$H$4,IF(G128="TRY",'兩人旅費'!$J$4,IF(G128="EUR",'兩人旅費'!$L$4,IF(G128="USD",'兩人旅費'!$F$4,""))))))</f>
      </c>
      <c r="J128" s="1256" t="str">
        <f>IF(OR(A128="",E128="",F128="",H128="",I128=""),"",ROUND(H128*I128,2))</f>
      </c>
      <c r="K128" s="1256" t="str">
        <f>IF(J128="","",IF(F128="共同",J128/2,IF(F128="A 個人",J128,0)))</f>
      </c>
      <c r="L128" s="1256" t="str">
        <f>IF(J128="","",IF(F128="共同",J128/2,IF(F128="B 個人",J128,0)))</f>
      </c>
      <c r="M128" s="1254"/>
    </row>
    <row r="129" ht="30" customHeight="1">
      <c r="A129" s="1253"/>
      <c r="B129" s="1254"/>
      <c r="C129" s="1254"/>
      <c r="D129" s="1254"/>
      <c r="E129" s="1254"/>
      <c r="F129" s="1254"/>
      <c r="G129" s="1254"/>
      <c r="H129" s="1255"/>
      <c r="I129" s="1256" t="str">
        <f>IF(G129="","",IF(G129="HKD",1,IF(G129="PLN",'兩人旅費'!$H$4,IF(G129="TRY",'兩人旅費'!$J$4,IF(G129="EUR",'兩人旅費'!$L$4,IF(G129="USD",'兩人旅費'!$F$4,""))))))</f>
      </c>
      <c r="J129" s="1256" t="str">
        <f>IF(OR(A129="",E129="",F129="",H129="",I129=""),"",ROUND(H129*I129,2))</f>
      </c>
      <c r="K129" s="1256" t="str">
        <f>IF(J129="","",IF(F129="共同",J129/2,IF(F129="A 個人",J129,0)))</f>
      </c>
      <c r="L129" s="1256" t="str">
        <f>IF(J129="","",IF(F129="共同",J129/2,IF(F129="B 個人",J129,0)))</f>
      </c>
      <c r="M129" s="1254"/>
    </row>
    <row r="130" ht="30" customHeight="1">
      <c r="A130" s="1253"/>
      <c r="B130" s="1254"/>
      <c r="C130" s="1254"/>
      <c r="D130" s="1254"/>
      <c r="E130" s="1254"/>
      <c r="F130" s="1254"/>
      <c r="G130" s="1254"/>
      <c r="H130" s="1255"/>
      <c r="I130" s="1256" t="str">
        <f>IF(G130="","",IF(G130="HKD",1,IF(G130="PLN",'兩人旅費'!$H$4,IF(G130="TRY",'兩人旅費'!$J$4,IF(G130="EUR",'兩人旅費'!$L$4,IF(G130="USD",'兩人旅費'!$F$4,""))))))</f>
      </c>
      <c r="J130" s="1256" t="str">
        <f>IF(OR(A130="",E130="",F130="",H130="",I130=""),"",ROUND(H130*I130,2))</f>
      </c>
      <c r="K130" s="1256" t="str">
        <f>IF(J130="","",IF(F130="共同",J130/2,IF(F130="A 個人",J130,0)))</f>
      </c>
      <c r="L130" s="1256" t="str">
        <f>IF(J130="","",IF(F130="共同",J130/2,IF(F130="B 個人",J130,0)))</f>
      </c>
      <c r="M130" s="1254"/>
    </row>
    <row r="131" ht="30" customHeight="1">
      <c r="A131" s="1253"/>
      <c r="B131" s="1254"/>
      <c r="C131" s="1254"/>
      <c r="D131" s="1254"/>
      <c r="E131" s="1254"/>
      <c r="F131" s="1254"/>
      <c r="G131" s="1254"/>
      <c r="H131" s="1255"/>
      <c r="I131" s="1256" t="str">
        <f>IF(G131="","",IF(G131="HKD",1,IF(G131="PLN",'兩人旅費'!$H$4,IF(G131="TRY",'兩人旅費'!$J$4,IF(G131="EUR",'兩人旅費'!$L$4,IF(G131="USD",'兩人旅費'!$F$4,""))))))</f>
      </c>
      <c r="J131" s="1256" t="str">
        <f>IF(OR(A131="",E131="",F131="",H131="",I131=""),"",ROUND(H131*I131,2))</f>
      </c>
      <c r="K131" s="1256" t="str">
        <f>IF(J131="","",IF(F131="共同",J131/2,IF(F131="A 個人",J131,0)))</f>
      </c>
      <c r="L131" s="1256" t="str">
        <f>IF(J131="","",IF(F131="共同",J131/2,IF(F131="B 個人",J131,0)))</f>
      </c>
      <c r="M131" s="1254"/>
    </row>
    <row r="132" ht="30" customHeight="1">
      <c r="A132" s="1253"/>
      <c r="B132" s="1254"/>
      <c r="C132" s="1254"/>
      <c r="D132" s="1254"/>
      <c r="E132" s="1254"/>
      <c r="F132" s="1254"/>
      <c r="G132" s="1254"/>
      <c r="H132" s="1255"/>
      <c r="I132" s="1256" t="str">
        <f>IF(G132="","",IF(G132="HKD",1,IF(G132="PLN",'兩人旅費'!$H$4,IF(G132="TRY",'兩人旅費'!$J$4,IF(G132="EUR",'兩人旅費'!$L$4,IF(G132="USD",'兩人旅費'!$F$4,""))))))</f>
      </c>
      <c r="J132" s="1256" t="str">
        <f>IF(OR(A132="",E132="",F132="",H132="",I132=""),"",ROUND(H132*I132,2))</f>
      </c>
      <c r="K132" s="1256" t="str">
        <f>IF(J132="","",IF(F132="共同",J132/2,IF(F132="A 個人",J132,0)))</f>
      </c>
      <c r="L132" s="1256" t="str">
        <f>IF(J132="","",IF(F132="共同",J132/2,IF(F132="B 個人",J132,0)))</f>
      </c>
      <c r="M132" s="1254"/>
    </row>
    <row r="133" ht="30" customHeight="1">
      <c r="A133" s="1253"/>
      <c r="B133" s="1254"/>
      <c r="C133" s="1254"/>
      <c r="D133" s="1254"/>
      <c r="E133" s="1254"/>
      <c r="F133" s="1254"/>
      <c r="G133" s="1254"/>
      <c r="H133" s="1255"/>
      <c r="I133" s="1256" t="str">
        <f>IF(G133="","",IF(G133="HKD",1,IF(G133="PLN",'兩人旅費'!$H$4,IF(G133="TRY",'兩人旅費'!$J$4,IF(G133="EUR",'兩人旅費'!$L$4,IF(G133="USD",'兩人旅費'!$F$4,""))))))</f>
      </c>
      <c r="J133" s="1256" t="str">
        <f>IF(OR(A133="",E133="",F133="",H133="",I133=""),"",ROUND(H133*I133,2))</f>
      </c>
      <c r="K133" s="1256" t="str">
        <f>IF(J133="","",IF(F133="共同",J133/2,IF(F133="A 個人",J133,0)))</f>
      </c>
      <c r="L133" s="1256" t="str">
        <f>IF(J133="","",IF(F133="共同",J133/2,IF(F133="B 個人",J133,0)))</f>
      </c>
      <c r="M133" s="1254"/>
    </row>
    <row r="134" ht="30" customHeight="1">
      <c r="A134" s="1253"/>
      <c r="B134" s="1254"/>
      <c r="C134" s="1254"/>
      <c r="D134" s="1254"/>
      <c r="E134" s="1254"/>
      <c r="F134" s="1254"/>
      <c r="G134" s="1254"/>
      <c r="H134" s="1255"/>
      <c r="I134" s="1256" t="str">
        <f>IF(G134="","",IF(G134="HKD",1,IF(G134="PLN",'兩人旅費'!$H$4,IF(G134="TRY",'兩人旅費'!$J$4,IF(G134="EUR",'兩人旅費'!$L$4,IF(G134="USD",'兩人旅費'!$F$4,""))))))</f>
      </c>
      <c r="J134" s="1256" t="str">
        <f>IF(OR(A134="",E134="",F134="",H134="",I134=""),"",ROUND(H134*I134,2))</f>
      </c>
      <c r="K134" s="1256" t="str">
        <f>IF(J134="","",IF(F134="共同",J134/2,IF(F134="A 個人",J134,0)))</f>
      </c>
      <c r="L134" s="1256" t="str">
        <f>IF(J134="","",IF(F134="共同",J134/2,IF(F134="B 個人",J134,0)))</f>
      </c>
      <c r="M134" s="1254"/>
    </row>
    <row r="135" ht="30" customHeight="1">
      <c r="A135" s="1253"/>
      <c r="B135" s="1254"/>
      <c r="C135" s="1254"/>
      <c r="D135" s="1254"/>
      <c r="E135" s="1254"/>
      <c r="F135" s="1254"/>
      <c r="G135" s="1254"/>
      <c r="H135" s="1255"/>
      <c r="I135" s="1256" t="str">
        <f>IF(G135="","",IF(G135="HKD",1,IF(G135="PLN",'兩人旅費'!$H$4,IF(G135="TRY",'兩人旅費'!$J$4,IF(G135="EUR",'兩人旅費'!$L$4,IF(G135="USD",'兩人旅費'!$F$4,""))))))</f>
      </c>
      <c r="J135" s="1256" t="str">
        <f>IF(OR(A135="",E135="",F135="",H135="",I135=""),"",ROUND(H135*I135,2))</f>
      </c>
      <c r="K135" s="1256" t="str">
        <f>IF(J135="","",IF(F135="共同",J135/2,IF(F135="A 個人",J135,0)))</f>
      </c>
      <c r="L135" s="1256" t="str">
        <f>IF(J135="","",IF(F135="共同",J135/2,IF(F135="B 個人",J135,0)))</f>
      </c>
      <c r="M135" s="1254"/>
    </row>
    <row r="136" ht="30" customHeight="1">
      <c r="A136" s="1253"/>
      <c r="B136" s="1254"/>
      <c r="C136" s="1254"/>
      <c r="D136" s="1254"/>
      <c r="E136" s="1254"/>
      <c r="F136" s="1254"/>
      <c r="G136" s="1254"/>
      <c r="H136" s="1255"/>
      <c r="I136" s="1256" t="str">
        <f>IF(G136="","",IF(G136="HKD",1,IF(G136="PLN",'兩人旅費'!$H$4,IF(G136="TRY",'兩人旅費'!$J$4,IF(G136="EUR",'兩人旅費'!$L$4,IF(G136="USD",'兩人旅費'!$F$4,""))))))</f>
      </c>
      <c r="J136" s="1256" t="str">
        <f>IF(OR(A136="",E136="",F136="",H136="",I136=""),"",ROUND(H136*I136,2))</f>
      </c>
      <c r="K136" s="1256" t="str">
        <f>IF(J136="","",IF(F136="共同",J136/2,IF(F136="A 個人",J136,0)))</f>
      </c>
      <c r="L136" s="1256" t="str">
        <f>IF(J136="","",IF(F136="共同",J136/2,IF(F136="B 個人",J136,0)))</f>
      </c>
      <c r="M136" s="1254"/>
    </row>
    <row r="137" ht="30" customHeight="1">
      <c r="A137" s="1253"/>
      <c r="B137" s="1254"/>
      <c r="C137" s="1254"/>
      <c r="D137" s="1254"/>
      <c r="E137" s="1254"/>
      <c r="F137" s="1254"/>
      <c r="G137" s="1254"/>
      <c r="H137" s="1255"/>
      <c r="I137" s="1256" t="str">
        <f>IF(G137="","",IF(G137="HKD",1,IF(G137="PLN",'兩人旅費'!$H$4,IF(G137="TRY",'兩人旅費'!$J$4,IF(G137="EUR",'兩人旅費'!$L$4,IF(G137="USD",'兩人旅費'!$F$4,""))))))</f>
      </c>
      <c r="J137" s="1256" t="str">
        <f>IF(OR(A137="",E137="",F137="",H137="",I137=""),"",ROUND(H137*I137,2))</f>
      </c>
      <c r="K137" s="1256" t="str">
        <f>IF(J137="","",IF(F137="共同",J137/2,IF(F137="A 個人",J137,0)))</f>
      </c>
      <c r="L137" s="1256" t="str">
        <f>IF(J137="","",IF(F137="共同",J137/2,IF(F137="B 個人",J137,0)))</f>
      </c>
      <c r="M137" s="1254"/>
    </row>
    <row r="138" ht="30" customHeight="1">
      <c r="A138" s="1253"/>
      <c r="B138" s="1254"/>
      <c r="C138" s="1254"/>
      <c r="D138" s="1254"/>
      <c r="E138" s="1254"/>
      <c r="F138" s="1254"/>
      <c r="G138" s="1254"/>
      <c r="H138" s="1255"/>
      <c r="I138" s="1256" t="str">
        <f>IF(G138="","",IF(G138="HKD",1,IF(G138="PLN",'兩人旅費'!$H$4,IF(G138="TRY",'兩人旅費'!$J$4,IF(G138="EUR",'兩人旅費'!$L$4,IF(G138="USD",'兩人旅費'!$F$4,""))))))</f>
      </c>
      <c r="J138" s="1256" t="str">
        <f>IF(OR(A138="",E138="",F138="",H138="",I138=""),"",ROUND(H138*I138,2))</f>
      </c>
      <c r="K138" s="1256" t="str">
        <f>IF(J138="","",IF(F138="共同",J138/2,IF(F138="A 個人",J138,0)))</f>
      </c>
      <c r="L138" s="1256" t="str">
        <f>IF(J138="","",IF(F138="共同",J138/2,IF(F138="B 個人",J138,0)))</f>
      </c>
      <c r="M138" s="1254"/>
    </row>
    <row r="139" ht="30" customHeight="1">
      <c r="A139" s="1253"/>
      <c r="B139" s="1254"/>
      <c r="C139" s="1254"/>
      <c r="D139" s="1254"/>
      <c r="E139" s="1254"/>
      <c r="F139" s="1254"/>
      <c r="G139" s="1254"/>
      <c r="H139" s="1255"/>
      <c r="I139" s="1256" t="str">
        <f>IF(G139="","",IF(G139="HKD",1,IF(G139="PLN",'兩人旅費'!$H$4,IF(G139="TRY",'兩人旅費'!$J$4,IF(G139="EUR",'兩人旅費'!$L$4,IF(G139="USD",'兩人旅費'!$F$4,""))))))</f>
      </c>
      <c r="J139" s="1256" t="str">
        <f>IF(OR(A139="",E139="",F139="",H139="",I139=""),"",ROUND(H139*I139,2))</f>
      </c>
      <c r="K139" s="1256" t="str">
        <f>IF(J139="","",IF(F139="共同",J139/2,IF(F139="A 個人",J139,0)))</f>
      </c>
      <c r="L139" s="1256" t="str">
        <f>IF(J139="","",IF(F139="共同",J139/2,IF(F139="B 個人",J139,0)))</f>
      </c>
      <c r="M139" s="1254"/>
    </row>
    <row r="140" ht="30" customHeight="1">
      <c r="A140" s="1253"/>
      <c r="B140" s="1254"/>
      <c r="C140" s="1254"/>
      <c r="D140" s="1254"/>
      <c r="E140" s="1254"/>
      <c r="F140" s="1254"/>
      <c r="G140" s="1254"/>
      <c r="H140" s="1255"/>
      <c r="I140" s="1256" t="str">
        <f>IF(G140="","",IF(G140="HKD",1,IF(G140="PLN",'兩人旅費'!$H$4,IF(G140="TRY",'兩人旅費'!$J$4,IF(G140="EUR",'兩人旅費'!$L$4,IF(G140="USD",'兩人旅費'!$F$4,""))))))</f>
      </c>
      <c r="J140" s="1256" t="str">
        <f>IF(OR(A140="",E140="",F140="",H140="",I140=""),"",ROUND(H140*I140,2))</f>
      </c>
      <c r="K140" s="1256" t="str">
        <f>IF(J140="","",IF(F140="共同",J140/2,IF(F140="A 個人",J140,0)))</f>
      </c>
      <c r="L140" s="1256" t="str">
        <f>IF(J140="","",IF(F140="共同",J140/2,IF(F140="B 個人",J140,0)))</f>
      </c>
      <c r="M140" s="1254"/>
    </row>
    <row r="141" ht="30" customHeight="1">
      <c r="A141" s="1253"/>
      <c r="B141" s="1254"/>
      <c r="C141" s="1254"/>
      <c r="D141" s="1254"/>
      <c r="E141" s="1254"/>
      <c r="F141" s="1254"/>
      <c r="G141" s="1254"/>
      <c r="H141" s="1255"/>
      <c r="I141" s="1256" t="str">
        <f>IF(G141="","",IF(G141="HKD",1,IF(G141="PLN",'兩人旅費'!$H$4,IF(G141="TRY",'兩人旅費'!$J$4,IF(G141="EUR",'兩人旅費'!$L$4,IF(G141="USD",'兩人旅費'!$F$4,""))))))</f>
      </c>
      <c r="J141" s="1256" t="str">
        <f>IF(OR(A141="",E141="",F141="",H141="",I141=""),"",ROUND(H141*I141,2))</f>
      </c>
      <c r="K141" s="1256" t="str">
        <f>IF(J141="","",IF(F141="共同",J141/2,IF(F141="A 個人",J141,0)))</f>
      </c>
      <c r="L141" s="1256" t="str">
        <f>IF(J141="","",IF(F141="共同",J141/2,IF(F141="B 個人",J141,0)))</f>
      </c>
      <c r="M141" s="1254"/>
    </row>
    <row r="142" ht="30" customHeight="1">
      <c r="A142" s="1253"/>
      <c r="B142" s="1254"/>
      <c r="C142" s="1254"/>
      <c r="D142" s="1254"/>
      <c r="E142" s="1254"/>
      <c r="F142" s="1254"/>
      <c r="G142" s="1254"/>
      <c r="H142" s="1255"/>
      <c r="I142" s="1256" t="str">
        <f>IF(G142="","",IF(G142="HKD",1,IF(G142="PLN",'兩人旅費'!$H$4,IF(G142="TRY",'兩人旅費'!$J$4,IF(G142="EUR",'兩人旅費'!$L$4,IF(G142="USD",'兩人旅費'!$F$4,""))))))</f>
      </c>
      <c r="J142" s="1256" t="str">
        <f>IF(OR(A142="",E142="",F142="",H142="",I142=""),"",ROUND(H142*I142,2))</f>
      </c>
      <c r="K142" s="1256" t="str">
        <f>IF(J142="","",IF(F142="共同",J142/2,IF(F142="A 個人",J142,0)))</f>
      </c>
      <c r="L142" s="1256" t="str">
        <f>IF(J142="","",IF(F142="共同",J142/2,IF(F142="B 個人",J142,0)))</f>
      </c>
      <c r="M142" s="1254"/>
    </row>
    <row r="143" ht="30" customHeight="1">
      <c r="A143" s="1253"/>
      <c r="B143" s="1254"/>
      <c r="C143" s="1254"/>
      <c r="D143" s="1254"/>
      <c r="E143" s="1254"/>
      <c r="F143" s="1254"/>
      <c r="G143" s="1254"/>
      <c r="H143" s="1255"/>
      <c r="I143" s="1256" t="str">
        <f>IF(G143="","",IF(G143="HKD",1,IF(G143="PLN",'兩人旅費'!$H$4,IF(G143="TRY",'兩人旅費'!$J$4,IF(G143="EUR",'兩人旅費'!$L$4,IF(G143="USD",'兩人旅費'!$F$4,""))))))</f>
      </c>
      <c r="J143" s="1256" t="str">
        <f>IF(OR(A143="",E143="",F143="",H143="",I143=""),"",ROUND(H143*I143,2))</f>
      </c>
      <c r="K143" s="1256" t="str">
        <f>IF(J143="","",IF(F143="共同",J143/2,IF(F143="A 個人",J143,0)))</f>
      </c>
      <c r="L143" s="1256" t="str">
        <f>IF(J143="","",IF(F143="共同",J143/2,IF(F143="B 個人",J143,0)))</f>
      </c>
      <c r="M143" s="1254"/>
    </row>
    <row r="144" ht="30" customHeight="1">
      <c r="A144" s="1253"/>
      <c r="B144" s="1254"/>
      <c r="C144" s="1254"/>
      <c r="D144" s="1254"/>
      <c r="E144" s="1254"/>
      <c r="F144" s="1254"/>
      <c r="G144" s="1254"/>
      <c r="H144" s="1255"/>
      <c r="I144" s="1256" t="str">
        <f>IF(G144="","",IF(G144="HKD",1,IF(G144="PLN",'兩人旅費'!$H$4,IF(G144="TRY",'兩人旅費'!$J$4,IF(G144="EUR",'兩人旅費'!$L$4,IF(G144="USD",'兩人旅費'!$F$4,""))))))</f>
      </c>
      <c r="J144" s="1256" t="str">
        <f>IF(OR(A144="",E144="",F144="",H144="",I144=""),"",ROUND(H144*I144,2))</f>
      </c>
      <c r="K144" s="1256" t="str">
        <f>IF(J144="","",IF(F144="共同",J144/2,IF(F144="A 個人",J144,0)))</f>
      </c>
      <c r="L144" s="1256" t="str">
        <f>IF(J144="","",IF(F144="共同",J144/2,IF(F144="B 個人",J144,0)))</f>
      </c>
      <c r="M144" s="1254"/>
    </row>
    <row r="145" ht="30" customHeight="1">
      <c r="A145" s="1253"/>
      <c r="B145" s="1254"/>
      <c r="C145" s="1254"/>
      <c r="D145" s="1254"/>
      <c r="E145" s="1254"/>
      <c r="F145" s="1254"/>
      <c r="G145" s="1254"/>
      <c r="H145" s="1255"/>
      <c r="I145" s="1256" t="str">
        <f>IF(G145="","",IF(G145="HKD",1,IF(G145="PLN",'兩人旅費'!$H$4,IF(G145="TRY",'兩人旅費'!$J$4,IF(G145="EUR",'兩人旅費'!$L$4,IF(G145="USD",'兩人旅費'!$F$4,""))))))</f>
      </c>
      <c r="J145" s="1256" t="str">
        <f>IF(OR(A145="",E145="",F145="",H145="",I145=""),"",ROUND(H145*I145,2))</f>
      </c>
      <c r="K145" s="1256" t="str">
        <f>IF(J145="","",IF(F145="共同",J145/2,IF(F145="A 個人",J145,0)))</f>
      </c>
      <c r="L145" s="1256" t="str">
        <f>IF(J145="","",IF(F145="共同",J145/2,IF(F145="B 個人",J145,0)))</f>
      </c>
      <c r="M145" s="1254"/>
    </row>
    <row r="146" ht="30" customHeight="1">
      <c r="A146" s="1253"/>
      <c r="B146" s="1254"/>
      <c r="C146" s="1254"/>
      <c r="D146" s="1254"/>
      <c r="E146" s="1254"/>
      <c r="F146" s="1254"/>
      <c r="G146" s="1254"/>
      <c r="H146" s="1255"/>
      <c r="I146" s="1256" t="str">
        <f>IF(G146="","",IF(G146="HKD",1,IF(G146="PLN",'兩人旅費'!$H$4,IF(G146="TRY",'兩人旅費'!$J$4,IF(G146="EUR",'兩人旅費'!$L$4,IF(G146="USD",'兩人旅費'!$F$4,""))))))</f>
      </c>
      <c r="J146" s="1256" t="str">
        <f>IF(OR(A146="",E146="",F146="",H146="",I146=""),"",ROUND(H146*I146,2))</f>
      </c>
      <c r="K146" s="1256" t="str">
        <f>IF(J146="","",IF(F146="共同",J146/2,IF(F146="A 個人",J146,0)))</f>
      </c>
      <c r="L146" s="1256" t="str">
        <f>IF(J146="","",IF(F146="共同",J146/2,IF(F146="B 個人",J146,0)))</f>
      </c>
      <c r="M146" s="1254"/>
    </row>
    <row r="147" ht="30" customHeight="1">
      <c r="A147" s="1253"/>
      <c r="B147" s="1254"/>
      <c r="C147" s="1254"/>
      <c r="D147" s="1254"/>
      <c r="E147" s="1254"/>
      <c r="F147" s="1254"/>
      <c r="G147" s="1254"/>
      <c r="H147" s="1255"/>
      <c r="I147" s="1256" t="str">
        <f>IF(G147="","",IF(G147="HKD",1,IF(G147="PLN",'兩人旅費'!$H$4,IF(G147="TRY",'兩人旅費'!$J$4,IF(G147="EUR",'兩人旅費'!$L$4,IF(G147="USD",'兩人旅費'!$F$4,""))))))</f>
      </c>
      <c r="J147" s="1256" t="str">
        <f>IF(OR(A147="",E147="",F147="",H147="",I147=""),"",ROUND(H147*I147,2))</f>
      </c>
      <c r="K147" s="1256" t="str">
        <f>IF(J147="","",IF(F147="共同",J147/2,IF(F147="A 個人",J147,0)))</f>
      </c>
      <c r="L147" s="1256" t="str">
        <f>IF(J147="","",IF(F147="共同",J147/2,IF(F147="B 個人",J147,0)))</f>
      </c>
      <c r="M147" s="1254"/>
    </row>
    <row r="148" ht="30" customHeight="1">
      <c r="A148" s="1253"/>
      <c r="B148" s="1254"/>
      <c r="C148" s="1254"/>
      <c r="D148" s="1254"/>
      <c r="E148" s="1254"/>
      <c r="F148" s="1254"/>
      <c r="G148" s="1254"/>
      <c r="H148" s="1255"/>
      <c r="I148" s="1256" t="str">
        <f>IF(G148="","",IF(G148="HKD",1,IF(G148="PLN",'兩人旅費'!$H$4,IF(G148="TRY",'兩人旅費'!$J$4,IF(G148="EUR",'兩人旅費'!$L$4,IF(G148="USD",'兩人旅費'!$F$4,""))))))</f>
      </c>
      <c r="J148" s="1256" t="str">
        <f>IF(OR(A148="",E148="",F148="",H148="",I148=""),"",ROUND(H148*I148,2))</f>
      </c>
      <c r="K148" s="1256" t="str">
        <f>IF(J148="","",IF(F148="共同",J148/2,IF(F148="A 個人",J148,0)))</f>
      </c>
      <c r="L148" s="1256" t="str">
        <f>IF(J148="","",IF(F148="共同",J148/2,IF(F148="B 個人",J148,0)))</f>
      </c>
      <c r="M148" s="1254"/>
    </row>
    <row r="149" ht="30" customHeight="1">
      <c r="A149" s="1253"/>
      <c r="B149" s="1254"/>
      <c r="C149" s="1254"/>
      <c r="D149" s="1254"/>
      <c r="E149" s="1254"/>
      <c r="F149" s="1254"/>
      <c r="G149" s="1254"/>
      <c r="H149" s="1255"/>
      <c r="I149" s="1256" t="str">
        <f>IF(G149="","",IF(G149="HKD",1,IF(G149="PLN",'兩人旅費'!$H$4,IF(G149="TRY",'兩人旅費'!$J$4,IF(G149="EUR",'兩人旅費'!$L$4,IF(G149="USD",'兩人旅費'!$F$4,""))))))</f>
      </c>
      <c r="J149" s="1256" t="str">
        <f>IF(OR(A149="",E149="",F149="",H149="",I149=""),"",ROUND(H149*I149,2))</f>
      </c>
      <c r="K149" s="1256" t="str">
        <f>IF(J149="","",IF(F149="共同",J149/2,IF(F149="A 個人",J149,0)))</f>
      </c>
      <c r="L149" s="1256" t="str">
        <f>IF(J149="","",IF(F149="共同",J149/2,IF(F149="B 個人",J149,0)))</f>
      </c>
      <c r="M149" s="1254"/>
    </row>
    <row r="150" ht="30" customHeight="1">
      <c r="A150" s="1253"/>
      <c r="B150" s="1254"/>
      <c r="C150" s="1254"/>
      <c r="D150" s="1254"/>
      <c r="E150" s="1254"/>
      <c r="F150" s="1254"/>
      <c r="G150" s="1254"/>
      <c r="H150" s="1255"/>
      <c r="I150" s="1256" t="str">
        <f>IF(G150="","",IF(G150="HKD",1,IF(G150="PLN",'兩人旅費'!$H$4,IF(G150="TRY",'兩人旅費'!$J$4,IF(G150="EUR",'兩人旅費'!$L$4,IF(G150="USD",'兩人旅費'!$F$4,""))))))</f>
      </c>
      <c r="J150" s="1256" t="str">
        <f>IF(OR(A150="",E150="",F150="",H150="",I150=""),"",ROUND(H150*I150,2))</f>
      </c>
      <c r="K150" s="1256" t="str">
        <f>IF(J150="","",IF(F150="共同",J150/2,IF(F150="A 個人",J150,0)))</f>
      </c>
      <c r="L150" s="1256" t="str">
        <f>IF(J150="","",IF(F150="共同",J150/2,IF(F150="B 個人",J150,0)))</f>
      </c>
      <c r="M150" s="1254"/>
    </row>
    <row r="151" ht="30" customHeight="1">
      <c r="A151" s="1253"/>
      <c r="B151" s="1254"/>
      <c r="C151" s="1254"/>
      <c r="D151" s="1254"/>
      <c r="E151" s="1254"/>
      <c r="F151" s="1254"/>
      <c r="G151" s="1254"/>
      <c r="H151" s="1255"/>
      <c r="I151" s="1256" t="str">
        <f>IF(G151="","",IF(G151="HKD",1,IF(G151="PLN",'兩人旅費'!$H$4,IF(G151="TRY",'兩人旅費'!$J$4,IF(G151="EUR",'兩人旅費'!$L$4,IF(G151="USD",'兩人旅費'!$F$4,""))))))</f>
      </c>
      <c r="J151" s="1256" t="str">
        <f>IF(OR(A151="",E151="",F151="",H151="",I151=""),"",ROUND(H151*I151,2))</f>
      </c>
      <c r="K151" s="1256" t="str">
        <f>IF(J151="","",IF(F151="共同",J151/2,IF(F151="A 個人",J151,0)))</f>
      </c>
      <c r="L151" s="1256" t="str">
        <f>IF(J151="","",IF(F151="共同",J151/2,IF(F151="B 個人",J151,0)))</f>
      </c>
      <c r="M151" s="1254"/>
    </row>
    <row r="152" ht="30" customHeight="1">
      <c r="A152" s="1253"/>
      <c r="B152" s="1254"/>
      <c r="C152" s="1254"/>
      <c r="D152" s="1254"/>
      <c r="E152" s="1254"/>
      <c r="F152" s="1254"/>
      <c r="G152" s="1254"/>
      <c r="H152" s="1255"/>
      <c r="I152" s="1256" t="str">
        <f>IF(G152="","",IF(G152="HKD",1,IF(G152="PLN",'兩人旅費'!$H$4,IF(G152="TRY",'兩人旅費'!$J$4,IF(G152="EUR",'兩人旅費'!$L$4,IF(G152="USD",'兩人旅費'!$F$4,""))))))</f>
      </c>
      <c r="J152" s="1256" t="str">
        <f>IF(OR(A152="",E152="",F152="",H152="",I152=""),"",ROUND(H152*I152,2))</f>
      </c>
      <c r="K152" s="1256" t="str">
        <f>IF(J152="","",IF(F152="共同",J152/2,IF(F152="A 個人",J152,0)))</f>
      </c>
      <c r="L152" s="1256" t="str">
        <f>IF(J152="","",IF(F152="共同",J152/2,IF(F152="B 個人",J152,0)))</f>
      </c>
      <c r="M152" s="1254"/>
    </row>
    <row r="153" ht="30" customHeight="1">
      <c r="A153" s="1253"/>
      <c r="B153" s="1254"/>
      <c r="C153" s="1254"/>
      <c r="D153" s="1254"/>
      <c r="E153" s="1254"/>
      <c r="F153" s="1254"/>
      <c r="G153" s="1254"/>
      <c r="H153" s="1255"/>
      <c r="I153" s="1256" t="str">
        <f>IF(G153="","",IF(G153="HKD",1,IF(G153="PLN",'兩人旅費'!$H$4,IF(G153="TRY",'兩人旅費'!$J$4,IF(G153="EUR",'兩人旅費'!$L$4,IF(G153="USD",'兩人旅費'!$F$4,""))))))</f>
      </c>
      <c r="J153" s="1256" t="str">
        <f>IF(OR(A153="",E153="",F153="",H153="",I153=""),"",ROUND(H153*I153,2))</f>
      </c>
      <c r="K153" s="1256" t="str">
        <f>IF(J153="","",IF(F153="共同",J153/2,IF(F153="A 個人",J153,0)))</f>
      </c>
      <c r="L153" s="1256" t="str">
        <f>IF(J153="","",IF(F153="共同",J153/2,IF(F153="B 個人",J153,0)))</f>
      </c>
      <c r="M153" s="1254"/>
    </row>
    <row r="154" ht="30" customHeight="1">
      <c r="A154" s="1253"/>
      <c r="B154" s="1254"/>
      <c r="C154" s="1254"/>
      <c r="D154" s="1254"/>
      <c r="E154" s="1254"/>
      <c r="F154" s="1254"/>
      <c r="G154" s="1254"/>
      <c r="H154" s="1255"/>
      <c r="I154" s="1256" t="str">
        <f>IF(G154="","",IF(G154="HKD",1,IF(G154="PLN",'兩人旅費'!$H$4,IF(G154="TRY",'兩人旅費'!$J$4,IF(G154="EUR",'兩人旅費'!$L$4,IF(G154="USD",'兩人旅費'!$F$4,""))))))</f>
      </c>
      <c r="J154" s="1256" t="str">
        <f>IF(OR(A154="",E154="",F154="",H154="",I154=""),"",ROUND(H154*I154,2))</f>
      </c>
      <c r="K154" s="1256" t="str">
        <f>IF(J154="","",IF(F154="共同",J154/2,IF(F154="A 個人",J154,0)))</f>
      </c>
      <c r="L154" s="1256" t="str">
        <f>IF(J154="","",IF(F154="共同",J154/2,IF(F154="B 個人",J154,0)))</f>
      </c>
      <c r="M154" s="1254"/>
    </row>
    <row r="155" ht="30" customHeight="1">
      <c r="A155" s="1253"/>
      <c r="B155" s="1254"/>
      <c r="C155" s="1254"/>
      <c r="D155" s="1254"/>
      <c r="E155" s="1254"/>
      <c r="F155" s="1254"/>
      <c r="G155" s="1254"/>
      <c r="H155" s="1255"/>
      <c r="I155" s="1256" t="str">
        <f>IF(G155="","",IF(G155="HKD",1,IF(G155="PLN",'兩人旅費'!$H$4,IF(G155="TRY",'兩人旅費'!$J$4,IF(G155="EUR",'兩人旅費'!$L$4,IF(G155="USD",'兩人旅費'!$F$4,""))))))</f>
      </c>
      <c r="J155" s="1256" t="str">
        <f>IF(OR(A155="",E155="",F155="",H155="",I155=""),"",ROUND(H155*I155,2))</f>
      </c>
      <c r="K155" s="1256" t="str">
        <f>IF(J155="","",IF(F155="共同",J155/2,IF(F155="A 個人",J155,0)))</f>
      </c>
      <c r="L155" s="1256" t="str">
        <f>IF(J155="","",IF(F155="共同",J155/2,IF(F155="B 個人",J155,0)))</f>
      </c>
      <c r="M155" s="1254"/>
    </row>
    <row r="156" ht="30" customHeight="1">
      <c r="A156" s="1253"/>
      <c r="B156" s="1254"/>
      <c r="C156" s="1254"/>
      <c r="D156" s="1254"/>
      <c r="E156" s="1254"/>
      <c r="F156" s="1254"/>
      <c r="G156" s="1254"/>
      <c r="H156" s="1255"/>
      <c r="I156" s="1256" t="str">
        <f>IF(G156="","",IF(G156="HKD",1,IF(G156="PLN",'兩人旅費'!$H$4,IF(G156="TRY",'兩人旅費'!$J$4,IF(G156="EUR",'兩人旅費'!$L$4,IF(G156="USD",'兩人旅費'!$F$4,""))))))</f>
      </c>
      <c r="J156" s="1256" t="str">
        <f>IF(OR(A156="",E156="",F156="",H156="",I156=""),"",ROUND(H156*I156,2))</f>
      </c>
      <c r="K156" s="1256" t="str">
        <f>IF(J156="","",IF(F156="共同",J156/2,IF(F156="A 個人",J156,0)))</f>
      </c>
      <c r="L156" s="1256" t="str">
        <f>IF(J156="","",IF(F156="共同",J156/2,IF(F156="B 個人",J156,0)))</f>
      </c>
      <c r="M156" s="1254"/>
    </row>
    <row r="157" ht="30" customHeight="1">
      <c r="A157" s="1253"/>
      <c r="B157" s="1254"/>
      <c r="C157" s="1254"/>
      <c r="D157" s="1254"/>
      <c r="E157" s="1254"/>
      <c r="F157" s="1254"/>
      <c r="G157" s="1254"/>
      <c r="H157" s="1255"/>
      <c r="I157" s="1256" t="str">
        <f>IF(G157="","",IF(G157="HKD",1,IF(G157="PLN",'兩人旅費'!$H$4,IF(G157="TRY",'兩人旅費'!$J$4,IF(G157="EUR",'兩人旅費'!$L$4,IF(G157="USD",'兩人旅費'!$F$4,""))))))</f>
      </c>
      <c r="J157" s="1256" t="str">
        <f>IF(OR(A157="",E157="",F157="",H157="",I157=""),"",ROUND(H157*I157,2))</f>
      </c>
      <c r="K157" s="1256" t="str">
        <f>IF(J157="","",IF(F157="共同",J157/2,IF(F157="A 個人",J157,0)))</f>
      </c>
      <c r="L157" s="1256" t="str">
        <f>IF(J157="","",IF(F157="共同",J157/2,IF(F157="B 個人",J157,0)))</f>
      </c>
      <c r="M157" s="1254"/>
    </row>
    <row r="158" ht="30" customHeight="1">
      <c r="A158" s="1253"/>
      <c r="B158" s="1254"/>
      <c r="C158" s="1254"/>
      <c r="D158" s="1254"/>
      <c r="E158" s="1254"/>
      <c r="F158" s="1254"/>
      <c r="G158" s="1254"/>
      <c r="H158" s="1255"/>
      <c r="I158" s="1256" t="str">
        <f>IF(G158="","",IF(G158="HKD",1,IF(G158="PLN",'兩人旅費'!$H$4,IF(G158="TRY",'兩人旅費'!$J$4,IF(G158="EUR",'兩人旅費'!$L$4,IF(G158="USD",'兩人旅費'!$F$4,""))))))</f>
      </c>
      <c r="J158" s="1256" t="str">
        <f>IF(OR(A158="",E158="",F158="",H158="",I158=""),"",ROUND(H158*I158,2))</f>
      </c>
      <c r="K158" s="1256" t="str">
        <f>IF(J158="","",IF(F158="共同",J158/2,IF(F158="A 個人",J158,0)))</f>
      </c>
      <c r="L158" s="1256" t="str">
        <f>IF(J158="","",IF(F158="共同",J158/2,IF(F158="B 個人",J158,0)))</f>
      </c>
      <c r="M158" s="1254"/>
    </row>
    <row r="159" ht="30" customHeight="1">
      <c r="A159" s="1253"/>
      <c r="B159" s="1254"/>
      <c r="C159" s="1254"/>
      <c r="D159" s="1254"/>
      <c r="E159" s="1254"/>
      <c r="F159" s="1254"/>
      <c r="G159" s="1254"/>
      <c r="H159" s="1255"/>
      <c r="I159" s="1256" t="str">
        <f>IF(G159="","",IF(G159="HKD",1,IF(G159="PLN",'兩人旅費'!$H$4,IF(G159="TRY",'兩人旅費'!$J$4,IF(G159="EUR",'兩人旅費'!$L$4,IF(G159="USD",'兩人旅費'!$F$4,""))))))</f>
      </c>
      <c r="J159" s="1256" t="str">
        <f>IF(OR(A159="",E159="",F159="",H159="",I159=""),"",ROUND(H159*I159,2))</f>
      </c>
      <c r="K159" s="1256" t="str">
        <f>IF(J159="","",IF(F159="共同",J159/2,IF(F159="A 個人",J159,0)))</f>
      </c>
      <c r="L159" s="1256" t="str">
        <f>IF(J159="","",IF(F159="共同",J159/2,IF(F159="B 個人",J159,0)))</f>
      </c>
      <c r="M159" s="1254"/>
    </row>
    <row r="160" ht="30" customHeight="1">
      <c r="A160" s="1253"/>
      <c r="B160" s="1254"/>
      <c r="C160" s="1254"/>
      <c r="D160" s="1254"/>
      <c r="E160" s="1254"/>
      <c r="F160" s="1254"/>
      <c r="G160" s="1254"/>
      <c r="H160" s="1255"/>
      <c r="I160" s="1256" t="str">
        <f>IF(G160="","",IF(G160="HKD",1,IF(G160="PLN",'兩人旅費'!$H$4,IF(G160="TRY",'兩人旅費'!$J$4,IF(G160="EUR",'兩人旅費'!$L$4,IF(G160="USD",'兩人旅費'!$F$4,""))))))</f>
      </c>
      <c r="J160" s="1256" t="str">
        <f>IF(OR(A160="",E160="",F160="",H160="",I160=""),"",ROUND(H160*I160,2))</f>
      </c>
      <c r="K160" s="1256" t="str">
        <f>IF(J160="","",IF(F160="共同",J160/2,IF(F160="A 個人",J160,0)))</f>
      </c>
      <c r="L160" s="1256" t="str">
        <f>IF(J160="","",IF(F160="共同",J160/2,IF(F160="B 個人",J160,0)))</f>
      </c>
      <c r="M160" s="1254"/>
    </row>
    <row r="161" ht="30" customHeight="1">
      <c r="A161" s="1253"/>
      <c r="B161" s="1254"/>
      <c r="C161" s="1254"/>
      <c r="D161" s="1254"/>
      <c r="E161" s="1254"/>
      <c r="F161" s="1254"/>
      <c r="G161" s="1254"/>
      <c r="H161" s="1255"/>
      <c r="I161" s="1256" t="str">
        <f>IF(G161="","",IF(G161="HKD",1,IF(G161="PLN",'兩人旅費'!$H$4,IF(G161="TRY",'兩人旅費'!$J$4,IF(G161="EUR",'兩人旅費'!$L$4,IF(G161="USD",'兩人旅費'!$F$4,""))))))</f>
      </c>
      <c r="J161" s="1256" t="str">
        <f>IF(OR(A161="",E161="",F161="",H161="",I161=""),"",ROUND(H161*I161,2))</f>
      </c>
      <c r="K161" s="1256" t="str">
        <f>IF(J161="","",IF(F161="共同",J161/2,IF(F161="A 個人",J161,0)))</f>
      </c>
      <c r="L161" s="1256" t="str">
        <f>IF(J161="","",IF(F161="共同",J161/2,IF(F161="B 個人",J161,0)))</f>
      </c>
      <c r="M161" s="1254"/>
    </row>
    <row r="162" ht="30" customHeight="1">
      <c r="A162" s="1253"/>
      <c r="B162" s="1254"/>
      <c r="C162" s="1254"/>
      <c r="D162" s="1254"/>
      <c r="E162" s="1254"/>
      <c r="F162" s="1254"/>
      <c r="G162" s="1254"/>
      <c r="H162" s="1255"/>
      <c r="I162" s="1256" t="str">
        <f>IF(G162="","",IF(G162="HKD",1,IF(G162="PLN",'兩人旅費'!$H$4,IF(G162="TRY",'兩人旅費'!$J$4,IF(G162="EUR",'兩人旅費'!$L$4,IF(G162="USD",'兩人旅費'!$F$4,""))))))</f>
      </c>
      <c r="J162" s="1256" t="str">
        <f>IF(OR(A162="",E162="",F162="",H162="",I162=""),"",ROUND(H162*I162,2))</f>
      </c>
      <c r="K162" s="1256" t="str">
        <f>IF(J162="","",IF(F162="共同",J162/2,IF(F162="A 個人",J162,0)))</f>
      </c>
      <c r="L162" s="1256" t="str">
        <f>IF(J162="","",IF(F162="共同",J162/2,IF(F162="B 個人",J162,0)))</f>
      </c>
      <c r="M162" s="1254"/>
    </row>
    <row r="163" ht="30" customHeight="1">
      <c r="A163" s="1253"/>
      <c r="B163" s="1254"/>
      <c r="C163" s="1254"/>
      <c r="D163" s="1254"/>
      <c r="E163" s="1254"/>
      <c r="F163" s="1254"/>
      <c r="G163" s="1254"/>
      <c r="H163" s="1255"/>
      <c r="I163" s="1256" t="str">
        <f>IF(G163="","",IF(G163="HKD",1,IF(G163="PLN",'兩人旅費'!$H$4,IF(G163="TRY",'兩人旅費'!$J$4,IF(G163="EUR",'兩人旅費'!$L$4,IF(G163="USD",'兩人旅費'!$F$4,""))))))</f>
      </c>
      <c r="J163" s="1256" t="str">
        <f>IF(OR(A163="",E163="",F163="",H163="",I163=""),"",ROUND(H163*I163,2))</f>
      </c>
      <c r="K163" s="1256" t="str">
        <f>IF(J163="","",IF(F163="共同",J163/2,IF(F163="A 個人",J163,0)))</f>
      </c>
      <c r="L163" s="1256" t="str">
        <f>IF(J163="","",IF(F163="共同",J163/2,IF(F163="B 個人",J163,0)))</f>
      </c>
      <c r="M163" s="1254"/>
    </row>
    <row r="164" ht="30" customHeight="1">
      <c r="A164" s="1253"/>
      <c r="B164" s="1254"/>
      <c r="C164" s="1254"/>
      <c r="D164" s="1254"/>
      <c r="E164" s="1254"/>
      <c r="F164" s="1254"/>
      <c r="G164" s="1254"/>
      <c r="H164" s="1255"/>
      <c r="I164" s="1256" t="str">
        <f>IF(G164="","",IF(G164="HKD",1,IF(G164="PLN",'兩人旅費'!$H$4,IF(G164="TRY",'兩人旅費'!$J$4,IF(G164="EUR",'兩人旅費'!$L$4,IF(G164="USD",'兩人旅費'!$F$4,""))))))</f>
      </c>
      <c r="J164" s="1256" t="str">
        <f>IF(OR(A164="",E164="",F164="",H164="",I164=""),"",ROUND(H164*I164,2))</f>
      </c>
      <c r="K164" s="1256" t="str">
        <f>IF(J164="","",IF(F164="共同",J164/2,IF(F164="A 個人",J164,0)))</f>
      </c>
      <c r="L164" s="1256" t="str">
        <f>IF(J164="","",IF(F164="共同",J164/2,IF(F164="B 個人",J164,0)))</f>
      </c>
      <c r="M164" s="1254"/>
    </row>
    <row r="165" ht="30" customHeight="1">
      <c r="A165" s="1253"/>
      <c r="B165" s="1254"/>
      <c r="C165" s="1254"/>
      <c r="D165" s="1254"/>
      <c r="E165" s="1254"/>
      <c r="F165" s="1254"/>
      <c r="G165" s="1254"/>
      <c r="H165" s="1255"/>
      <c r="I165" s="1256" t="str">
        <f>IF(G165="","",IF(G165="HKD",1,IF(G165="PLN",'兩人旅費'!$H$4,IF(G165="TRY",'兩人旅費'!$J$4,IF(G165="EUR",'兩人旅費'!$L$4,IF(G165="USD",'兩人旅費'!$F$4,""))))))</f>
      </c>
      <c r="J165" s="1256" t="str">
        <f>IF(OR(A165="",E165="",F165="",H165="",I165=""),"",ROUND(H165*I165,2))</f>
      </c>
      <c r="K165" s="1256" t="str">
        <f>IF(J165="","",IF(F165="共同",J165/2,IF(F165="A 個人",J165,0)))</f>
      </c>
      <c r="L165" s="1256" t="str">
        <f>IF(J165="","",IF(F165="共同",J165/2,IF(F165="B 個人",J165,0)))</f>
      </c>
      <c r="M165" s="1254"/>
    </row>
    <row r="166" ht="30" customHeight="1">
      <c r="A166" s="1253"/>
      <c r="B166" s="1254"/>
      <c r="C166" s="1254"/>
      <c r="D166" s="1254"/>
      <c r="E166" s="1254"/>
      <c r="F166" s="1254"/>
      <c r="G166" s="1254"/>
      <c r="H166" s="1255"/>
      <c r="I166" s="1256" t="str">
        <f>IF(G166="","",IF(G166="HKD",1,IF(G166="PLN",'兩人旅費'!$H$4,IF(G166="TRY",'兩人旅費'!$J$4,IF(G166="EUR",'兩人旅費'!$L$4,IF(G166="USD",'兩人旅費'!$F$4,""))))))</f>
      </c>
      <c r="J166" s="1256" t="str">
        <f>IF(OR(A166="",E166="",F166="",H166="",I166=""),"",ROUND(H166*I166,2))</f>
      </c>
      <c r="K166" s="1256" t="str">
        <f>IF(J166="","",IF(F166="共同",J166/2,IF(F166="A 個人",J166,0)))</f>
      </c>
      <c r="L166" s="1256" t="str">
        <f>IF(J166="","",IF(F166="共同",J166/2,IF(F166="B 個人",J166,0)))</f>
      </c>
      <c r="M166" s="1254"/>
    </row>
    <row r="167" ht="30" customHeight="1">
      <c r="A167" s="1253"/>
      <c r="B167" s="1254"/>
      <c r="C167" s="1254"/>
      <c r="D167" s="1254"/>
      <c r="E167" s="1254"/>
      <c r="F167" s="1254"/>
      <c r="G167" s="1254"/>
      <c r="H167" s="1255"/>
      <c r="I167" s="1256" t="str">
        <f>IF(G167="","",IF(G167="HKD",1,IF(G167="PLN",'兩人旅費'!$H$4,IF(G167="TRY",'兩人旅費'!$J$4,IF(G167="EUR",'兩人旅費'!$L$4,IF(G167="USD",'兩人旅費'!$F$4,""))))))</f>
      </c>
      <c r="J167" s="1256" t="str">
        <f>IF(OR(A167="",E167="",F167="",H167="",I167=""),"",ROUND(H167*I167,2))</f>
      </c>
      <c r="K167" s="1256" t="str">
        <f>IF(J167="","",IF(F167="共同",J167/2,IF(F167="A 個人",J167,0)))</f>
      </c>
      <c r="L167" s="1256" t="str">
        <f>IF(J167="","",IF(F167="共同",J167/2,IF(F167="B 個人",J167,0)))</f>
      </c>
      <c r="M167" s="1254"/>
    </row>
    <row r="168" ht="30" customHeight="1">
      <c r="A168" s="1253"/>
      <c r="B168" s="1254"/>
      <c r="C168" s="1254"/>
      <c r="D168" s="1254"/>
      <c r="E168" s="1254"/>
      <c r="F168" s="1254"/>
      <c r="G168" s="1254"/>
      <c r="H168" s="1255"/>
      <c r="I168" s="1256" t="str">
        <f>IF(G168="","",IF(G168="HKD",1,IF(G168="PLN",'兩人旅費'!$H$4,IF(G168="TRY",'兩人旅費'!$J$4,IF(G168="EUR",'兩人旅費'!$L$4,IF(G168="USD",'兩人旅費'!$F$4,""))))))</f>
      </c>
      <c r="J168" s="1256" t="str">
        <f>IF(OR(A168="",E168="",F168="",H168="",I168=""),"",ROUND(H168*I168,2))</f>
      </c>
      <c r="K168" s="1256" t="str">
        <f>IF(J168="","",IF(F168="共同",J168/2,IF(F168="A 個人",J168,0)))</f>
      </c>
      <c r="L168" s="1256" t="str">
        <f>IF(J168="","",IF(F168="共同",J168/2,IF(F168="B 個人",J168,0)))</f>
      </c>
      <c r="M168" s="1254"/>
    </row>
    <row r="169" ht="30" customHeight="1">
      <c r="A169" s="1253"/>
      <c r="B169" s="1254"/>
      <c r="C169" s="1254"/>
      <c r="D169" s="1254"/>
      <c r="E169" s="1254"/>
      <c r="F169" s="1254"/>
      <c r="G169" s="1254"/>
      <c r="H169" s="1255"/>
      <c r="I169" s="1256" t="str">
        <f>IF(G169="","",IF(G169="HKD",1,IF(G169="PLN",'兩人旅費'!$H$4,IF(G169="TRY",'兩人旅費'!$J$4,IF(G169="EUR",'兩人旅費'!$L$4,IF(G169="USD",'兩人旅費'!$F$4,""))))))</f>
      </c>
      <c r="J169" s="1256" t="str">
        <f>IF(OR(A169="",E169="",F169="",H169="",I169=""),"",ROUND(H169*I169,2))</f>
      </c>
      <c r="K169" s="1256" t="str">
        <f>IF(J169="","",IF(F169="共同",J169/2,IF(F169="A 個人",J169,0)))</f>
      </c>
      <c r="L169" s="1256" t="str">
        <f>IF(J169="","",IF(F169="共同",J169/2,IF(F169="B 個人",J169,0)))</f>
      </c>
      <c r="M169" s="1254"/>
    </row>
    <row r="170" ht="30" customHeight="1">
      <c r="A170" s="1253"/>
      <c r="B170" s="1254"/>
      <c r="C170" s="1254"/>
      <c r="D170" s="1254"/>
      <c r="E170" s="1254"/>
      <c r="F170" s="1254"/>
      <c r="G170" s="1254"/>
      <c r="H170" s="1255"/>
      <c r="I170" s="1256" t="str">
        <f>IF(G170="","",IF(G170="HKD",1,IF(G170="PLN",'兩人旅費'!$H$4,IF(G170="TRY",'兩人旅費'!$J$4,IF(G170="EUR",'兩人旅費'!$L$4,IF(G170="USD",'兩人旅費'!$F$4,""))))))</f>
      </c>
      <c r="J170" s="1256" t="str">
        <f>IF(OR(A170="",E170="",F170="",H170="",I170=""),"",ROUND(H170*I170,2))</f>
      </c>
      <c r="K170" s="1256" t="str">
        <f>IF(J170="","",IF(F170="共同",J170/2,IF(F170="A 個人",J170,0)))</f>
      </c>
      <c r="L170" s="1256" t="str">
        <f>IF(J170="","",IF(F170="共同",J170/2,IF(F170="B 個人",J170,0)))</f>
      </c>
      <c r="M170" s="1254"/>
    </row>
    <row r="171" ht="30" customHeight="1">
      <c r="A171" s="1253"/>
      <c r="B171" s="1254"/>
      <c r="C171" s="1254"/>
      <c r="D171" s="1254"/>
      <c r="E171" s="1254"/>
      <c r="F171" s="1254"/>
      <c r="G171" s="1254"/>
      <c r="H171" s="1255"/>
      <c r="I171" s="1256" t="str">
        <f>IF(G171="","",IF(G171="HKD",1,IF(G171="PLN",'兩人旅費'!$H$4,IF(G171="TRY",'兩人旅費'!$J$4,IF(G171="EUR",'兩人旅費'!$L$4,IF(G171="USD",'兩人旅費'!$F$4,""))))))</f>
      </c>
      <c r="J171" s="1256" t="str">
        <f>IF(OR(A171="",E171="",F171="",H171="",I171=""),"",ROUND(H171*I171,2))</f>
      </c>
      <c r="K171" s="1256" t="str">
        <f>IF(J171="","",IF(F171="共同",J171/2,IF(F171="A 個人",J171,0)))</f>
      </c>
      <c r="L171" s="1256" t="str">
        <f>IF(J171="","",IF(F171="共同",J171/2,IF(F171="B 個人",J171,0)))</f>
      </c>
      <c r="M171" s="1254"/>
    </row>
    <row r="172" ht="30" customHeight="1">
      <c r="A172" s="1253"/>
      <c r="B172" s="1254"/>
      <c r="C172" s="1254"/>
      <c r="D172" s="1254"/>
      <c r="E172" s="1254"/>
      <c r="F172" s="1254"/>
      <c r="G172" s="1254"/>
      <c r="H172" s="1255"/>
      <c r="I172" s="1256" t="str">
        <f>IF(G172="","",IF(G172="HKD",1,IF(G172="PLN",'兩人旅費'!$H$4,IF(G172="TRY",'兩人旅費'!$J$4,IF(G172="EUR",'兩人旅費'!$L$4,IF(G172="USD",'兩人旅費'!$F$4,""))))))</f>
      </c>
      <c r="J172" s="1256" t="str">
        <f>IF(OR(A172="",E172="",F172="",H172="",I172=""),"",ROUND(H172*I172,2))</f>
      </c>
      <c r="K172" s="1256" t="str">
        <f>IF(J172="","",IF(F172="共同",J172/2,IF(F172="A 個人",J172,0)))</f>
      </c>
      <c r="L172" s="1256" t="str">
        <f>IF(J172="","",IF(F172="共同",J172/2,IF(F172="B 個人",J172,0)))</f>
      </c>
      <c r="M172" s="1254"/>
    </row>
    <row r="173" ht="30" customHeight="1">
      <c r="A173" s="1253"/>
      <c r="B173" s="1254"/>
      <c r="C173" s="1254"/>
      <c r="D173" s="1254"/>
      <c r="E173" s="1254"/>
      <c r="F173" s="1254"/>
      <c r="G173" s="1254"/>
      <c r="H173" s="1255"/>
      <c r="I173" s="1256" t="str">
        <f>IF(G173="","",IF(G173="HKD",1,IF(G173="PLN",'兩人旅費'!$H$4,IF(G173="TRY",'兩人旅費'!$J$4,IF(G173="EUR",'兩人旅費'!$L$4,IF(G173="USD",'兩人旅費'!$F$4,""))))))</f>
      </c>
      <c r="J173" s="1256" t="str">
        <f>IF(OR(A173="",E173="",F173="",H173="",I173=""),"",ROUND(H173*I173,2))</f>
      </c>
      <c r="K173" s="1256" t="str">
        <f>IF(J173="","",IF(F173="共同",J173/2,IF(F173="A 個人",J173,0)))</f>
      </c>
      <c r="L173" s="1256" t="str">
        <f>IF(J173="","",IF(F173="共同",J173/2,IF(F173="B 個人",J173,0)))</f>
      </c>
      <c r="M173" s="1254"/>
    </row>
    <row r="174" ht="30" customHeight="1">
      <c r="A174" s="1253"/>
      <c r="B174" s="1254"/>
      <c r="C174" s="1254"/>
      <c r="D174" s="1254"/>
      <c r="E174" s="1254"/>
      <c r="F174" s="1254"/>
      <c r="G174" s="1254"/>
      <c r="H174" s="1255"/>
      <c r="I174" s="1256" t="str">
        <f>IF(G174="","",IF(G174="HKD",1,IF(G174="PLN",'兩人旅費'!$H$4,IF(G174="TRY",'兩人旅費'!$J$4,IF(G174="EUR",'兩人旅費'!$L$4,IF(G174="USD",'兩人旅費'!$F$4,""))))))</f>
      </c>
      <c r="J174" s="1256" t="str">
        <f>IF(OR(A174="",E174="",F174="",H174="",I174=""),"",ROUND(H174*I174,2))</f>
      </c>
      <c r="K174" s="1256" t="str">
        <f>IF(J174="","",IF(F174="共同",J174/2,IF(F174="A 個人",J174,0)))</f>
      </c>
      <c r="L174" s="1256" t="str">
        <f>IF(J174="","",IF(F174="共同",J174/2,IF(F174="B 個人",J174,0)))</f>
      </c>
      <c r="M174" s="1254"/>
    </row>
    <row r="175" ht="30" customHeight="1">
      <c r="A175" s="1253"/>
      <c r="B175" s="1254"/>
      <c r="C175" s="1254"/>
      <c r="D175" s="1254"/>
      <c r="E175" s="1254"/>
      <c r="F175" s="1254"/>
      <c r="G175" s="1254"/>
      <c r="H175" s="1255"/>
      <c r="I175" s="1256" t="str">
        <f>IF(G175="","",IF(G175="HKD",1,IF(G175="PLN",'兩人旅費'!$H$4,IF(G175="TRY",'兩人旅費'!$J$4,IF(G175="EUR",'兩人旅費'!$L$4,IF(G175="USD",'兩人旅費'!$F$4,""))))))</f>
      </c>
      <c r="J175" s="1256" t="str">
        <f>IF(OR(A175="",E175="",F175="",H175="",I175=""),"",ROUND(H175*I175,2))</f>
      </c>
      <c r="K175" s="1256" t="str">
        <f>IF(J175="","",IF(F175="共同",J175/2,IF(F175="A 個人",J175,0)))</f>
      </c>
      <c r="L175" s="1256" t="str">
        <f>IF(J175="","",IF(F175="共同",J175/2,IF(F175="B 個人",J175,0)))</f>
      </c>
      <c r="M175" s="1254"/>
    </row>
    <row r="176" ht="30" customHeight="1">
      <c r="A176" s="1253"/>
      <c r="B176" s="1254"/>
      <c r="C176" s="1254"/>
      <c r="D176" s="1254"/>
      <c r="E176" s="1254"/>
      <c r="F176" s="1254"/>
      <c r="G176" s="1254"/>
      <c r="H176" s="1255"/>
      <c r="I176" s="1256" t="str">
        <f>IF(G176="","",IF(G176="HKD",1,IF(G176="PLN",'兩人旅費'!$H$4,IF(G176="TRY",'兩人旅費'!$J$4,IF(G176="EUR",'兩人旅費'!$L$4,IF(G176="USD",'兩人旅費'!$F$4,""))))))</f>
      </c>
      <c r="J176" s="1256" t="str">
        <f>IF(OR(A176="",E176="",F176="",H176="",I176=""),"",ROUND(H176*I176,2))</f>
      </c>
      <c r="K176" s="1256" t="str">
        <f>IF(J176="","",IF(F176="共同",J176/2,IF(F176="A 個人",J176,0)))</f>
      </c>
      <c r="L176" s="1256" t="str">
        <f>IF(J176="","",IF(F176="共同",J176/2,IF(F176="B 個人",J176,0)))</f>
      </c>
      <c r="M176" s="1254"/>
    </row>
    <row r="177" ht="30" customHeight="1">
      <c r="A177" s="1253"/>
      <c r="B177" s="1254"/>
      <c r="C177" s="1254"/>
      <c r="D177" s="1254"/>
      <c r="E177" s="1254"/>
      <c r="F177" s="1254"/>
      <c r="G177" s="1254"/>
      <c r="H177" s="1255"/>
      <c r="I177" s="1256" t="str">
        <f>IF(G177="","",IF(G177="HKD",1,IF(G177="PLN",'兩人旅費'!$H$4,IF(G177="TRY",'兩人旅費'!$J$4,IF(G177="EUR",'兩人旅費'!$L$4,IF(G177="USD",'兩人旅費'!$F$4,""))))))</f>
      </c>
      <c r="J177" s="1256" t="str">
        <f>IF(OR(A177="",E177="",F177="",H177="",I177=""),"",ROUND(H177*I177,2))</f>
      </c>
      <c r="K177" s="1256" t="str">
        <f>IF(J177="","",IF(F177="共同",J177/2,IF(F177="A 個人",J177,0)))</f>
      </c>
      <c r="L177" s="1256" t="str">
        <f>IF(J177="","",IF(F177="共同",J177/2,IF(F177="B 個人",J177,0)))</f>
      </c>
      <c r="M177" s="1254"/>
    </row>
    <row r="178" ht="30" customHeight="1">
      <c r="A178" s="1253"/>
      <c r="B178" s="1254"/>
      <c r="C178" s="1254"/>
      <c r="D178" s="1254"/>
      <c r="E178" s="1254"/>
      <c r="F178" s="1254"/>
      <c r="G178" s="1254"/>
      <c r="H178" s="1255"/>
      <c r="I178" s="1256" t="str">
        <f>IF(G178="","",IF(G178="HKD",1,IF(G178="PLN",'兩人旅費'!$H$4,IF(G178="TRY",'兩人旅費'!$J$4,IF(G178="EUR",'兩人旅費'!$L$4,IF(G178="USD",'兩人旅費'!$F$4,""))))))</f>
      </c>
      <c r="J178" s="1256" t="str">
        <f>IF(OR(A178="",E178="",F178="",H178="",I178=""),"",ROUND(H178*I178,2))</f>
      </c>
      <c r="K178" s="1256" t="str">
        <f>IF(J178="","",IF(F178="共同",J178/2,IF(F178="A 個人",J178,0)))</f>
      </c>
      <c r="L178" s="1256" t="str">
        <f>IF(J178="","",IF(F178="共同",J178/2,IF(F178="B 個人",J178,0)))</f>
      </c>
      <c r="M178" s="1254"/>
    </row>
    <row r="179" ht="30" customHeight="1">
      <c r="A179" s="1253"/>
      <c r="B179" s="1254"/>
      <c r="C179" s="1254"/>
      <c r="D179" s="1254"/>
      <c r="E179" s="1254"/>
      <c r="F179" s="1254"/>
      <c r="G179" s="1254"/>
      <c r="H179" s="1255"/>
      <c r="I179" s="1256" t="str">
        <f>IF(G179="","",IF(G179="HKD",1,IF(G179="PLN",'兩人旅費'!$H$4,IF(G179="TRY",'兩人旅費'!$J$4,IF(G179="EUR",'兩人旅費'!$L$4,IF(G179="USD",'兩人旅費'!$F$4,""))))))</f>
      </c>
      <c r="J179" s="1256" t="str">
        <f>IF(OR(A179="",E179="",F179="",H179="",I179=""),"",ROUND(H179*I179,2))</f>
      </c>
      <c r="K179" s="1256" t="str">
        <f>IF(J179="","",IF(F179="共同",J179/2,IF(F179="A 個人",J179,0)))</f>
      </c>
      <c r="L179" s="1256" t="str">
        <f>IF(J179="","",IF(F179="共同",J179/2,IF(F179="B 個人",J179,0)))</f>
      </c>
      <c r="M179" s="1254"/>
    </row>
    <row r="180" ht="30" customHeight="1">
      <c r="A180" s="1253"/>
      <c r="B180" s="1254"/>
      <c r="C180" s="1254"/>
      <c r="D180" s="1254"/>
      <c r="E180" s="1254"/>
      <c r="F180" s="1254"/>
      <c r="G180" s="1254"/>
      <c r="H180" s="1255"/>
      <c r="I180" s="1256" t="str">
        <f>IF(G180="","",IF(G180="HKD",1,IF(G180="PLN",'兩人旅費'!$H$4,IF(G180="TRY",'兩人旅費'!$J$4,IF(G180="EUR",'兩人旅費'!$L$4,IF(G180="USD",'兩人旅費'!$F$4,""))))))</f>
      </c>
      <c r="J180" s="1256" t="str">
        <f>IF(OR(A180="",E180="",F180="",H180="",I180=""),"",ROUND(H180*I180,2))</f>
      </c>
      <c r="K180" s="1256" t="str">
        <f>IF(J180="","",IF(F180="共同",J180/2,IF(F180="A 個人",J180,0)))</f>
      </c>
      <c r="L180" s="1256" t="str">
        <f>IF(J180="","",IF(F180="共同",J180/2,IF(F180="B 個人",J180,0)))</f>
      </c>
      <c r="M180" s="1254"/>
    </row>
    <row r="181" ht="30" customHeight="1">
      <c r="A181" s="1253"/>
      <c r="B181" s="1254"/>
      <c r="C181" s="1254"/>
      <c r="D181" s="1254"/>
      <c r="E181" s="1254"/>
      <c r="F181" s="1254"/>
      <c r="G181" s="1254"/>
      <c r="H181" s="1255"/>
      <c r="I181" s="1256" t="str">
        <f>IF(G181="","",IF(G181="HKD",1,IF(G181="PLN",'兩人旅費'!$H$4,IF(G181="TRY",'兩人旅費'!$J$4,IF(G181="EUR",'兩人旅費'!$L$4,IF(G181="USD",'兩人旅費'!$F$4,""))))))</f>
      </c>
      <c r="J181" s="1256" t="str">
        <f>IF(OR(A181="",E181="",F181="",H181="",I181=""),"",ROUND(H181*I181,2))</f>
      </c>
      <c r="K181" s="1256" t="str">
        <f>IF(J181="","",IF(F181="共同",J181/2,IF(F181="A 個人",J181,0)))</f>
      </c>
      <c r="L181" s="1256" t="str">
        <f>IF(J181="","",IF(F181="共同",J181/2,IF(F181="B 個人",J181,0)))</f>
      </c>
      <c r="M181" s="1254"/>
    </row>
    <row r="182" ht="30" customHeight="1">
      <c r="A182" s="1253"/>
      <c r="B182" s="1254"/>
      <c r="C182" s="1254"/>
      <c r="D182" s="1254"/>
      <c r="E182" s="1254"/>
      <c r="F182" s="1254"/>
      <c r="G182" s="1254"/>
      <c r="H182" s="1255"/>
      <c r="I182" s="1256" t="str">
        <f>IF(G182="","",IF(G182="HKD",1,IF(G182="PLN",'兩人旅費'!$H$4,IF(G182="TRY",'兩人旅費'!$J$4,IF(G182="EUR",'兩人旅費'!$L$4,IF(G182="USD",'兩人旅費'!$F$4,""))))))</f>
      </c>
      <c r="J182" s="1256" t="str">
        <f>IF(OR(A182="",E182="",F182="",H182="",I182=""),"",ROUND(H182*I182,2))</f>
      </c>
      <c r="K182" s="1256" t="str">
        <f>IF(J182="","",IF(F182="共同",J182/2,IF(F182="A 個人",J182,0)))</f>
      </c>
      <c r="L182" s="1256" t="str">
        <f>IF(J182="","",IF(F182="共同",J182/2,IF(F182="B 個人",J182,0)))</f>
      </c>
      <c r="M182" s="1254"/>
    </row>
    <row r="183" ht="30" customHeight="1">
      <c r="A183" s="1253"/>
      <c r="B183" s="1254"/>
      <c r="C183" s="1254"/>
      <c r="D183" s="1254"/>
      <c r="E183" s="1254"/>
      <c r="F183" s="1254"/>
      <c r="G183" s="1254"/>
      <c r="H183" s="1255"/>
      <c r="I183" s="1256" t="str">
        <f>IF(G183="","",IF(G183="HKD",1,IF(G183="PLN",'兩人旅費'!$H$4,IF(G183="TRY",'兩人旅費'!$J$4,IF(G183="EUR",'兩人旅費'!$L$4,IF(G183="USD",'兩人旅費'!$F$4,""))))))</f>
      </c>
      <c r="J183" s="1256" t="str">
        <f>IF(OR(A183="",E183="",F183="",H183="",I183=""),"",ROUND(H183*I183,2))</f>
      </c>
      <c r="K183" s="1256" t="str">
        <f>IF(J183="","",IF(F183="共同",J183/2,IF(F183="A 個人",J183,0)))</f>
      </c>
      <c r="L183" s="1256" t="str">
        <f>IF(J183="","",IF(F183="共同",J183/2,IF(F183="B 個人",J183,0)))</f>
      </c>
      <c r="M183" s="1254"/>
    </row>
    <row r="184" ht="30" customHeight="1">
      <c r="A184" s="1253"/>
      <c r="B184" s="1254"/>
      <c r="C184" s="1254"/>
      <c r="D184" s="1254"/>
      <c r="E184" s="1254"/>
      <c r="F184" s="1254"/>
      <c r="G184" s="1254"/>
      <c r="H184" s="1255"/>
      <c r="I184" s="1256" t="str">
        <f>IF(G184="","",IF(G184="HKD",1,IF(G184="PLN",'兩人旅費'!$H$4,IF(G184="TRY",'兩人旅費'!$J$4,IF(G184="EUR",'兩人旅費'!$L$4,IF(G184="USD",'兩人旅費'!$F$4,""))))))</f>
      </c>
      <c r="J184" s="1256" t="str">
        <f>IF(OR(A184="",E184="",F184="",H184="",I184=""),"",ROUND(H184*I184,2))</f>
      </c>
      <c r="K184" s="1256" t="str">
        <f>IF(J184="","",IF(F184="共同",J184/2,IF(F184="A 個人",J184,0)))</f>
      </c>
      <c r="L184" s="1256" t="str">
        <f>IF(J184="","",IF(F184="共同",J184/2,IF(F184="B 個人",J184,0)))</f>
      </c>
      <c r="M184" s="1254"/>
    </row>
    <row r="185" ht="30" customHeight="1">
      <c r="A185" s="1253"/>
      <c r="B185" s="1254"/>
      <c r="C185" s="1254"/>
      <c r="D185" s="1254"/>
      <c r="E185" s="1254"/>
      <c r="F185" s="1254"/>
      <c r="G185" s="1254"/>
      <c r="H185" s="1255"/>
      <c r="I185" s="1256" t="str">
        <f>IF(G185="","",IF(G185="HKD",1,IF(G185="PLN",'兩人旅費'!$H$4,IF(G185="TRY",'兩人旅費'!$J$4,IF(G185="EUR",'兩人旅費'!$L$4,IF(G185="USD",'兩人旅費'!$F$4,""))))))</f>
      </c>
      <c r="J185" s="1256" t="str">
        <f>IF(OR(A185="",E185="",F185="",H185="",I185=""),"",ROUND(H185*I185,2))</f>
      </c>
      <c r="K185" s="1256" t="str">
        <f>IF(J185="","",IF(F185="共同",J185/2,IF(F185="A 個人",J185,0)))</f>
      </c>
      <c r="L185" s="1256" t="str">
        <f>IF(J185="","",IF(F185="共同",J185/2,IF(F185="B 個人",J185,0)))</f>
      </c>
      <c r="M185" s="1254"/>
    </row>
    <row r="186" ht="30" customHeight="1">
      <c r="A186" s="1253"/>
      <c r="B186" s="1254"/>
      <c r="C186" s="1254"/>
      <c r="D186" s="1254"/>
      <c r="E186" s="1254"/>
      <c r="F186" s="1254"/>
      <c r="G186" s="1254"/>
      <c r="H186" s="1255"/>
      <c r="I186" s="1256" t="str">
        <f>IF(G186="","",IF(G186="HKD",1,IF(G186="PLN",'兩人旅費'!$H$4,IF(G186="TRY",'兩人旅費'!$J$4,IF(G186="EUR",'兩人旅費'!$L$4,IF(G186="USD",'兩人旅費'!$F$4,""))))))</f>
      </c>
      <c r="J186" s="1256" t="str">
        <f>IF(OR(A186="",E186="",F186="",H186="",I186=""),"",ROUND(H186*I186,2))</f>
      </c>
      <c r="K186" s="1256" t="str">
        <f>IF(J186="","",IF(F186="共同",J186/2,IF(F186="A 個人",J186,0)))</f>
      </c>
      <c r="L186" s="1256" t="str">
        <f>IF(J186="","",IF(F186="共同",J186/2,IF(F186="B 個人",J186,0)))</f>
      </c>
      <c r="M186" s="1254"/>
    </row>
    <row r="187" ht="30" customHeight="1">
      <c r="A187" s="1253"/>
      <c r="B187" s="1254"/>
      <c r="C187" s="1254"/>
      <c r="D187" s="1254"/>
      <c r="E187" s="1254"/>
      <c r="F187" s="1254"/>
      <c r="G187" s="1254"/>
      <c r="H187" s="1255"/>
      <c r="I187" s="1256" t="str">
        <f>IF(G187="","",IF(G187="HKD",1,IF(G187="PLN",'兩人旅費'!$H$4,IF(G187="TRY",'兩人旅費'!$J$4,IF(G187="EUR",'兩人旅費'!$L$4,IF(G187="USD",'兩人旅費'!$F$4,""))))))</f>
      </c>
      <c r="J187" s="1256" t="str">
        <f>IF(OR(A187="",E187="",F187="",H187="",I187=""),"",ROUND(H187*I187,2))</f>
      </c>
      <c r="K187" s="1256" t="str">
        <f>IF(J187="","",IF(F187="共同",J187/2,IF(F187="A 個人",J187,0)))</f>
      </c>
      <c r="L187" s="1256" t="str">
        <f>IF(J187="","",IF(F187="共同",J187/2,IF(F187="B 個人",J187,0)))</f>
      </c>
      <c r="M187" s="1254"/>
    </row>
    <row r="188" ht="30" customHeight="1">
      <c r="A188" s="1253"/>
      <c r="B188" s="1254"/>
      <c r="C188" s="1254"/>
      <c r="D188" s="1254"/>
      <c r="E188" s="1254"/>
      <c r="F188" s="1254"/>
      <c r="G188" s="1254"/>
      <c r="H188" s="1255"/>
      <c r="I188" s="1256" t="str">
        <f>IF(G188="","",IF(G188="HKD",1,IF(G188="PLN",'兩人旅費'!$H$4,IF(G188="TRY",'兩人旅費'!$J$4,IF(G188="EUR",'兩人旅費'!$L$4,IF(G188="USD",'兩人旅費'!$F$4,""))))))</f>
      </c>
      <c r="J188" s="1256" t="str">
        <f>IF(OR(A188="",E188="",F188="",H188="",I188=""),"",ROUND(H188*I188,2))</f>
      </c>
      <c r="K188" s="1256" t="str">
        <f>IF(J188="","",IF(F188="共同",J188/2,IF(F188="A 個人",J188,0)))</f>
      </c>
      <c r="L188" s="1256" t="str">
        <f>IF(J188="","",IF(F188="共同",J188/2,IF(F188="B 個人",J188,0)))</f>
      </c>
      <c r="M188" s="1254"/>
    </row>
    <row r="189" ht="30" customHeight="1">
      <c r="A189" s="1253"/>
      <c r="B189" s="1254"/>
      <c r="C189" s="1254"/>
      <c r="D189" s="1254"/>
      <c r="E189" s="1254"/>
      <c r="F189" s="1254"/>
      <c r="G189" s="1254"/>
      <c r="H189" s="1255"/>
      <c r="I189" s="1256" t="str">
        <f>IF(G189="","",IF(G189="HKD",1,IF(G189="PLN",'兩人旅費'!$H$4,IF(G189="TRY",'兩人旅費'!$J$4,IF(G189="EUR",'兩人旅費'!$L$4,IF(G189="USD",'兩人旅費'!$F$4,""))))))</f>
      </c>
      <c r="J189" s="1256" t="str">
        <f>IF(OR(A189="",E189="",F189="",H189="",I189=""),"",ROUND(H189*I189,2))</f>
      </c>
      <c r="K189" s="1256" t="str">
        <f>IF(J189="","",IF(F189="共同",J189/2,IF(F189="A 個人",J189,0)))</f>
      </c>
      <c r="L189" s="1256" t="str">
        <f>IF(J189="","",IF(F189="共同",J189/2,IF(F189="B 個人",J189,0)))</f>
      </c>
      <c r="M189" s="1254"/>
    </row>
    <row r="190" ht="30" customHeight="1">
      <c r="A190" s="1253"/>
      <c r="B190" s="1254"/>
      <c r="C190" s="1254"/>
      <c r="D190" s="1254"/>
      <c r="E190" s="1254"/>
      <c r="F190" s="1254"/>
      <c r="G190" s="1254"/>
      <c r="H190" s="1255"/>
      <c r="I190" s="1256" t="str">
        <f>IF(G190="","",IF(G190="HKD",1,IF(G190="PLN",'兩人旅費'!$H$4,IF(G190="TRY",'兩人旅費'!$J$4,IF(G190="EUR",'兩人旅費'!$L$4,IF(G190="USD",'兩人旅費'!$F$4,""))))))</f>
      </c>
      <c r="J190" s="1256" t="str">
        <f>IF(OR(A190="",E190="",F190="",H190="",I190=""),"",ROUND(H190*I190,2))</f>
      </c>
      <c r="K190" s="1256" t="str">
        <f>IF(J190="","",IF(F190="共同",J190/2,IF(F190="A 個人",J190,0)))</f>
      </c>
      <c r="L190" s="1256" t="str">
        <f>IF(J190="","",IF(F190="共同",J190/2,IF(F190="B 個人",J190,0)))</f>
      </c>
      <c r="M190" s="1254"/>
    </row>
    <row r="191" ht="30" customHeight="1">
      <c r="A191" s="1253"/>
      <c r="B191" s="1254"/>
      <c r="C191" s="1254"/>
      <c r="D191" s="1254"/>
      <c r="E191" s="1254"/>
      <c r="F191" s="1254"/>
      <c r="G191" s="1254"/>
      <c r="H191" s="1255"/>
      <c r="I191" s="1256" t="str">
        <f>IF(G191="","",IF(G191="HKD",1,IF(G191="PLN",'兩人旅費'!$H$4,IF(G191="TRY",'兩人旅費'!$J$4,IF(G191="EUR",'兩人旅費'!$L$4,IF(G191="USD",'兩人旅費'!$F$4,""))))))</f>
      </c>
      <c r="J191" s="1256" t="str">
        <f>IF(OR(A191="",E191="",F191="",H191="",I191=""),"",ROUND(H191*I191,2))</f>
      </c>
      <c r="K191" s="1256" t="str">
        <f>IF(J191="","",IF(F191="共同",J191/2,IF(F191="A 個人",J191,0)))</f>
      </c>
      <c r="L191" s="1256" t="str">
        <f>IF(J191="","",IF(F191="共同",J191/2,IF(F191="B 個人",J191,0)))</f>
      </c>
      <c r="M191" s="1254"/>
    </row>
    <row r="192" ht="30" customHeight="1">
      <c r="A192" s="1253"/>
      <c r="B192" s="1254"/>
      <c r="C192" s="1254"/>
      <c r="D192" s="1254"/>
      <c r="E192" s="1254"/>
      <c r="F192" s="1254"/>
      <c r="G192" s="1254"/>
      <c r="H192" s="1255"/>
      <c r="I192" s="1256" t="str">
        <f>IF(G192="","",IF(G192="HKD",1,IF(G192="PLN",'兩人旅費'!$H$4,IF(G192="TRY",'兩人旅費'!$J$4,IF(G192="EUR",'兩人旅費'!$L$4,IF(G192="USD",'兩人旅費'!$F$4,""))))))</f>
      </c>
      <c r="J192" s="1256" t="str">
        <f>IF(OR(A192="",E192="",F192="",H192="",I192=""),"",ROUND(H192*I192,2))</f>
      </c>
      <c r="K192" s="1256" t="str">
        <f>IF(J192="","",IF(F192="共同",J192/2,IF(F192="A 個人",J192,0)))</f>
      </c>
      <c r="L192" s="1256" t="str">
        <f>IF(J192="","",IF(F192="共同",J192/2,IF(F192="B 個人",J192,0)))</f>
      </c>
      <c r="M192" s="1254"/>
    </row>
    <row r="193" ht="30" customHeight="1">
      <c r="A193" s="1253"/>
      <c r="B193" s="1254"/>
      <c r="C193" s="1254"/>
      <c r="D193" s="1254"/>
      <c r="E193" s="1254"/>
      <c r="F193" s="1254"/>
      <c r="G193" s="1254"/>
      <c r="H193" s="1255"/>
      <c r="I193" s="1256" t="str">
        <f>IF(G193="","",IF(G193="HKD",1,IF(G193="PLN",'兩人旅費'!$H$4,IF(G193="TRY",'兩人旅費'!$J$4,IF(G193="EUR",'兩人旅費'!$L$4,IF(G193="USD",'兩人旅費'!$F$4,""))))))</f>
      </c>
      <c r="J193" s="1256" t="str">
        <f>IF(OR(A193="",E193="",F193="",H193="",I193=""),"",ROUND(H193*I193,2))</f>
      </c>
      <c r="K193" s="1256" t="str">
        <f>IF(J193="","",IF(F193="共同",J193/2,IF(F193="A 個人",J193,0)))</f>
      </c>
      <c r="L193" s="1256" t="str">
        <f>IF(J193="","",IF(F193="共同",J193/2,IF(F193="B 個人",J193,0)))</f>
      </c>
      <c r="M193" s="1254"/>
    </row>
    <row r="194" ht="30" customHeight="1">
      <c r="A194" s="1253"/>
      <c r="B194" s="1254"/>
      <c r="C194" s="1254"/>
      <c r="D194" s="1254"/>
      <c r="E194" s="1254"/>
      <c r="F194" s="1254"/>
      <c r="G194" s="1254"/>
      <c r="H194" s="1255"/>
      <c r="I194" s="1256" t="str">
        <f>IF(G194="","",IF(G194="HKD",1,IF(G194="PLN",'兩人旅費'!$H$4,IF(G194="TRY",'兩人旅費'!$J$4,IF(G194="EUR",'兩人旅費'!$L$4,IF(G194="USD",'兩人旅費'!$F$4,""))))))</f>
      </c>
      <c r="J194" s="1256" t="str">
        <f>IF(OR(A194="",E194="",F194="",H194="",I194=""),"",ROUND(H194*I194,2))</f>
      </c>
      <c r="K194" s="1256" t="str">
        <f>IF(J194="","",IF(F194="共同",J194/2,IF(F194="A 個人",J194,0)))</f>
      </c>
      <c r="L194" s="1256" t="str">
        <f>IF(J194="","",IF(F194="共同",J194/2,IF(F194="B 個人",J194,0)))</f>
      </c>
      <c r="M194" s="1254"/>
    </row>
    <row r="195" ht="30" customHeight="1">
      <c r="A195" s="1253"/>
      <c r="B195" s="1254"/>
      <c r="C195" s="1254"/>
      <c r="D195" s="1254"/>
      <c r="E195" s="1254"/>
      <c r="F195" s="1254"/>
      <c r="G195" s="1254"/>
      <c r="H195" s="1255"/>
      <c r="I195" s="1256" t="str">
        <f>IF(G195="","",IF(G195="HKD",1,IF(G195="PLN",'兩人旅費'!$H$4,IF(G195="TRY",'兩人旅費'!$J$4,IF(G195="EUR",'兩人旅費'!$L$4,IF(G195="USD",'兩人旅費'!$F$4,""))))))</f>
      </c>
      <c r="J195" s="1256" t="str">
        <f>IF(OR(A195="",E195="",F195="",H195="",I195=""),"",ROUND(H195*I195,2))</f>
      </c>
      <c r="K195" s="1256" t="str">
        <f>IF(J195="","",IF(F195="共同",J195/2,IF(F195="A 個人",J195,0)))</f>
      </c>
      <c r="L195" s="1256" t="str">
        <f>IF(J195="","",IF(F195="共同",J195/2,IF(F195="B 個人",J195,0)))</f>
      </c>
      <c r="M195" s="1254"/>
    </row>
    <row r="196" ht="30" customHeight="1">
      <c r="A196" s="1253"/>
      <c r="B196" s="1254"/>
      <c r="C196" s="1254"/>
      <c r="D196" s="1254"/>
      <c r="E196" s="1254"/>
      <c r="F196" s="1254"/>
      <c r="G196" s="1254"/>
      <c r="H196" s="1255"/>
      <c r="I196" s="1256" t="str">
        <f>IF(G196="","",IF(G196="HKD",1,IF(G196="PLN",'兩人旅費'!$H$4,IF(G196="TRY",'兩人旅費'!$J$4,IF(G196="EUR",'兩人旅費'!$L$4,IF(G196="USD",'兩人旅費'!$F$4,""))))))</f>
      </c>
      <c r="J196" s="1256" t="str">
        <f>IF(OR(A196="",E196="",F196="",H196="",I196=""),"",ROUND(H196*I196,2))</f>
      </c>
      <c r="K196" s="1256" t="str">
        <f>IF(J196="","",IF(F196="共同",J196/2,IF(F196="A 個人",J196,0)))</f>
      </c>
      <c r="L196" s="1256" t="str">
        <f>IF(J196="","",IF(F196="共同",J196/2,IF(F196="B 個人",J196,0)))</f>
      </c>
      <c r="M196" s="1254"/>
    </row>
    <row r="197" ht="30" customHeight="1">
      <c r="A197" s="1253"/>
      <c r="B197" s="1254"/>
      <c r="C197" s="1254"/>
      <c r="D197" s="1254"/>
      <c r="E197" s="1254"/>
      <c r="F197" s="1254"/>
      <c r="G197" s="1254"/>
      <c r="H197" s="1255"/>
      <c r="I197" s="1256" t="str">
        <f>IF(G197="","",IF(G197="HKD",1,IF(G197="PLN",'兩人旅費'!$H$4,IF(G197="TRY",'兩人旅費'!$J$4,IF(G197="EUR",'兩人旅費'!$L$4,IF(G197="USD",'兩人旅費'!$F$4,""))))))</f>
      </c>
      <c r="J197" s="1256" t="str">
        <f>IF(OR(A197="",E197="",F197="",H197="",I197=""),"",ROUND(H197*I197,2))</f>
      </c>
      <c r="K197" s="1256" t="str">
        <f>IF(J197="","",IF(F197="共同",J197/2,IF(F197="A 個人",J197,0)))</f>
      </c>
      <c r="L197" s="1256" t="str">
        <f>IF(J197="","",IF(F197="共同",J197/2,IF(F197="B 個人",J197,0)))</f>
      </c>
      <c r="M197" s="1254"/>
    </row>
    <row r="198" ht="30" customHeight="1">
      <c r="A198" s="1253"/>
      <c r="B198" s="1254"/>
      <c r="C198" s="1254"/>
      <c r="D198" s="1254"/>
      <c r="E198" s="1254"/>
      <c r="F198" s="1254"/>
      <c r="G198" s="1254"/>
      <c r="H198" s="1255"/>
      <c r="I198" s="1256" t="str">
        <f>IF(G198="","",IF(G198="HKD",1,IF(G198="PLN",'兩人旅費'!$H$4,IF(G198="TRY",'兩人旅費'!$J$4,IF(G198="EUR",'兩人旅費'!$L$4,IF(G198="USD",'兩人旅費'!$F$4,""))))))</f>
      </c>
      <c r="J198" s="1256" t="str">
        <f>IF(OR(A198="",E198="",F198="",H198="",I198=""),"",ROUND(H198*I198,2))</f>
      </c>
      <c r="K198" s="1256" t="str">
        <f>IF(J198="","",IF(F198="共同",J198/2,IF(F198="A 個人",J198,0)))</f>
      </c>
      <c r="L198" s="1256" t="str">
        <f>IF(J198="","",IF(F198="共同",J198/2,IF(F198="B 個人",J198,0)))</f>
      </c>
      <c r="M198" s="1254"/>
    </row>
    <row r="199" ht="30" customHeight="1">
      <c r="A199" s="1253"/>
      <c r="B199" s="1254"/>
      <c r="C199" s="1254"/>
      <c r="D199" s="1254"/>
      <c r="E199" s="1254"/>
      <c r="F199" s="1254"/>
      <c r="G199" s="1254"/>
      <c r="H199" s="1255"/>
      <c r="I199" s="1256" t="str">
        <f>IF(G199="","",IF(G199="HKD",1,IF(G199="PLN",'兩人旅費'!$H$4,IF(G199="TRY",'兩人旅費'!$J$4,IF(G199="EUR",'兩人旅費'!$L$4,IF(G199="USD",'兩人旅費'!$F$4,""))))))</f>
      </c>
      <c r="J199" s="1256" t="str">
        <f>IF(OR(A199="",E199="",F199="",H199="",I199=""),"",ROUND(H199*I199,2))</f>
      </c>
      <c r="K199" s="1256" t="str">
        <f>IF(J199="","",IF(F199="共同",J199/2,IF(F199="A 個人",J199,0)))</f>
      </c>
      <c r="L199" s="1256" t="str">
        <f>IF(J199="","",IF(F199="共同",J199/2,IF(F199="B 個人",J199,0)))</f>
      </c>
      <c r="M199" s="1254"/>
    </row>
    <row r="200" ht="30" customHeight="1">
      <c r="A200" s="1253"/>
      <c r="B200" s="1254"/>
      <c r="C200" s="1254"/>
      <c r="D200" s="1254"/>
      <c r="E200" s="1254"/>
      <c r="F200" s="1254"/>
      <c r="G200" s="1254"/>
      <c r="H200" s="1255"/>
      <c r="I200" s="1256" t="str">
        <f>IF(G200="","",IF(G200="HKD",1,IF(G200="PLN",'兩人旅費'!$H$4,IF(G200="TRY",'兩人旅費'!$J$4,IF(G200="EUR",'兩人旅費'!$L$4,IF(G200="USD",'兩人旅費'!$F$4,""))))))</f>
      </c>
      <c r="J200" s="1256" t="str">
        <f>IF(OR(A200="",E200="",F200="",H200="",I200=""),"",ROUND(H200*I200,2))</f>
      </c>
      <c r="K200" s="1256" t="str">
        <f>IF(J200="","",IF(F200="共同",J200/2,IF(F200="A 個人",J200,0)))</f>
      </c>
      <c r="L200" s="1256" t="str">
        <f>IF(J200="","",IF(F200="共同",J200/2,IF(F200="B 個人",J200,0)))</f>
      </c>
      <c r="M200" s="1254"/>
    </row>
    <row r="201" ht="30" customHeight="1">
      <c r="A201" s="1253"/>
      <c r="B201" s="1254"/>
      <c r="C201" s="1254"/>
      <c r="D201" s="1254"/>
      <c r="E201" s="1254"/>
      <c r="F201" s="1254"/>
      <c r="G201" s="1254"/>
      <c r="H201" s="1255"/>
      <c r="I201" s="1256" t="str">
        <f>IF(G201="","",IF(G201="HKD",1,IF(G201="PLN",'兩人旅費'!$H$4,IF(G201="TRY",'兩人旅費'!$J$4,IF(G201="EUR",'兩人旅費'!$L$4,IF(G201="USD",'兩人旅費'!$F$4,""))))))</f>
      </c>
      <c r="J201" s="1256" t="str">
        <f>IF(OR(A201="",E201="",F201="",H201="",I201=""),"",ROUND(H201*I201,2))</f>
      </c>
      <c r="K201" s="1256" t="str">
        <f>IF(J201="","",IF(F201="共同",J201/2,IF(F201="A 個人",J201,0)))</f>
      </c>
      <c r="L201" s="1256" t="str">
        <f>IF(J201="","",IF(F201="共同",J201/2,IF(F201="B 個人",J201,0)))</f>
      </c>
      <c r="M201" s="1254"/>
    </row>
    <row r="202" ht="30" customHeight="1">
      <c r="A202" s="1253"/>
      <c r="B202" s="1254"/>
      <c r="C202" s="1254"/>
      <c r="D202" s="1254"/>
      <c r="E202" s="1254"/>
      <c r="F202" s="1254"/>
      <c r="G202" s="1254"/>
      <c r="H202" s="1255"/>
      <c r="I202" s="1256" t="str">
        <f>IF(G202="","",IF(G202="HKD",1,IF(G202="PLN",'兩人旅費'!$H$4,IF(G202="TRY",'兩人旅費'!$J$4,IF(G202="EUR",'兩人旅費'!$L$4,IF(G202="USD",'兩人旅費'!$F$4,""))))))</f>
      </c>
      <c r="J202" s="1256" t="str">
        <f>IF(OR(A202="",E202="",F202="",H202="",I202=""),"",ROUND(H202*I202,2))</f>
      </c>
      <c r="K202" s="1256" t="str">
        <f>IF(J202="","",IF(F202="共同",J202/2,IF(F202="A 個人",J202,0)))</f>
      </c>
      <c r="L202" s="1256" t="str">
        <f>IF(J202="","",IF(F202="共同",J202/2,IF(F202="B 個人",J202,0)))</f>
      </c>
      <c r="M202" s="1254"/>
    </row>
    <row r="203" ht="30" customHeight="1">
      <c r="A203" s="1253"/>
      <c r="B203" s="1254"/>
      <c r="C203" s="1254"/>
      <c r="D203" s="1254"/>
      <c r="E203" s="1254"/>
      <c r="F203" s="1254"/>
      <c r="G203" s="1254"/>
      <c r="H203" s="1255"/>
      <c r="I203" s="1256" t="str">
        <f>IF(G203="","",IF(G203="HKD",1,IF(G203="PLN",'兩人旅費'!$H$4,IF(G203="TRY",'兩人旅費'!$J$4,IF(G203="EUR",'兩人旅費'!$L$4,IF(G203="USD",'兩人旅費'!$F$4,""))))))</f>
      </c>
      <c r="J203" s="1256" t="str">
        <f>IF(OR(A203="",E203="",F203="",H203="",I203=""),"",ROUND(H203*I203,2))</f>
      </c>
      <c r="K203" s="1256" t="str">
        <f>IF(J203="","",IF(F203="共同",J203/2,IF(F203="A 個人",J203,0)))</f>
      </c>
      <c r="L203" s="1256" t="str">
        <f>IF(J203="","",IF(F203="共同",J203/2,IF(F203="B 個人",J203,0)))</f>
      </c>
      <c r="M203" s="1254"/>
    </row>
    <row r="204" ht="30" customHeight="1">
      <c r="A204" s="1253"/>
      <c r="B204" s="1254"/>
      <c r="C204" s="1254"/>
      <c r="D204" s="1254"/>
      <c r="E204" s="1254"/>
      <c r="F204" s="1254"/>
      <c r="G204" s="1254"/>
      <c r="H204" s="1255"/>
      <c r="I204" s="1256" t="str">
        <f>IF(G204="","",IF(G204="HKD",1,IF(G204="PLN",'兩人旅費'!$H$4,IF(G204="TRY",'兩人旅費'!$J$4,IF(G204="EUR",'兩人旅費'!$L$4,IF(G204="USD",'兩人旅費'!$F$4,""))))))</f>
      </c>
      <c r="J204" s="1256" t="str">
        <f>IF(OR(A204="",E204="",F204="",H204="",I204=""),"",ROUND(H204*I204,2))</f>
      </c>
      <c r="K204" s="1256" t="str">
        <f>IF(J204="","",IF(F204="共同",J204/2,IF(F204="A 個人",J204,0)))</f>
      </c>
      <c r="L204" s="1256" t="str">
        <f>IF(J204="","",IF(F204="共同",J204/2,IF(F204="B 個人",J204,0)))</f>
      </c>
      <c r="M204" s="1254"/>
    </row>
  </sheetData>
  <mergeCells>
    <mergeCell ref="A1:L1"/>
    <mergeCell ref="A2:L2"/>
  </mergeCells>
  <conditionalFormatting sqref="J5:J204">
    <cfRule type="expression" dxfId="23" priority="1">
      <formula>AND($H5&lt;&gt;"",OR($A5="",$E5="",$F5="",$G5=""))</formula>
    </cfRule>
  </conditionalFormatting>
  <conditionalFormatting sqref="N5:N5">
    <cfRule type="cellIs" dxfId="24" priority="2" operator="greaterThan">
      <formula>0</formula>
    </cfRule>
  </conditionalFormatting>
  <dataValidations count="4">
    <dataValidation type="list" sqref="E5:E204">
      <formula1>"A,B"</formula1>
    </dataValidation>
    <dataValidation type="list" sqref="F5:F204">
      <formula1>"共同,A 個人,B 個人"</formula1>
    </dataValidation>
    <dataValidation type="list" sqref="G5:G204">
      <formula1>"HKD,PLN,TRY,EUR,USD"</formula1>
    </dataValidation>
    <dataValidation type="list" sqref="C5:C204">
      <formula1>"住宿,餐飲,交通,門票,購物,其他"</formula1>
    </dataValidation>
  </dataValidations>
  <pageMargins left="0.7" right="0.7" top="0.75" bottom="0.75" header="0.3" footer="0.3"/>
  <tableParts count="1">
    <tablePart ns1:id="R616d888316764b88"/>
  </tableParts>
</worksheet>
</file>