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tho\Desktop\PREWORK_CNT\Module 1\"/>
    </mc:Choice>
  </mc:AlternateContent>
  <xr:revisionPtr revIDLastSave="0" documentId="8_{59303907-B40B-4D54-9595-C75D2D272BD1}" xr6:coauthVersionLast="45" xr6:coauthVersionMax="45" xr10:uidLastSave="{00000000-0000-0000-0000-000000000000}"/>
  <bookViews>
    <workbookView xWindow="-10812" yWindow="2772" windowWidth="17280" windowHeight="8964" firstSheet="3" activeTab="4" xr2:uid="{00000000-000D-0000-FFFF-FFFF00000000}"/>
  </bookViews>
  <sheets>
    <sheet name="Original Data" sheetId="1" r:id="rId1"/>
    <sheet name="Category PivotTable" sheetId="2" r:id="rId2"/>
    <sheet name="SubCategory PivotTable" sheetId="3" r:id="rId3"/>
    <sheet name="LaunchDate PivotTable" sheetId="4" r:id="rId4"/>
    <sheet name="Bonus" sheetId="5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2" i="5"/>
  <c r="D3" i="5"/>
  <c r="D4" i="5"/>
  <c r="D5" i="5"/>
  <c r="D6" i="5"/>
  <c r="D7" i="5"/>
  <c r="D8" i="5"/>
  <c r="D9" i="5"/>
  <c r="D10" i="5"/>
  <c r="D11" i="5"/>
  <c r="D12" i="5"/>
  <c r="D1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<sst xmlns="http://schemas.openxmlformats.org/spreadsheetml/2006/main" count="33049" uniqueCount="8400">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</sst>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[ChThompson_Homework1.xlsx]Category PivotTable!PivotTable1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C-4AC7-8AA0-30B366770669}"/>
            </c:ext>
          </c:extLst>
        </c:ser>
        <c:ser>
          <c:idx val="1"/>
          <c:order val="1"/>
          <c:tx>
            <c:strRef>
              <c:f>'Category PivotTable'!$C$3:$C$4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C-4AC7-8AA0-30B366770669}"/>
            </c:ext>
          </c:extLst>
        </c:ser>
        <c:ser>
          <c:idx val="2"/>
          <c:order val="2"/>
          <c:tx>
            <c:strRef>
              <c:f>'Category PivotTable'!$D$3:$D$4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C-4AC7-8AA0-30B366770669}"/>
            </c:ext>
          </c:extLst>
        </c:ser>
        <c:ser>
          <c:idx val="3"/>
          <c:order val="3"/>
          <c:tx>
            <c:strRef>
              <c:f>'Category PivotTable'!$E$3:$E$4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C-4AC7-8AA0-30B36677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7361632"/>
        <c:axId val="1819508848"/>
      </c:barChart>
      <c:catAx>
        <c:axId val="17073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08848"/>
        <c:crosses val="autoZero"/>
        <c:auto val="1"/>
        <c:lblAlgn val="ctr"/>
        <c:lblOffset val="100"/>
        <c:noMultiLvlLbl val="0"/>
      </c:catAx>
      <c:valAx>
        <c:axId val="1819508848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3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[ChThompson_Homework1.xlsx]SubCategory PivotTable!PivotTable2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E-49E1-9944-FAAA01A5AC81}"/>
            </c:ext>
          </c:extLst>
        </c:ser>
        <c:ser>
          <c:idx val="1"/>
          <c:order val="1"/>
          <c:tx>
            <c:strRef>
              <c:f>'SubCategory PivotTable'!$C$4:$C$5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8E-49E1-9944-FAAA01A5AC81}"/>
            </c:ext>
          </c:extLst>
        </c:ser>
        <c:ser>
          <c:idx val="2"/>
          <c:order val="2"/>
          <c:tx>
            <c:strRef>
              <c:f>'SubCategory PivotTable'!$D$4:$D$5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8E-49E1-9944-FAAA01A5AC81}"/>
            </c:ext>
          </c:extLst>
        </c:ser>
        <c:ser>
          <c:idx val="3"/>
          <c:order val="3"/>
          <c:tx>
            <c:strRef>
              <c:f>'SubCategory PivotTable'!$E$4:$E$5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8E-49E1-9944-FAAA01A5A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0119312"/>
        <c:axId val="1708021744"/>
      </c:barChart>
      <c:catAx>
        <c:axId val="186011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021744"/>
        <c:crosses val="autoZero"/>
        <c:auto val="1"/>
        <c:lblAlgn val="ctr"/>
        <c:lblOffset val="100"/>
        <c:noMultiLvlLbl val="0"/>
      </c:catAx>
      <c:valAx>
        <c:axId val="17080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11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[ChThompson_Homework1.xlsx]LaunchDate PivotTable!PivotTable3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PivotTable'!$B$4:$B$5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PivotTable'!$B$6:$B$18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A-42FF-BCC1-CC1ADC63B806}"/>
            </c:ext>
          </c:extLst>
        </c:ser>
        <c:ser>
          <c:idx val="1"/>
          <c:order val="1"/>
          <c:tx>
            <c:strRef>
              <c:f>'LaunchDate PivotTable'!$C$4:$C$5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PivotTable'!$C$6:$C$18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A-42FF-BCC1-CC1ADC63B806}"/>
            </c:ext>
          </c:extLst>
        </c:ser>
        <c:ser>
          <c:idx val="2"/>
          <c:order val="2"/>
          <c:tx>
            <c:strRef>
              <c:f>'LaunchDate PivotTable'!$D$4:$D$5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PivotTable'!$D$6:$D$18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A-42FF-BCC1-CC1ADC63B806}"/>
            </c:ext>
          </c:extLst>
        </c:ser>
        <c:ser>
          <c:idx val="3"/>
          <c:order val="3"/>
          <c:tx>
            <c:strRef>
              <c:f>'LaunchDate PivotTable'!$E$4:$E$5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PivotTable'!$E$6:$E$18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6A-42FF-BCC1-CC1ADC63B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521792"/>
        <c:axId val="1852911392"/>
      </c:lineChart>
      <c:catAx>
        <c:axId val="165852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11392"/>
        <c:crosses val="autoZero"/>
        <c:auto val="1"/>
        <c:lblAlgn val="ctr"/>
        <c:lblOffset val="100"/>
        <c:noMultiLvlLbl val="0"/>
      </c:catAx>
      <c:valAx>
        <c:axId val="18529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52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Project Success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0.46268656716417911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E-41AD-B3EA-3D431195E50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0.53731343283582089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E-41AD-B3EA-3D431195E50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E-41AD-B3EA-3D431195E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0099424"/>
        <c:axId val="2041374864"/>
      </c:lineChart>
      <c:catAx>
        <c:axId val="18300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374864"/>
        <c:crosses val="autoZero"/>
        <c:auto val="1"/>
        <c:lblAlgn val="ctr"/>
        <c:lblOffset val="100"/>
        <c:noMultiLvlLbl val="0"/>
      </c:catAx>
      <c:valAx>
        <c:axId val="20413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0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</xdr:row>
      <xdr:rowOff>156210</xdr:rowOff>
    </xdr:from>
    <xdr:to>
      <xdr:col>15</xdr:col>
      <xdr:colOff>152400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1E5DF-E2F0-4118-ABD2-ED018A2E0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4</xdr:row>
      <xdr:rowOff>3810</xdr:rowOff>
    </xdr:from>
    <xdr:to>
      <xdr:col>11</xdr:col>
      <xdr:colOff>845820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FFD0E-2FDB-4970-892E-4849DA1EA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3</xdr:row>
      <xdr:rowOff>125730</xdr:rowOff>
    </xdr:from>
    <xdr:to>
      <xdr:col>15</xdr:col>
      <xdr:colOff>502920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2DBAD-33C1-4C01-9116-021EB73C3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15</xdr:row>
      <xdr:rowOff>64770</xdr:rowOff>
    </xdr:from>
    <xdr:to>
      <xdr:col>7</xdr:col>
      <xdr:colOff>411480</xdr:colOff>
      <xdr:row>31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77490-33EA-4405-A3F7-EB4E30F3A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tho" refreshedDate="43806.390690509259" createdVersion="6" refreshedVersion="6" minRefreshableVersion="3" recordCount="4114" xr:uid="{1B92F240-7893-4CBC-80DC-A924242914A0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tho" refreshedDate="43806.403975578702" createdVersion="6" refreshedVersion="6" minRefreshableVersion="3" recordCount="4114" xr:uid="{ADF77479-F3FE-487F-AF36-287F26333D62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E10CF-018F-410F-AB32-E95B33223FB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C2EC9-2CC4-4AB6-A65A-438CF7DAF8E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1A40F-27FD-4B5C-95F3-32424240CC2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R10" sqref="R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6FA82-6F58-44FC-A084-28D60E6FB971}">
  <dimension ref="A1:F14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C1138-6DB0-4958-8A1F-DFB3FE33C24E}">
  <dimension ref="A1:F47"/>
  <sheetViews>
    <sheetView workbookViewId="0">
      <selection activeCell="J25" sqref="J2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6640625" bestFit="1" customWidth="1"/>
    <col min="8" max="8" width="19.44140625" bestFit="1" customWidth="1"/>
    <col min="9" max="9" width="15.109375" bestFit="1" customWidth="1"/>
    <col min="10" max="10" width="17.88671875" bestFit="1" customWidth="1"/>
    <col min="11" max="11" width="14.33203125" bestFit="1" customWidth="1"/>
    <col min="12" max="12" width="17.21875" bestFit="1" customWidth="1"/>
    <col min="13" max="13" width="8.4414062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8" width="6.88671875" bestFit="1" customWidth="1"/>
    <col min="19" max="19" width="9.5546875" bestFit="1" customWidth="1"/>
    <col min="20" max="20" width="8.33203125" bestFit="1" customWidth="1"/>
    <col min="21" max="21" width="11" bestFit="1" customWidth="1"/>
    <col min="22" max="23" width="12.5546875" bestFit="1" customWidth="1"/>
    <col min="24" max="24" width="15.33203125" bestFit="1" customWidth="1"/>
    <col min="25" max="25" width="9.5546875" bestFit="1" customWidth="1"/>
    <col min="26" max="26" width="12.21875" bestFit="1" customWidth="1"/>
    <col min="27" max="27" width="11" bestFit="1" customWidth="1"/>
    <col min="28" max="28" width="13.77734375" bestFit="1" customWidth="1"/>
    <col min="29" max="30" width="11.21875" bestFit="1" customWidth="1"/>
    <col min="31" max="31" width="14" bestFit="1" customWidth="1"/>
    <col min="32" max="32" width="6.109375" bestFit="1" customWidth="1"/>
    <col min="33" max="33" width="8.77734375" bestFit="1" customWidth="1"/>
    <col min="34" max="35" width="13.88671875" bestFit="1" customWidth="1"/>
    <col min="36" max="36" width="16.6640625" bestFit="1" customWidth="1"/>
    <col min="37" max="37" width="9.44140625" bestFit="1" customWidth="1"/>
    <col min="38" max="38" width="10.44140625" bestFit="1" customWidth="1"/>
    <col min="39" max="39" width="14.6640625" bestFit="1" customWidth="1"/>
    <col min="40" max="40" width="17.5546875" bestFit="1" customWidth="1"/>
    <col min="41" max="43" width="9.44140625" bestFit="1" customWidth="1"/>
    <col min="44" max="44" width="12" bestFit="1" customWidth="1"/>
    <col min="45" max="45" width="8.5546875" bestFit="1" customWidth="1"/>
    <col min="46" max="46" width="11.21875" bestFit="1" customWidth="1"/>
    <col min="47" max="47" width="11.6640625" bestFit="1" customWidth="1"/>
    <col min="48" max="48" width="14.44140625" bestFit="1" customWidth="1"/>
    <col min="49" max="49" width="8.77734375" bestFit="1" customWidth="1"/>
    <col min="50" max="50" width="11.44140625" bestFit="1" customWidth="1"/>
    <col min="51" max="52" width="13.21875" bestFit="1" customWidth="1"/>
    <col min="53" max="53" width="16" bestFit="1" customWidth="1"/>
    <col min="54" max="54" width="8.21875" bestFit="1" customWidth="1"/>
    <col min="55" max="55" width="10.88671875" bestFit="1" customWidth="1"/>
    <col min="56" max="58" width="9.44140625" bestFit="1" customWidth="1"/>
    <col min="59" max="59" width="10" bestFit="1" customWidth="1"/>
    <col min="60" max="60" width="9.44140625" bestFit="1" customWidth="1"/>
    <col min="61" max="61" width="9" bestFit="1" customWidth="1"/>
    <col min="62" max="62" width="17.21875" bestFit="1" customWidth="1"/>
    <col min="63" max="63" width="20" bestFit="1" customWidth="1"/>
    <col min="64" max="64" width="12.44140625" bestFit="1" customWidth="1"/>
    <col min="65" max="65" width="15.21875" bestFit="1" customWidth="1"/>
    <col min="66" max="66" width="9.44140625" bestFit="1" customWidth="1"/>
    <col min="67" max="67" width="9.33203125" bestFit="1" customWidth="1"/>
    <col min="68" max="68" width="14.88671875" bestFit="1" customWidth="1"/>
    <col min="69" max="69" width="17.77734375" bestFit="1" customWidth="1"/>
    <col min="70" max="70" width="9.44140625" bestFit="1" customWidth="1"/>
    <col min="71" max="71" width="10.77734375" bestFit="1" customWidth="1"/>
    <col min="72" max="73" width="12.5546875" bestFit="1" customWidth="1"/>
    <col min="74" max="74" width="15.33203125" bestFit="1" customWidth="1"/>
    <col min="75" max="77" width="17.88671875" bestFit="1" customWidth="1"/>
    <col min="78" max="78" width="20.6640625" bestFit="1" customWidth="1"/>
    <col min="79" max="82" width="9.44140625" bestFit="1" customWidth="1"/>
    <col min="83" max="83" width="11.21875" bestFit="1" customWidth="1"/>
    <col min="84" max="84" width="16.109375" bestFit="1" customWidth="1"/>
    <col min="85" max="85" width="18.88671875" bestFit="1" customWidth="1"/>
    <col min="86" max="86" width="11" bestFit="1" customWidth="1"/>
    <col min="87" max="87" width="13.77734375" bestFit="1" customWidth="1"/>
    <col min="88" max="89" width="12.77734375" bestFit="1" customWidth="1"/>
    <col min="90" max="90" width="15.5546875" bestFit="1" customWidth="1"/>
    <col min="91" max="91" width="13.5546875" bestFit="1" customWidth="1"/>
    <col min="92" max="92" width="16.33203125" bestFit="1" customWidth="1"/>
    <col min="93" max="95" width="11.44140625" bestFit="1" customWidth="1"/>
    <col min="96" max="96" width="14.21875" bestFit="1" customWidth="1"/>
    <col min="97" max="98" width="8.44140625" bestFit="1" customWidth="1"/>
    <col min="99" max="99" width="9.21875" bestFit="1" customWidth="1"/>
    <col min="100" max="100" width="13.109375" bestFit="1" customWidth="1"/>
    <col min="101" max="101" width="15.88671875" bestFit="1" customWidth="1"/>
    <col min="102" max="102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F8D8F-C44E-4C7C-B600-526A326D8D37}">
  <dimension ref="A1:F18"/>
  <sheetViews>
    <sheetView workbookViewId="0">
      <selection activeCell="Q13" sqref="Q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8379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9AEAC-57B8-444B-B211-E6B1F332740A}">
  <dimension ref="A1:H13"/>
  <sheetViews>
    <sheetView tabSelected="1" topLeftCell="B12" workbookViewId="0">
      <selection activeCell="H2" sqref="H2:H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9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COUNTIFS('Original Data'!$D$2:$D$4115,"&lt;1000",'Original Data'!$F$2:$F$4115,"successful")</f>
        <v>322</v>
      </c>
      <c r="C2">
        <f>COUNTIFS('Original Data'!$D$2:$D$4115,"&lt;1000",'Original Data'!$F$2:$F$4115,"failed")</f>
        <v>113</v>
      </c>
      <c r="D2">
        <f>COUNTIFS('Original Data'!$D$2:$D$4115,"&lt;1000",'Original Data'!$F$2:$F$4115,"canceled")</f>
        <v>18</v>
      </c>
      <c r="E2">
        <f>SUM(B2:D2)</f>
        <v>453</v>
      </c>
      <c r="F2" s="12">
        <f>B2/$E$2</f>
        <v>0.71081677704194257</v>
      </c>
      <c r="G2" s="12">
        <f>C2/$E$2</f>
        <v>0.24944812362030905</v>
      </c>
      <c r="H2" s="12">
        <f>D2/$E$2</f>
        <v>3.9735099337748346E-2</v>
      </c>
    </row>
    <row r="3" spans="1:8" x14ac:dyDescent="0.3">
      <c r="A3" t="s">
        <v>8388</v>
      </c>
      <c r="B3">
        <f>COUNTIFS('Original Data'!$D$3:$D$4116,"&gt;=1000",'Original Data'!$D$3:$D$4116,"&lt;5000",'Original Data'!$F$3:$F$4116,"successful")</f>
        <v>932</v>
      </c>
      <c r="C3">
        <f>COUNTIFS('Original Data'!$D$3:$D$4116,"&gt;=1000",'Original Data'!$D$3:$D$4116,"&lt;5000",'Original Data'!$F$3:$F$4116,"failed")</f>
        <v>420</v>
      </c>
      <c r="D3">
        <f>COUNTIFS('Original Data'!$D$3:$D$4116,"&gt;=1000",'Original Data'!$D$3:$D$4116,"&lt;5000",'Original Data'!$F$3:$F$4116,"canceled")</f>
        <v>60</v>
      </c>
      <c r="E3">
        <f t="shared" ref="E3:E13" si="0">SUM(B3:D3)</f>
        <v>1412</v>
      </c>
      <c r="F3" s="12">
        <f>B3/$E$3</f>
        <v>0.66005665722379603</v>
      </c>
      <c r="G3" s="12">
        <f>C3/$E$3</f>
        <v>0.29745042492917845</v>
      </c>
      <c r="H3" s="12">
        <f>D3/$E$3</f>
        <v>4.2492917847025496E-2</v>
      </c>
    </row>
    <row r="4" spans="1:8" x14ac:dyDescent="0.3">
      <c r="A4" t="s">
        <v>8389</v>
      </c>
      <c r="B4">
        <f>COUNTIFS('Original Data'!$D$3:$D$4116,"&gt;=5000",'Original Data'!$D$3:$D$4116,"&lt;10000",'Original Data'!$F$3:$F$4116,"successful")</f>
        <v>380</v>
      </c>
      <c r="C4">
        <f>COUNTIFS('Original Data'!$D$3:$D$4116,"&gt;=5000",'Original Data'!$D$3:$D$4116,"&lt;10000",'Original Data'!$F$3:$F$4116,"failed")</f>
        <v>283</v>
      </c>
      <c r="D4">
        <f>COUNTIFS('Original Data'!$D$3:$D$4116,"&gt;=5000",'Original Data'!$D$3:$D$4116,"&lt;10000",'Original Data'!$F$3:$F$4116,"canceled")</f>
        <v>52</v>
      </c>
      <c r="E4">
        <f t="shared" si="0"/>
        <v>715</v>
      </c>
      <c r="F4" s="12">
        <f>B4/$E$4</f>
        <v>0.53146853146853146</v>
      </c>
      <c r="G4" s="12">
        <f>C4/$E$4</f>
        <v>0.39580419580419579</v>
      </c>
      <c r="H4" s="12">
        <f>D4/$E$4</f>
        <v>7.2727272727272724E-2</v>
      </c>
    </row>
    <row r="5" spans="1:8" x14ac:dyDescent="0.3">
      <c r="A5" t="s">
        <v>8390</v>
      </c>
      <c r="B5">
        <f>COUNTIFS('Original Data'!$D$3:$D$4116,"&gt;=10000",'Original Data'!$D$3:$D$4116,"&lt;15000",'Original Data'!$F$3:$F$4116,"successful")</f>
        <v>168</v>
      </c>
      <c r="C5">
        <f>COUNTIFS('Original Data'!$D$3:$D$4116,"&gt;=10000",'Original Data'!$D$3:$D$4116,"&lt;15000",'Original Data'!$F$3:$F$4116,"failed")</f>
        <v>144</v>
      </c>
      <c r="D5">
        <f>COUNTIFS('Original Data'!$D$3:$D$4116,"&gt;=10000",'Original Data'!$D$3:$D$4116,"&lt;15000",'Original Data'!$F$3:$F$4116,"canceled")</f>
        <v>40</v>
      </c>
      <c r="E5">
        <f t="shared" si="0"/>
        <v>352</v>
      </c>
      <c r="F5" s="12">
        <f>B5/$E$5</f>
        <v>0.47727272727272729</v>
      </c>
      <c r="G5" s="12">
        <f>C5/$E$5</f>
        <v>0.40909090909090912</v>
      </c>
      <c r="H5" s="12">
        <f>D5/$E$5</f>
        <v>0.11363636363636363</v>
      </c>
    </row>
    <row r="6" spans="1:8" x14ac:dyDescent="0.3">
      <c r="A6" t="s">
        <v>8391</v>
      </c>
      <c r="B6">
        <f>COUNTIFS('Original Data'!$D$3:$D$4116,"&gt;=15000",'Original Data'!$D$3:$D$4116,"&lt;20000",'Original Data'!$F$3:$F$4116,"successful")</f>
        <v>94</v>
      </c>
      <c r="C6">
        <f>COUNTIFS('Original Data'!$D$3:$D$4116,"&gt;=15000",'Original Data'!$D$3:$D$4116,"&lt;20000",'Original Data'!$F$3:$F$4116,"failed")</f>
        <v>90</v>
      </c>
      <c r="D6">
        <f>COUNTIFS('Original Data'!$D$3:$D$4116,"&gt;=15000",'Original Data'!$D$3:$D$4116,"&lt;20000",'Original Data'!$F$3:$F$4116,"canceled")</f>
        <v>17</v>
      </c>
      <c r="E6">
        <f t="shared" si="0"/>
        <v>201</v>
      </c>
      <c r="F6" s="12">
        <f>B6/$E$6</f>
        <v>0.46766169154228854</v>
      </c>
      <c r="G6" s="12">
        <f>C6/$E$6</f>
        <v>0.44776119402985076</v>
      </c>
      <c r="H6" s="12">
        <f>D6/$E$6</f>
        <v>8.45771144278607E-2</v>
      </c>
    </row>
    <row r="7" spans="1:8" x14ac:dyDescent="0.3">
      <c r="A7" t="s">
        <v>8392</v>
      </c>
      <c r="B7">
        <f>COUNTIFS('Original Data'!$D$3:$D$4116,"&gt;=20000",'Original Data'!$D$3:$D$4116,"&lt;25000",'Original Data'!$F$3:$F$4116,"successful")</f>
        <v>62</v>
      </c>
      <c r="C7">
        <f>COUNTIFS('Original Data'!$D$3:$D$4116,"&gt;=20000",'Original Data'!$D$3:$D$4116,"&lt;25000",'Original Data'!$F$3:$F$4116,"failed")</f>
        <v>72</v>
      </c>
      <c r="D7">
        <f>COUNTIFS('Original Data'!$D$3:$D$4116,"&gt;=20000",'Original Data'!$D$3:$D$4116,"&lt;25000",'Original Data'!$F$3:$F$4116,"cenceled")</f>
        <v>0</v>
      </c>
      <c r="E7">
        <f t="shared" si="0"/>
        <v>134</v>
      </c>
      <c r="F7" s="12">
        <f>B7/$E$7</f>
        <v>0.46268656716417911</v>
      </c>
      <c r="G7" s="12">
        <f>C7/$E$7</f>
        <v>0.53731343283582089</v>
      </c>
      <c r="H7" s="12">
        <f>D7/$E$7</f>
        <v>0</v>
      </c>
    </row>
    <row r="8" spans="1:8" x14ac:dyDescent="0.3">
      <c r="A8" t="s">
        <v>8393</v>
      </c>
      <c r="B8">
        <f>COUNTIFS('Original Data'!$D$3:$D$4116,"&gt;=25000",'Original Data'!$D$3:$D$4116,"&lt;30000",'Original Data'!$F$3:$F$4116,"successful")</f>
        <v>55</v>
      </c>
      <c r="C8">
        <f>COUNTIFS('Original Data'!$D$3:$D$4116,"&gt;=25000",'Original Data'!$D$3:$D$4116,"&lt;30000",'Original Data'!$F$3:$F$4116,"failed")</f>
        <v>64</v>
      </c>
      <c r="D8">
        <f>COUNTIFS('Original Data'!$D$3:$D$4116,"&gt;=25000",'Original Data'!$D$3:$D$4116,"&lt;30000",'Original Data'!$F$3:$F$4116,"canceled")</f>
        <v>18</v>
      </c>
      <c r="E8">
        <f t="shared" si="0"/>
        <v>137</v>
      </c>
      <c r="F8" s="12">
        <f>B8/$E$8</f>
        <v>0.40145985401459855</v>
      </c>
      <c r="G8" s="12">
        <f>C8/$E$8</f>
        <v>0.46715328467153283</v>
      </c>
      <c r="H8" s="12">
        <f>D8/$E$8</f>
        <v>0.13138686131386862</v>
      </c>
    </row>
    <row r="9" spans="1:8" x14ac:dyDescent="0.3">
      <c r="A9" t="s">
        <v>8394</v>
      </c>
      <c r="B9">
        <f>COUNTIFS('Original Data'!$D$3:$D$4116,"&gt;=30000",'Original Data'!$D$3:$D$4116,"&lt;35000",'Original Data'!$F$3:$F$4116,"successful")</f>
        <v>32</v>
      </c>
      <c r="C9">
        <f>COUNTIFS('Original Data'!$D$3:$D$4116,"&gt;=30000",'Original Data'!$D$3:$D$4116,"&lt;35000",'Original Data'!$F$3:$F$4116,"failed")</f>
        <v>37</v>
      </c>
      <c r="D9">
        <f>COUNTIFS('Original Data'!$D$3:$D$4116,"&gt;=30000",'Original Data'!$D$3:$D$4116,"&lt;35000",'Original Data'!$F$3:$F$4116,"canceled")</f>
        <v>13</v>
      </c>
      <c r="E9">
        <f t="shared" si="0"/>
        <v>82</v>
      </c>
      <c r="F9" s="12">
        <f>B9/$E$9</f>
        <v>0.3902439024390244</v>
      </c>
      <c r="G9" s="12">
        <f>C9/$E$9</f>
        <v>0.45121951219512196</v>
      </c>
      <c r="H9" s="12">
        <f>D9/$E$9</f>
        <v>0.15853658536585366</v>
      </c>
    </row>
    <row r="10" spans="1:8" x14ac:dyDescent="0.3">
      <c r="A10" t="s">
        <v>8395</v>
      </c>
      <c r="B10">
        <f>COUNTIFS('Original Data'!$D$3:$D$4116,"&gt;=35000",'Original Data'!$D$3:$D$4116,"&lt;40000",'Original Data'!$F$3:$F$4116,"successful")</f>
        <v>26</v>
      </c>
      <c r="C10">
        <f>COUNTIFS('Original Data'!$D$3:$D$4116,"&gt;=35000",'Original Data'!$D$3:$D$4116,"&lt;40000",'Original Data'!$F$3:$F$4116,"failed")</f>
        <v>22</v>
      </c>
      <c r="D10">
        <f>COUNTIFS('Original Data'!$D$3:$D$4116,"&gt;=35000",'Original Data'!$D$3:$D$4116,"&lt;40000",'Original Data'!$F$3:$F$4116,"canceled")</f>
        <v>7</v>
      </c>
      <c r="E10">
        <f t="shared" si="0"/>
        <v>55</v>
      </c>
      <c r="F10" s="12">
        <f>B10/$E$10</f>
        <v>0.47272727272727272</v>
      </c>
      <c r="G10" s="12">
        <f>C10/$E$10</f>
        <v>0.4</v>
      </c>
      <c r="H10" s="12">
        <f>D10/$E$10</f>
        <v>0.12727272727272726</v>
      </c>
    </row>
    <row r="11" spans="1:8" x14ac:dyDescent="0.3">
      <c r="A11" t="s">
        <v>8396</v>
      </c>
      <c r="B11">
        <f>COUNTIFS('Original Data'!$D$3:$D$4116,"&gt;=40000",'Original Data'!$D$3:$D$4116,"&lt;45000",'Original Data'!$F$3:$F$4116,"successful")</f>
        <v>21</v>
      </c>
      <c r="C11">
        <f>COUNTIFS('Original Data'!$D$3:$D$4116,"&gt;=40000",'Original Data'!$D$3:$D$4116,"&lt;45000",'Original Data'!$F$3:$F$4116,"failed")</f>
        <v>16</v>
      </c>
      <c r="D11">
        <f>COUNTIFS('Original Data'!$D$3:$D$4116,"&gt;=40000",'Original Data'!$D$3:$D$4116,"&lt;45000",'Original Data'!$F$3:$F$4116,"canceled")</f>
        <v>6</v>
      </c>
      <c r="E11">
        <f t="shared" si="0"/>
        <v>43</v>
      </c>
      <c r="F11" s="12">
        <f>B11/$E$11</f>
        <v>0.48837209302325579</v>
      </c>
      <c r="G11" s="12">
        <f>C11/$E$11</f>
        <v>0.37209302325581395</v>
      </c>
      <c r="H11" s="12">
        <f>D11/$E$11</f>
        <v>0.13953488372093023</v>
      </c>
    </row>
    <row r="12" spans="1:8" x14ac:dyDescent="0.3">
      <c r="A12" t="s">
        <v>8397</v>
      </c>
      <c r="B12">
        <f>COUNTIFS('Original Data'!$D$3:$D$4116,"&gt;=45000",'Original Data'!$D$3:$D$4116,"&lt;50000",'Original Data'!$F$3:$F$4116,"successful")</f>
        <v>6</v>
      </c>
      <c r="C12">
        <f>COUNTIFS('Original Data'!$D$3:$D$4116,"&gt;=45000",'Original Data'!$D$3:$D$4116,"&lt;50000",'Original Data'!$F$3:$F$4116,"failed")</f>
        <v>11</v>
      </c>
      <c r="D12">
        <f>COUNTIFS('Original Data'!$D$3:$D$4116,"&gt;=45000",'Original Data'!$D$3:$D$4116,"&lt;50000",'Original Data'!$F$3:$F$4116,"canceled")</f>
        <v>4</v>
      </c>
      <c r="E12">
        <f t="shared" si="0"/>
        <v>21</v>
      </c>
      <c r="F12" s="12">
        <f>B12/$E$12</f>
        <v>0.2857142857142857</v>
      </c>
      <c r="G12" s="12">
        <f>C12/$E$12</f>
        <v>0.52380952380952384</v>
      </c>
      <c r="H12" s="12">
        <f>D12/$E$12</f>
        <v>0.19047619047619047</v>
      </c>
    </row>
    <row r="13" spans="1:8" x14ac:dyDescent="0.3">
      <c r="A13" t="s">
        <v>8398</v>
      </c>
      <c r="B13">
        <f>COUNTIFS('Original Data'!$D$2:$D$4115,"&gt;=50000",'Original Data'!$F$2:$F$4115,"successful")</f>
        <v>86</v>
      </c>
      <c r="C13">
        <f>COUNTIFS('Original Data'!$D$2:$D$4115,"&gt;=50000",'Original Data'!$F$2:$F$4115,"failed")</f>
        <v>258</v>
      </c>
      <c r="D13">
        <f>COUNTIFS('Original Data'!$D$2:$D$4115,"&gt;=50000",'Original Data'!$F$2:$F$4115,"canceled")</f>
        <v>100</v>
      </c>
      <c r="E13">
        <f t="shared" si="0"/>
        <v>444</v>
      </c>
      <c r="F13" s="12">
        <f>B13/$E$13</f>
        <v>0.19369369369369369</v>
      </c>
      <c r="G13" s="12">
        <f>C13/$E$13</f>
        <v>0.58108108108108103</v>
      </c>
      <c r="H13" s="12">
        <f>D13/$E$13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Category PivotTable</vt:lpstr>
      <vt:lpstr>SubCategory PivotTable</vt:lpstr>
      <vt:lpstr>LaunchDate PivotTable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chtho</cp:lastModifiedBy>
  <dcterms:created xsi:type="dcterms:W3CDTF">2017-04-20T15:17:24Z</dcterms:created>
  <dcterms:modified xsi:type="dcterms:W3CDTF">2019-12-07T15:52:37Z</dcterms:modified>
</cp:coreProperties>
</file>