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"/>
    </mc:Choice>
  </mc:AlternateContent>
  <xr:revisionPtr revIDLastSave="1831" documentId="11_F25DC773A252ABDACC104851E9D85E525BDE58E4" xr6:coauthVersionLast="47" xr6:coauthVersionMax="47" xr10:uidLastSave="{7F7A5371-2B71-455F-8E6C-2F95F077C220}"/>
  <bookViews>
    <workbookView xWindow="-3345" yWindow="-20475" windowWidth="28800" windowHeight="15345" xr2:uid="{00000000-000D-0000-FFFF-FFFF00000000}"/>
  </bookViews>
  <sheets>
    <sheet name="Experiments" sheetId="1" r:id="rId1"/>
    <sheet name="Mass" sheetId="3" r:id="rId2"/>
    <sheet name="Conversions" sheetId="4" r:id="rId3"/>
    <sheet name="Values" sheetId="2" r:id="rId4"/>
    <sheet name="Errors" sheetId="5" r:id="rId5"/>
    <sheet name="Final wt%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6" l="1"/>
  <c r="O11" i="6"/>
  <c r="O10" i="6"/>
  <c r="K4" i="6"/>
  <c r="K5" i="6"/>
  <c r="K6" i="6"/>
  <c r="K7" i="6"/>
  <c r="K8" i="6"/>
  <c r="K9" i="6"/>
  <c r="K10" i="6"/>
  <c r="K11" i="6"/>
  <c r="K12" i="6"/>
  <c r="K3" i="6"/>
  <c r="T91" i="3"/>
  <c r="T100" i="3"/>
  <c r="S106" i="3"/>
  <c r="T106" i="3"/>
  <c r="T97" i="3"/>
  <c r="W97" i="3" s="1"/>
  <c r="T98" i="3"/>
  <c r="W98" i="3" s="1"/>
  <c r="T94" i="3"/>
  <c r="T95" i="3"/>
  <c r="T93" i="3"/>
  <c r="AC141" i="3"/>
  <c r="AD141" i="3" s="1"/>
  <c r="AC140" i="3"/>
  <c r="AD140" i="3" s="1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F33" i="1"/>
  <c r="Z17" i="1"/>
  <c r="Y13" i="1"/>
  <c r="Z13" i="1"/>
  <c r="Z15" i="1"/>
  <c r="Z16" i="1"/>
  <c r="Z19" i="1"/>
  <c r="Z21" i="1"/>
  <c r="Z23" i="1"/>
  <c r="Z24" i="1"/>
  <c r="Z26" i="1"/>
  <c r="Z12" i="1"/>
  <c r="W13" i="1"/>
  <c r="W15" i="1"/>
  <c r="W16" i="1"/>
  <c r="W17" i="1"/>
  <c r="W19" i="1"/>
  <c r="W21" i="1"/>
  <c r="W23" i="1"/>
  <c r="W24" i="1"/>
  <c r="W26" i="1"/>
  <c r="W12" i="1"/>
  <c r="V13" i="1"/>
  <c r="V15" i="1"/>
  <c r="V16" i="1"/>
  <c r="V17" i="1"/>
  <c r="V19" i="1"/>
  <c r="V21" i="1"/>
  <c r="V23" i="1"/>
  <c r="V24" i="1"/>
  <c r="V26" i="1"/>
  <c r="V12" i="1"/>
  <c r="W95" i="3"/>
  <c r="W96" i="3"/>
  <c r="W100" i="3"/>
  <c r="W104" i="3"/>
  <c r="W105" i="3"/>
  <c r="W106" i="3"/>
  <c r="W107" i="3"/>
  <c r="W108" i="3"/>
  <c r="W89" i="3"/>
  <c r="W91" i="3"/>
  <c r="V112" i="3" s="1"/>
  <c r="W93" i="3"/>
  <c r="W88" i="3"/>
  <c r="W87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T90" i="3"/>
  <c r="T92" i="3"/>
  <c r="T96" i="3"/>
  <c r="T99" i="3"/>
  <c r="T101" i="3"/>
  <c r="T102" i="3"/>
  <c r="T103" i="3"/>
  <c r="T104" i="3"/>
  <c r="T105" i="3"/>
  <c r="T107" i="3"/>
  <c r="T89" i="3"/>
  <c r="S107" i="3"/>
  <c r="G104" i="3"/>
  <c r="G101" i="3"/>
  <c r="G102" i="3"/>
  <c r="G103" i="3"/>
  <c r="G100" i="3"/>
  <c r="G99" i="3"/>
  <c r="O15" i="1"/>
  <c r="K35" i="5"/>
  <c r="K36" i="5"/>
  <c r="K37" i="5"/>
  <c r="K34" i="5"/>
  <c r="V113" i="3" l="1"/>
  <c r="X112" i="3" s="1"/>
  <c r="X113" i="3" s="1"/>
  <c r="Y98" i="3" s="1"/>
  <c r="E76" i="3"/>
  <c r="F76" i="3"/>
  <c r="F75" i="3"/>
  <c r="E75" i="3"/>
  <c r="F74" i="3"/>
  <c r="F77" i="3"/>
  <c r="F73" i="3"/>
  <c r="F72" i="3"/>
  <c r="O26" i="1"/>
  <c r="S26" i="1"/>
  <c r="U26" i="1"/>
  <c r="U25" i="1"/>
  <c r="V19" i="5"/>
  <c r="W19" i="5" s="1"/>
  <c r="V15" i="5"/>
  <c r="W15" i="5" s="1"/>
  <c r="V16" i="5"/>
  <c r="W16" i="5" s="1"/>
  <c r="V17" i="5"/>
  <c r="W17" i="5" s="1"/>
  <c r="V18" i="5"/>
  <c r="W18" i="5" s="1"/>
  <c r="V20" i="5"/>
  <c r="W20" i="5" s="1"/>
  <c r="V21" i="5"/>
  <c r="W21" i="5" s="1"/>
  <c r="V22" i="5"/>
  <c r="W22" i="5" s="1"/>
  <c r="V23" i="5"/>
  <c r="W23" i="5" s="1"/>
  <c r="V24" i="5"/>
  <c r="W24" i="5" s="1"/>
  <c r="V25" i="5"/>
  <c r="W25" i="5" s="1"/>
  <c r="V26" i="5"/>
  <c r="W26" i="5" s="1"/>
  <c r="V27" i="5"/>
  <c r="W27" i="5" s="1"/>
  <c r="V28" i="5"/>
  <c r="W28" i="5" s="1"/>
  <c r="V14" i="5"/>
  <c r="W14" i="5" s="1"/>
  <c r="P16" i="5"/>
  <c r="P18" i="5"/>
  <c r="P21" i="5"/>
  <c r="P22" i="5"/>
  <c r="P15" i="5"/>
  <c r="P20" i="5"/>
  <c r="P17" i="5"/>
  <c r="P14" i="5"/>
  <c r="P23" i="5"/>
  <c r="P19" i="5"/>
  <c r="S13" i="1"/>
  <c r="S15" i="1"/>
  <c r="S16" i="1"/>
  <c r="S17" i="1"/>
  <c r="S18" i="1"/>
  <c r="S19" i="1"/>
  <c r="S21" i="1"/>
  <c r="S23" i="1"/>
  <c r="S24" i="1"/>
  <c r="S12" i="1"/>
  <c r="G8" i="5" s="1"/>
  <c r="U19" i="1"/>
  <c r="U24" i="1"/>
  <c r="U23" i="1"/>
  <c r="U21" i="1"/>
  <c r="U13" i="1"/>
  <c r="U15" i="1"/>
  <c r="U16" i="1"/>
  <c r="U17" i="1"/>
  <c r="U14" i="1"/>
  <c r="U12" i="1"/>
  <c r="E11" i="2"/>
  <c r="N113" i="3" l="1"/>
  <c r="N114" i="3"/>
  <c r="N134" i="3"/>
  <c r="N141" i="3"/>
  <c r="N133" i="3"/>
  <c r="N127" i="3"/>
  <c r="Y87" i="3"/>
  <c r="N128" i="3"/>
  <c r="N140" i="3"/>
  <c r="N115" i="3"/>
  <c r="N135" i="3"/>
  <c r="N118" i="3"/>
  <c r="N138" i="3"/>
  <c r="N129" i="3"/>
  <c r="N119" i="3"/>
  <c r="N139" i="3"/>
  <c r="N110" i="3"/>
  <c r="N130" i="3"/>
  <c r="N121" i="3"/>
  <c r="N122" i="3"/>
  <c r="N144" i="3"/>
  <c r="N142" i="3"/>
  <c r="N111" i="3"/>
  <c r="N116" i="3"/>
  <c r="N125" i="3"/>
  <c r="N131" i="3"/>
  <c r="N136" i="3"/>
  <c r="N123" i="3"/>
  <c r="N143" i="3"/>
  <c r="N109" i="3"/>
  <c r="N126" i="3"/>
  <c r="N112" i="3"/>
  <c r="N117" i="3"/>
  <c r="N120" i="3"/>
  <c r="N132" i="3"/>
  <c r="N137" i="3"/>
  <c r="N124" i="3"/>
  <c r="Y108" i="3"/>
  <c r="Y107" i="3"/>
  <c r="Y91" i="3"/>
  <c r="Y90" i="3"/>
  <c r="Y105" i="3"/>
  <c r="Y92" i="3"/>
  <c r="Y89" i="3"/>
  <c r="Y102" i="3"/>
  <c r="Y97" i="3"/>
  <c r="Y103" i="3"/>
  <c r="Y100" i="3"/>
  <c r="Y95" i="3"/>
  <c r="Y94" i="3"/>
  <c r="Y88" i="3"/>
  <c r="Y106" i="3"/>
  <c r="Y104" i="3"/>
  <c r="Y101" i="3"/>
  <c r="Y96" i="3"/>
  <c r="Y93" i="3"/>
  <c r="Y99" i="3"/>
  <c r="O25" i="1"/>
  <c r="O24" i="1" l="1"/>
  <c r="E6" i="4"/>
  <c r="D6" i="4"/>
  <c r="D8" i="4"/>
  <c r="D9" i="4"/>
  <c r="E9" i="4" s="1"/>
  <c r="C6" i="4"/>
  <c r="C7" i="4"/>
  <c r="D7" i="4" s="1"/>
  <c r="E7" i="4" s="1"/>
  <c r="C8" i="4"/>
  <c r="C9" i="4"/>
  <c r="L6" i="4"/>
  <c r="M6" i="4" s="1"/>
  <c r="L7" i="4"/>
  <c r="M7" i="4" s="1"/>
  <c r="N7" i="4" s="1"/>
  <c r="L8" i="4"/>
  <c r="M8" i="4" s="1"/>
  <c r="L9" i="4"/>
  <c r="M9" i="4" s="1"/>
  <c r="N9" i="4" s="1"/>
  <c r="L10" i="4"/>
  <c r="M10" i="4" s="1"/>
  <c r="N10" i="4" s="1"/>
  <c r="L5" i="4"/>
  <c r="M5" i="4" s="1"/>
  <c r="N5" i="4" s="1"/>
  <c r="P5" i="4" s="1"/>
  <c r="Q5" i="4" s="1"/>
  <c r="E7" i="2"/>
  <c r="F9" i="4" l="1"/>
  <c r="E8" i="4"/>
  <c r="F8" i="4" s="1"/>
  <c r="F7" i="4"/>
  <c r="F6" i="4"/>
  <c r="N8" i="4"/>
  <c r="O8" i="4" s="1"/>
  <c r="N6" i="4"/>
  <c r="O6" i="4" s="1"/>
  <c r="O5" i="4"/>
  <c r="O9" i="4"/>
  <c r="P9" i="4"/>
  <c r="Q9" i="4" s="1"/>
  <c r="O7" i="4"/>
  <c r="P7" i="4"/>
  <c r="Q7" i="4" s="1"/>
  <c r="O10" i="4"/>
  <c r="P10" i="4"/>
  <c r="Q10" i="4" s="1"/>
  <c r="P6" i="4" l="1"/>
  <c r="Q6" i="4" s="1"/>
  <c r="P8" i="4"/>
  <c r="Q8" i="4" s="1"/>
  <c r="H62" i="3" l="1"/>
  <c r="I62" i="3"/>
  <c r="G62" i="3"/>
  <c r="S55" i="3"/>
  <c r="S54" i="3"/>
  <c r="H56" i="3"/>
  <c r="H55" i="3"/>
  <c r="H54" i="3"/>
  <c r="O23" i="1"/>
  <c r="I23" i="1"/>
  <c r="C5" i="4"/>
  <c r="D5" i="4" s="1"/>
  <c r="E5" i="4" s="1"/>
  <c r="F5" i="4" s="1"/>
  <c r="M5" i="2" l="1"/>
  <c r="N5" i="2" s="1"/>
  <c r="O13" i="2" s="1"/>
  <c r="P7" i="2"/>
  <c r="M6" i="2"/>
  <c r="N6" i="2" s="1"/>
  <c r="Q35" i="3"/>
  <c r="P35" i="3"/>
  <c r="R32" i="3"/>
  <c r="R33" i="3"/>
  <c r="F59" i="3"/>
  <c r="P54" i="3"/>
  <c r="Q54" i="3" s="1"/>
  <c r="E55" i="3"/>
  <c r="F55" i="3" s="1"/>
  <c r="E56" i="3"/>
  <c r="F56" i="3" s="1"/>
  <c r="E54" i="3"/>
  <c r="F54" i="3" s="1"/>
  <c r="K51" i="3"/>
  <c r="K50" i="3"/>
  <c r="K49" i="3"/>
  <c r="I51" i="3"/>
  <c r="I50" i="3"/>
  <c r="I49" i="3"/>
  <c r="G51" i="3"/>
  <c r="G50" i="3"/>
  <c r="G49" i="3"/>
  <c r="E50" i="3"/>
  <c r="E51" i="3"/>
  <c r="E49" i="3"/>
  <c r="Y15" i="3"/>
  <c r="Y14" i="3"/>
  <c r="Z14" i="3" s="1"/>
  <c r="Z7" i="3"/>
  <c r="Z6" i="3"/>
  <c r="Z5" i="3"/>
  <c r="Z4" i="3"/>
  <c r="Z3" i="3"/>
  <c r="N22" i="3"/>
  <c r="T15" i="3"/>
  <c r="T14" i="3"/>
  <c r="U14" i="3" s="1"/>
  <c r="U5" i="3"/>
  <c r="U4" i="3"/>
  <c r="U3" i="3"/>
  <c r="U15" i="3" s="1"/>
  <c r="I44" i="3"/>
  <c r="D44" i="3"/>
  <c r="I43" i="3"/>
  <c r="D43" i="3"/>
  <c r="I42" i="3"/>
  <c r="J42" i="3" s="1"/>
  <c r="D42" i="3"/>
  <c r="E42" i="3" s="1"/>
  <c r="J35" i="3"/>
  <c r="E35" i="3"/>
  <c r="J34" i="3"/>
  <c r="E34" i="3"/>
  <c r="J33" i="3"/>
  <c r="E33" i="3"/>
  <c r="J32" i="3"/>
  <c r="E32" i="3"/>
  <c r="J31" i="3"/>
  <c r="E31" i="3"/>
  <c r="E43" i="3" s="1"/>
  <c r="C26" i="3"/>
  <c r="C24" i="3"/>
  <c r="O16" i="3"/>
  <c r="J16" i="3"/>
  <c r="E16" i="3"/>
  <c r="O15" i="3"/>
  <c r="J15" i="3"/>
  <c r="E15" i="3"/>
  <c r="O14" i="3"/>
  <c r="P14" i="3" s="1"/>
  <c r="J14" i="3"/>
  <c r="K14" i="3" s="1"/>
  <c r="E14" i="3"/>
  <c r="F14" i="3" s="1"/>
  <c r="F12" i="3"/>
  <c r="F11" i="3"/>
  <c r="F10" i="3"/>
  <c r="F9" i="3"/>
  <c r="F8" i="3"/>
  <c r="P7" i="3"/>
  <c r="K7" i="3"/>
  <c r="F7" i="3"/>
  <c r="P6" i="3"/>
  <c r="K6" i="3"/>
  <c r="F6" i="3"/>
  <c r="P5" i="3"/>
  <c r="K5" i="3"/>
  <c r="F5" i="3"/>
  <c r="P4" i="3"/>
  <c r="K4" i="3"/>
  <c r="F4" i="3"/>
  <c r="P3" i="3"/>
  <c r="P15" i="3" s="1"/>
  <c r="K3" i="3"/>
  <c r="K15" i="3" s="1"/>
  <c r="F3" i="3"/>
  <c r="F15" i="3" s="1"/>
  <c r="O3" i="1"/>
  <c r="O9" i="1"/>
  <c r="O4" i="1"/>
  <c r="O6" i="1"/>
  <c r="O7" i="1"/>
  <c r="O13" i="1"/>
  <c r="O17" i="1"/>
  <c r="O12" i="1"/>
  <c r="O16" i="1"/>
  <c r="O14" i="1"/>
  <c r="O18" i="1"/>
  <c r="O5" i="1"/>
  <c r="O19" i="1"/>
  <c r="O21" i="1"/>
  <c r="K21" i="1"/>
  <c r="I21" i="1"/>
  <c r="J43" i="3" l="1"/>
  <c r="Z15" i="3"/>
</calcChain>
</file>

<file path=xl/sharedStrings.xml><?xml version="1.0" encoding="utf-8"?>
<sst xmlns="http://schemas.openxmlformats.org/spreadsheetml/2006/main" count="411" uniqueCount="184">
  <si>
    <t>No.</t>
  </si>
  <si>
    <t>Date</t>
  </si>
  <si>
    <t>Mass</t>
  </si>
  <si>
    <t>HeatFlow</t>
  </si>
  <si>
    <t>Large</t>
  </si>
  <si>
    <t>ADH_Peak(K)</t>
  </si>
  <si>
    <t>ADH_Offset(K)</t>
  </si>
  <si>
    <t>ADH Peak</t>
  </si>
  <si>
    <t>Liquidus_Peak(K)</t>
  </si>
  <si>
    <t>wt%</t>
  </si>
  <si>
    <t>wt%_err</t>
  </si>
  <si>
    <t>NH3_bottle</t>
  </si>
  <si>
    <t>new</t>
  </si>
  <si>
    <t>V_NH3(mL)</t>
  </si>
  <si>
    <t>V_H2O(mL)</t>
  </si>
  <si>
    <t>V_err</t>
  </si>
  <si>
    <t>Mass(g)</t>
  </si>
  <si>
    <t>Mass_err</t>
  </si>
  <si>
    <t>Small</t>
  </si>
  <si>
    <t>old</t>
  </si>
  <si>
    <t>?</t>
  </si>
  <si>
    <t>*</t>
  </si>
  <si>
    <t>Ramp_(T/min)</t>
  </si>
  <si>
    <t>change_tips</t>
  </si>
  <si>
    <t>Y</t>
  </si>
  <si>
    <t>N</t>
  </si>
  <si>
    <t>*1.42</t>
  </si>
  <si>
    <t>T_max(K)</t>
  </si>
  <si>
    <t>Blank</t>
  </si>
  <si>
    <t>mass</t>
  </si>
  <si>
    <t>rho</t>
  </si>
  <si>
    <t>10 times</t>
  </si>
  <si>
    <t>5 times</t>
  </si>
  <si>
    <t>5 ml</t>
  </si>
  <si>
    <t>1 ml</t>
  </si>
  <si>
    <t>2.84 wt%</t>
  </si>
  <si>
    <t>4.288 ml H2O</t>
  </si>
  <si>
    <t>0.858 ml H2o</t>
  </si>
  <si>
    <t>0.712 ml NH4OH</t>
  </si>
  <si>
    <t>0.142 ml NH4OH</t>
  </si>
  <si>
    <t>no change of tips</t>
  </si>
  <si>
    <t>change tips</t>
  </si>
  <si>
    <t>rho = 0.7092</t>
  </si>
  <si>
    <t>rho = 0.7156</t>
  </si>
  <si>
    <t>rho = 0.7095</t>
  </si>
  <si>
    <t>mean</t>
  </si>
  <si>
    <t>sd</t>
  </si>
  <si>
    <t>range</t>
  </si>
  <si>
    <t>Calibrated masses</t>
  </si>
  <si>
    <t>Mean rho</t>
  </si>
  <si>
    <t>Raw rho</t>
  </si>
  <si>
    <t>0 wt %</t>
  </si>
  <si>
    <t>5 ml H2O</t>
  </si>
  <si>
    <t>4 times</t>
  </si>
  <si>
    <t>NH4OH rho measurements, 5 ml, new bottle</t>
  </si>
  <si>
    <t>NH4OH rho measurements, 1 ml, new bottle</t>
  </si>
  <si>
    <t>Raw mass</t>
  </si>
  <si>
    <t>2.84 wt% TESTS</t>
  </si>
  <si>
    <t>NH4OH RHO</t>
  </si>
  <si>
    <t>EVAP TEST</t>
  </si>
  <si>
    <t>1 ml, outside</t>
  </si>
  <si>
    <t>start*</t>
  </si>
  <si>
    <t>1min</t>
  </si>
  <si>
    <t>2min</t>
  </si>
  <si>
    <t>3min</t>
  </si>
  <si>
    <t>1ml, hood</t>
  </si>
  <si>
    <t>5ml, outside</t>
  </si>
  <si>
    <t>5ml, hood</t>
  </si>
  <si>
    <t>VOLATILES</t>
  </si>
  <si>
    <t>THF</t>
  </si>
  <si>
    <t>5 ml rho</t>
  </si>
  <si>
    <t>Theoretical</t>
  </si>
  <si>
    <t>Methanol</t>
  </si>
  <si>
    <t>DRIP TEST</t>
  </si>
  <si>
    <t>Drops Lost</t>
  </si>
  <si>
    <t>Mass/Drop</t>
  </si>
  <si>
    <t>CALIBRATION</t>
  </si>
  <si>
    <t>Mass Balance</t>
  </si>
  <si>
    <t>OHL</t>
  </si>
  <si>
    <t>cell</t>
  </si>
  <si>
    <t>cell + samp</t>
  </si>
  <si>
    <t>tautm</t>
  </si>
  <si>
    <t>tau2tm</t>
  </si>
  <si>
    <t>d2t</t>
  </si>
  <si>
    <t>d1t</t>
  </si>
  <si>
    <t>mat</t>
  </si>
  <si>
    <t>py</t>
  </si>
  <si>
    <t>d2T=d2T.*tautm.^2+d1T.*tau2tm;</t>
  </si>
  <si>
    <t>cp</t>
  </si>
  <si>
    <t>T</t>
  </si>
  <si>
    <t>*270.5</t>
  </si>
  <si>
    <t>liquidus manually picked</t>
  </si>
  <si>
    <t>m (mol/kg)</t>
  </si>
  <si>
    <t>ppt (g/kg)</t>
  </si>
  <si>
    <t>NH3 molar mass</t>
  </si>
  <si>
    <t>K</t>
  </si>
  <si>
    <t>g / mol</t>
  </si>
  <si>
    <t>MASS FRACTION TO MOLALITY TO PPT</t>
  </si>
  <si>
    <t>x (wt%)</t>
  </si>
  <si>
    <t>x (ratio)</t>
  </si>
  <si>
    <t>diff</t>
  </si>
  <si>
    <t>Surface Tension</t>
  </si>
  <si>
    <t>H2O</t>
  </si>
  <si>
    <t>NH4OH</t>
  </si>
  <si>
    <t>CH3OH</t>
  </si>
  <si>
    <t>33353988.pdf (core.ac.uk)</t>
  </si>
  <si>
    <t>18.1-23.4</t>
  </si>
  <si>
    <t>FROM DESIRED WT% TO VOLUMES</t>
  </si>
  <si>
    <t>x</t>
  </si>
  <si>
    <t>ratio</t>
  </si>
  <si>
    <t>New bottle</t>
  </si>
  <si>
    <t>density</t>
  </si>
  <si>
    <t>concentration</t>
  </si>
  <si>
    <t>g / ml</t>
  </si>
  <si>
    <t>wt %</t>
  </si>
  <si>
    <t>1ml</t>
  </si>
  <si>
    <t>5ml</t>
  </si>
  <si>
    <t>wt% (lab)</t>
  </si>
  <si>
    <t>Old Bottle</t>
  </si>
  <si>
    <t>*2.0</t>
  </si>
  <si>
    <t>COLD TEST</t>
  </si>
  <si>
    <t>T (bottle)</t>
  </si>
  <si>
    <t>T (cell)</t>
  </si>
  <si>
    <t>wt%_err%</t>
  </si>
  <si>
    <t>Pure phase Cp</t>
  </si>
  <si>
    <t>heatflow</t>
  </si>
  <si>
    <t>unc</t>
  </si>
  <si>
    <t>Solid Fraction</t>
  </si>
  <si>
    <t xml:space="preserve">liquid fraction error </t>
  </si>
  <si>
    <t>error</t>
  </si>
  <si>
    <t>error %</t>
  </si>
  <si>
    <t>Theoretical Density</t>
  </si>
  <si>
    <t>Difference</t>
  </si>
  <si>
    <t>wt%_offset (-0.5K)</t>
  </si>
  <si>
    <t>CAL ACC TEST</t>
  </si>
  <si>
    <t>Cal</t>
  </si>
  <si>
    <t>Organic Compounds, C4 to C5, pp. 73-114 (springer.com)</t>
  </si>
  <si>
    <t>Diff</t>
  </si>
  <si>
    <t>CP</t>
  </si>
  <si>
    <t>ADH</t>
  </si>
  <si>
    <t>VAPOR PRESS</t>
  </si>
  <si>
    <t>T_Bottle</t>
  </si>
  <si>
    <t>T_Cell</t>
  </si>
  <si>
    <t>Vol Loss?</t>
  </si>
  <si>
    <t>volume not fixed, had to draw in pipette slowly</t>
  </si>
  <si>
    <t>T_box</t>
  </si>
  <si>
    <t>3 drips</t>
  </si>
  <si>
    <t>1 drip</t>
  </si>
  <si>
    <t>EUTECTICS</t>
  </si>
  <si>
    <t>Species</t>
  </si>
  <si>
    <t>Ramp</t>
  </si>
  <si>
    <t>Onset</t>
  </si>
  <si>
    <t>MgCl2</t>
  </si>
  <si>
    <t>Offset</t>
  </si>
  <si>
    <t>NaCl</t>
  </si>
  <si>
    <t>Eutectic Temperature</t>
  </si>
  <si>
    <t>Peak Onset Temperature</t>
  </si>
  <si>
    <t>Measured - Theoretical</t>
  </si>
  <si>
    <t>Indium</t>
  </si>
  <si>
    <t>wt%_offset_polynomial</t>
  </si>
  <si>
    <t>T_offset_polynomial</t>
  </si>
  <si>
    <t>wt%_offset_polynomial_err</t>
  </si>
  <si>
    <t>T_polynomial</t>
  </si>
  <si>
    <t>wt%_offset_polynomial_err_%</t>
  </si>
  <si>
    <t>Measured Peak T (K)</t>
  </si>
  <si>
    <t>absolute error</t>
  </si>
  <si>
    <t>T_offset from polynomial (K)</t>
  </si>
  <si>
    <t>Adjusted T (K)</t>
  </si>
  <si>
    <t>adjusted wt%</t>
  </si>
  <si>
    <t>relative error (%)</t>
  </si>
  <si>
    <t>Without Temperature Offset</t>
  </si>
  <si>
    <t>0.25 K/min</t>
  </si>
  <si>
    <t>0.10 K/min</t>
  </si>
  <si>
    <t>ramp</t>
  </si>
  <si>
    <t>no. of Expt</t>
  </si>
  <si>
    <t>supply bottle</t>
  </si>
  <si>
    <t>With Temperature Offset (tanh)</t>
  </si>
  <si>
    <t>With Temperature Offset (n2poly)</t>
  </si>
  <si>
    <t>tanh coeff</t>
  </si>
  <si>
    <t>a</t>
  </si>
  <si>
    <t>b</t>
  </si>
  <si>
    <t>c</t>
  </si>
  <si>
    <t>d</t>
  </si>
  <si>
    <t>T_tanh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</si>
</sst>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E+00"/>
    <numFmt numFmtId="168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6897BB"/>
      <name val="JetBrains Mono"/>
      <family val="3"/>
    </font>
    <font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16" fontId="0" fillId="0" borderId="0" xfId="0" applyNumberFormat="1"/>
    <xf numFmtId="0" fontId="2" fillId="0" borderId="0" xfId="0" applyFon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5" xfId="0" applyNumberFormat="1" applyBorder="1"/>
    <xf numFmtId="0" fontId="0" fillId="0" borderId="5" xfId="0" applyBorder="1"/>
    <xf numFmtId="0" fontId="4" fillId="0" borderId="4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166" fontId="0" fillId="0" borderId="7" xfId="0" applyNumberFormat="1" applyBorder="1"/>
    <xf numFmtId="0" fontId="0" fillId="0" borderId="8" xfId="0" applyBorder="1"/>
    <xf numFmtId="0" fontId="0" fillId="0" borderId="0" xfId="0" applyFill="1"/>
    <xf numFmtId="0" fontId="5" fillId="0" borderId="0" xfId="0" applyFont="1"/>
    <xf numFmtId="2" fontId="0" fillId="0" borderId="0" xfId="0" applyNumberFormat="1"/>
    <xf numFmtId="0" fontId="6" fillId="0" borderId="0" xfId="0" applyFont="1"/>
    <xf numFmtId="167" fontId="6" fillId="0" borderId="0" xfId="0" applyNumberFormat="1" applyFont="1"/>
    <xf numFmtId="2" fontId="6" fillId="0" borderId="0" xfId="0" applyNumberFormat="1" applyFont="1"/>
    <xf numFmtId="11" fontId="6" fillId="0" borderId="0" xfId="0" applyNumberFormat="1" applyFont="1"/>
    <xf numFmtId="165" fontId="0" fillId="0" borderId="0" xfId="0" applyNumberFormat="1"/>
    <xf numFmtId="0" fontId="7" fillId="0" borderId="0" xfId="1"/>
    <xf numFmtId="164" fontId="2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1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164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7" xfId="0" applyBorder="1" applyAlignment="1"/>
    <xf numFmtId="0" fontId="0" fillId="0" borderId="0" xfId="0" applyBorder="1"/>
    <xf numFmtId="0" fontId="0" fillId="3" borderId="0" xfId="0" applyFill="1"/>
    <xf numFmtId="2" fontId="0" fillId="3" borderId="0" xfId="0" applyNumberFormat="1" applyFill="1"/>
    <xf numFmtId="164" fontId="0" fillId="0" borderId="0" xfId="0" applyNumberFormat="1" applyAlignment="1">
      <alignment horizontal="right"/>
    </xf>
    <xf numFmtId="0" fontId="9" fillId="0" borderId="0" xfId="0" applyFont="1" applyAlignment="1">
      <alignment horizontal="right"/>
    </xf>
    <xf numFmtId="164" fontId="9" fillId="0" borderId="0" xfId="0" applyNumberFormat="1" applyFont="1"/>
    <xf numFmtId="2" fontId="1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9" fillId="0" borderId="0" xfId="0" applyFont="1"/>
    <xf numFmtId="164" fontId="1" fillId="0" borderId="0" xfId="0" applyNumberFormat="1" applyFont="1"/>
    <xf numFmtId="164" fontId="3" fillId="0" borderId="0" xfId="0" applyNumberFormat="1" applyFont="1"/>
    <xf numFmtId="164" fontId="0" fillId="0" borderId="4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4" fontId="1" fillId="0" borderId="7" xfId="0" applyNumberFormat="1" applyFont="1" applyBorder="1"/>
    <xf numFmtId="164" fontId="0" fillId="0" borderId="2" xfId="0" applyNumberFormat="1" applyBorder="1"/>
    <xf numFmtId="0" fontId="0" fillId="0" borderId="0" xfId="0" applyAlignment="1"/>
    <xf numFmtId="168" fontId="0" fillId="0" borderId="0" xfId="0" applyNumberFormat="1"/>
    <xf numFmtId="2" fontId="0" fillId="0" borderId="4" xfId="0" applyNumberFormat="1" applyBorder="1"/>
    <xf numFmtId="2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All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" sourceLinked="0"/>
            </c:trendlineLbl>
          </c:trendline>
          <c:xVal>
            <c:numRef>
              <c:f>Mass!$R$87:$R$107</c:f>
              <c:numCache>
                <c:formatCode>General</c:formatCode>
                <c:ptCount val="21"/>
                <c:pt idx="0">
                  <c:v>240.48</c:v>
                </c:pt>
                <c:pt idx="1">
                  <c:v>252.29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 formatCode="0.00">
                  <c:v>164.75</c:v>
                </c:pt>
                <c:pt idx="17">
                  <c:v>122.38</c:v>
                </c:pt>
                <c:pt idx="18">
                  <c:v>122.38</c:v>
                </c:pt>
                <c:pt idx="19">
                  <c:v>273.14999999999998</c:v>
                </c:pt>
                <c:pt idx="20">
                  <c:v>273.14999999999998</c:v>
                </c:pt>
              </c:numCache>
            </c:numRef>
          </c:xVal>
          <c:yVal>
            <c:numRef>
              <c:f>Mass!$T$87:$T$107</c:f>
              <c:numCache>
                <c:formatCode>0.00</c:formatCode>
                <c:ptCount val="21"/>
                <c:pt idx="0">
                  <c:v>0.29500000000001592</c:v>
                </c:pt>
                <c:pt idx="1">
                  <c:v>0.17000000000001592</c:v>
                </c:pt>
                <c:pt idx="2">
                  <c:v>-1.5999999999991132E-2</c:v>
                </c:pt>
                <c:pt idx="3">
                  <c:v>-1.2000000000000455E-2</c:v>
                </c:pt>
                <c:pt idx="4">
                  <c:v>-0.15000000000000568</c:v>
                </c:pt>
                <c:pt idx="5">
                  <c:v>-1.0000000000047748E-3</c:v>
                </c:pt>
                <c:pt idx="6">
                  <c:v>-2.0000000000010232E-2</c:v>
                </c:pt>
                <c:pt idx="7">
                  <c:v>-4.4999999999987494E-2</c:v>
                </c:pt>
                <c:pt idx="8">
                  <c:v>5.4000000000002046E-2</c:v>
                </c:pt>
                <c:pt idx="9">
                  <c:v>1.300000000000523E-2</c:v>
                </c:pt>
                <c:pt idx="10">
                  <c:v>2.4000000000000909E-2</c:v>
                </c:pt>
                <c:pt idx="11">
                  <c:v>-1.6999999999995907E-2</c:v>
                </c:pt>
                <c:pt idx="12">
                  <c:v>-1.0000000000047748E-3</c:v>
                </c:pt>
                <c:pt idx="13">
                  <c:v>0.18000000000000682</c:v>
                </c:pt>
                <c:pt idx="14">
                  <c:v>7.0000000000050022E-3</c:v>
                </c:pt>
                <c:pt idx="15">
                  <c:v>-1.099999999999568E-2</c:v>
                </c:pt>
                <c:pt idx="16">
                  <c:v>4.8000000000001819E-2</c:v>
                </c:pt>
                <c:pt idx="17">
                  <c:v>1.300000000000523E-2</c:v>
                </c:pt>
                <c:pt idx="18">
                  <c:v>-8.5999999999998522E-2</c:v>
                </c:pt>
                <c:pt idx="19">
                  <c:v>0.66699999999997317</c:v>
                </c:pt>
                <c:pt idx="20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8-41EA-9CC7-E83877A72004}"/>
            </c:ext>
          </c:extLst>
        </c:ser>
        <c:ser>
          <c:idx val="0"/>
          <c:order val="1"/>
          <c:tx>
            <c:strRef>
              <c:f>Mass!$Q$89</c:f>
              <c:strCache>
                <c:ptCount val="1"/>
                <c:pt idx="0">
                  <c:v>ADH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Mass!$R$89:$R$102</c:f>
              <c:numCache>
                <c:formatCode>General</c:formatCode>
                <c:ptCount val="14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xVal>
          <c:yVal>
            <c:numRef>
              <c:f>Mass!$T$89:$T$102</c:f>
              <c:numCache>
                <c:formatCode>0.00</c:formatCode>
                <c:ptCount val="14"/>
                <c:pt idx="0">
                  <c:v>-1.5999999999991132E-2</c:v>
                </c:pt>
                <c:pt idx="1">
                  <c:v>-1.2000000000000455E-2</c:v>
                </c:pt>
                <c:pt idx="2">
                  <c:v>-0.15000000000000568</c:v>
                </c:pt>
                <c:pt idx="3">
                  <c:v>-1.0000000000047748E-3</c:v>
                </c:pt>
                <c:pt idx="4">
                  <c:v>-2.0000000000010232E-2</c:v>
                </c:pt>
                <c:pt idx="5">
                  <c:v>-4.4999999999987494E-2</c:v>
                </c:pt>
                <c:pt idx="6">
                  <c:v>5.4000000000002046E-2</c:v>
                </c:pt>
                <c:pt idx="7">
                  <c:v>1.300000000000523E-2</c:v>
                </c:pt>
                <c:pt idx="8">
                  <c:v>2.4000000000000909E-2</c:v>
                </c:pt>
                <c:pt idx="9">
                  <c:v>-1.6999999999995907E-2</c:v>
                </c:pt>
                <c:pt idx="10">
                  <c:v>-1.0000000000047748E-3</c:v>
                </c:pt>
                <c:pt idx="11">
                  <c:v>0.18000000000000682</c:v>
                </c:pt>
                <c:pt idx="12">
                  <c:v>7.0000000000050022E-3</c:v>
                </c:pt>
                <c:pt idx="13">
                  <c:v>-1.099999999999568E-2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8-41EA-9CC7-E83877A72004}"/>
            </c:ext>
          </c:extLst>
        </c:ser>
        <c:ser>
          <c:idx val="1"/>
          <c:order val="2"/>
          <c:tx>
            <c:strRef>
              <c:f>Mass!$Q$103</c:f>
              <c:strCache>
                <c:ptCount val="1"/>
                <c:pt idx="0">
                  <c:v>THF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Mass!$R$103</c:f>
              <c:numCache>
                <c:formatCode>0.00</c:formatCode>
                <c:ptCount val="1"/>
                <c:pt idx="0">
                  <c:v>164.75</c:v>
                </c:pt>
              </c:numCache>
            </c:numRef>
          </c:xVal>
          <c:yVal>
            <c:numRef>
              <c:f>Mass!$T$103</c:f>
              <c:numCache>
                <c:formatCode>0.00</c:formatCode>
                <c:ptCount val="1"/>
                <c:pt idx="0">
                  <c:v>4.8000000000001819E-2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8-41EA-9CC7-E83877A72004}"/>
            </c:ext>
          </c:extLst>
        </c:ser>
        <c:ser>
          <c:idx val="2"/>
          <c:order val="3"/>
          <c:tx>
            <c:strRef>
              <c:f>Mass!$Q$104</c:f>
              <c:strCache>
                <c:ptCount val="1"/>
                <c:pt idx="0">
                  <c:v>CP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Mass!$R$104:$R$105</c:f>
              <c:numCache>
                <c:formatCode>General</c:formatCode>
                <c:ptCount val="2"/>
                <c:pt idx="0">
                  <c:v>122.38</c:v>
                </c:pt>
                <c:pt idx="1">
                  <c:v>122.38</c:v>
                </c:pt>
              </c:numCache>
            </c:numRef>
          </c:xVal>
          <c:yVal>
            <c:numRef>
              <c:f>Mass!$T$104:$T$105</c:f>
              <c:numCache>
                <c:formatCode>0.00</c:formatCode>
                <c:ptCount val="2"/>
                <c:pt idx="0">
                  <c:v>1.300000000000523E-2</c:v>
                </c:pt>
                <c:pt idx="1">
                  <c:v>-8.5999999999998522E-2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A8-41EA-9CC7-E83877A72004}"/>
            </c:ext>
          </c:extLst>
        </c:ser>
        <c:ser>
          <c:idx val="3"/>
          <c:order val="4"/>
          <c:tx>
            <c:strRef>
              <c:f>Mass!$Q$106</c:f>
              <c:strCache>
                <c:ptCount val="1"/>
                <c:pt idx="0">
                  <c:v>H2O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Mass!$R$106:$R$107</c:f>
              <c:numCache>
                <c:formatCode>General</c:formatCode>
                <c:ptCount val="2"/>
                <c:pt idx="0">
                  <c:v>273.14999999999998</c:v>
                </c:pt>
                <c:pt idx="1">
                  <c:v>273.14999999999998</c:v>
                </c:pt>
              </c:numCache>
            </c:numRef>
          </c:xVal>
          <c:yVal>
            <c:numRef>
              <c:f>Mass!$T$106:$T$107</c:f>
              <c:numCache>
                <c:formatCode>0.00</c:formatCode>
                <c:ptCount val="2"/>
                <c:pt idx="0">
                  <c:v>0.66699999999997317</c:v>
                </c:pt>
                <c:pt idx="1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A8-41EA-9CC7-E83877A72004}"/>
            </c:ext>
          </c:extLst>
        </c:ser>
        <c:ser>
          <c:idx val="4"/>
          <c:order val="5"/>
          <c:tx>
            <c:strRef>
              <c:f>Mass!$Q$87</c:f>
              <c:strCache>
                <c:ptCount val="1"/>
                <c:pt idx="0">
                  <c:v>MgCl2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Mass!$R$87</c:f>
              <c:numCache>
                <c:formatCode>General</c:formatCode>
                <c:ptCount val="1"/>
                <c:pt idx="0">
                  <c:v>240.48</c:v>
                </c:pt>
              </c:numCache>
            </c:numRef>
          </c:xVal>
          <c:yVal>
            <c:numRef>
              <c:f>Mass!$T$87</c:f>
              <c:numCache>
                <c:formatCode>0.00</c:formatCode>
                <c:ptCount val="1"/>
                <c:pt idx="0">
                  <c:v>0.29500000000001592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A8-41EA-9CC7-E83877A72004}"/>
            </c:ext>
          </c:extLst>
        </c:ser>
        <c:ser>
          <c:idx val="5"/>
          <c:order val="6"/>
          <c:tx>
            <c:strRef>
              <c:f>Mass!$Q$88</c:f>
              <c:strCache>
                <c:ptCount val="1"/>
                <c:pt idx="0">
                  <c:v>NaCl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Mass!$R$88</c:f>
              <c:numCache>
                <c:formatCode>General</c:formatCode>
                <c:ptCount val="1"/>
                <c:pt idx="0">
                  <c:v>252.29</c:v>
                </c:pt>
              </c:numCache>
            </c:numRef>
          </c:xVal>
          <c:yVal>
            <c:numRef>
              <c:f>Mass!$T$88</c:f>
              <c:numCache>
                <c:formatCode>0.00</c:formatCode>
                <c:ptCount val="1"/>
                <c:pt idx="0">
                  <c:v>0.17000000000001592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A8-41EA-9CC7-E83877A7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Mass!$C$85:$C$96</c:f>
              <c:numCache>
                <c:formatCode>General</c:formatCode>
                <c:ptCount val="12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xVal>
          <c:yVal>
            <c:numRef>
              <c:f>Mass!$F$85:$F$96</c:f>
              <c:numCache>
                <c:formatCode>General</c:formatCode>
                <c:ptCount val="12"/>
                <c:pt idx="0">
                  <c:v>0.86260000000000003</c:v>
                </c:pt>
                <c:pt idx="1">
                  <c:v>0.87180000000000002</c:v>
                </c:pt>
                <c:pt idx="2">
                  <c:v>0.84550000000000003</c:v>
                </c:pt>
                <c:pt idx="3">
                  <c:v>0.84919999999999995</c:v>
                </c:pt>
                <c:pt idx="4">
                  <c:v>0.8216</c:v>
                </c:pt>
                <c:pt idx="5">
                  <c:v>0.86280000000000001</c:v>
                </c:pt>
                <c:pt idx="6">
                  <c:v>0.83040000000000003</c:v>
                </c:pt>
                <c:pt idx="7">
                  <c:v>0.83260000000000001</c:v>
                </c:pt>
                <c:pt idx="8">
                  <c:v>0.84419999999999995</c:v>
                </c:pt>
                <c:pt idx="9">
                  <c:v>0.74460000000000004</c:v>
                </c:pt>
                <c:pt idx="10">
                  <c:v>0.76659999999999995</c:v>
                </c:pt>
                <c:pt idx="11">
                  <c:v>0.75629999999999997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1-4BAA-BC89-9439FA5F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48784"/>
        <c:axId val="532256688"/>
      </c:scatterChart>
      <c:valAx>
        <c:axId val="5322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</a:t>
                </a:r>
                <a:r>
                  <a:rPr lang="en-SG" baseline="0"/>
                  <a:t> (C)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6688"/>
        <c:crosses val="autoZero"/>
        <c:crossBetween val="midCat"/>
      </c:valAx>
      <c:valAx>
        <c:axId val="5322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All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Mass!$R$87:$R$107</c:f>
              <c:numCache>
                <c:formatCode>General</c:formatCode>
                <c:ptCount val="21"/>
                <c:pt idx="0">
                  <c:v>240.48</c:v>
                </c:pt>
                <c:pt idx="1">
                  <c:v>252.29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 formatCode="0.00">
                  <c:v>164.75</c:v>
                </c:pt>
                <c:pt idx="17">
                  <c:v>122.38</c:v>
                </c:pt>
                <c:pt idx="18">
                  <c:v>122.38</c:v>
                </c:pt>
                <c:pt idx="19">
                  <c:v>273.14999999999998</c:v>
                </c:pt>
                <c:pt idx="20">
                  <c:v>273.14999999999998</c:v>
                </c:pt>
              </c:numCache>
            </c:numRef>
          </c:xVal>
          <c:yVal>
            <c:numRef>
              <c:f>Mass!$T$87:$T$107</c:f>
              <c:numCache>
                <c:formatCode>0.00</c:formatCode>
                <c:ptCount val="21"/>
                <c:pt idx="0">
                  <c:v>0.29500000000001592</c:v>
                </c:pt>
                <c:pt idx="1">
                  <c:v>0.17000000000001592</c:v>
                </c:pt>
                <c:pt idx="2">
                  <c:v>-1.5999999999991132E-2</c:v>
                </c:pt>
                <c:pt idx="3">
                  <c:v>-1.2000000000000455E-2</c:v>
                </c:pt>
                <c:pt idx="4">
                  <c:v>-0.15000000000000568</c:v>
                </c:pt>
                <c:pt idx="5">
                  <c:v>-1.0000000000047748E-3</c:v>
                </c:pt>
                <c:pt idx="6">
                  <c:v>-2.0000000000010232E-2</c:v>
                </c:pt>
                <c:pt idx="7">
                  <c:v>-4.4999999999987494E-2</c:v>
                </c:pt>
                <c:pt idx="8">
                  <c:v>5.4000000000002046E-2</c:v>
                </c:pt>
                <c:pt idx="9">
                  <c:v>1.300000000000523E-2</c:v>
                </c:pt>
                <c:pt idx="10">
                  <c:v>2.4000000000000909E-2</c:v>
                </c:pt>
                <c:pt idx="11">
                  <c:v>-1.6999999999995907E-2</c:v>
                </c:pt>
                <c:pt idx="12">
                  <c:v>-1.0000000000047748E-3</c:v>
                </c:pt>
                <c:pt idx="13">
                  <c:v>0.18000000000000682</c:v>
                </c:pt>
                <c:pt idx="14">
                  <c:v>7.0000000000050022E-3</c:v>
                </c:pt>
                <c:pt idx="15">
                  <c:v>-1.099999999999568E-2</c:v>
                </c:pt>
                <c:pt idx="16">
                  <c:v>4.8000000000001819E-2</c:v>
                </c:pt>
                <c:pt idx="17">
                  <c:v>1.300000000000523E-2</c:v>
                </c:pt>
                <c:pt idx="18">
                  <c:v>-8.5999999999998522E-2</c:v>
                </c:pt>
                <c:pt idx="19">
                  <c:v>0.66699999999997317</c:v>
                </c:pt>
                <c:pt idx="20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F-43B1-AD9B-F23C0670AD4B}"/>
            </c:ext>
          </c:extLst>
        </c:ser>
        <c:ser>
          <c:idx val="0"/>
          <c:order val="1"/>
          <c:tx>
            <c:strRef>
              <c:f>Mass!$Q$89</c:f>
              <c:strCache>
                <c:ptCount val="1"/>
                <c:pt idx="0">
                  <c:v>ADH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Mass!$R$89:$R$102</c:f>
              <c:numCache>
                <c:formatCode>General</c:formatCode>
                <c:ptCount val="14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xVal>
          <c:yVal>
            <c:numRef>
              <c:f>Mass!$T$89:$T$102</c:f>
              <c:numCache>
                <c:formatCode>0.00</c:formatCode>
                <c:ptCount val="14"/>
                <c:pt idx="0">
                  <c:v>-1.5999999999991132E-2</c:v>
                </c:pt>
                <c:pt idx="1">
                  <c:v>-1.2000000000000455E-2</c:v>
                </c:pt>
                <c:pt idx="2">
                  <c:v>-0.15000000000000568</c:v>
                </c:pt>
                <c:pt idx="3">
                  <c:v>-1.0000000000047748E-3</c:v>
                </c:pt>
                <c:pt idx="4">
                  <c:v>-2.0000000000010232E-2</c:v>
                </c:pt>
                <c:pt idx="5">
                  <c:v>-4.4999999999987494E-2</c:v>
                </c:pt>
                <c:pt idx="6">
                  <c:v>5.4000000000002046E-2</c:v>
                </c:pt>
                <c:pt idx="7">
                  <c:v>1.300000000000523E-2</c:v>
                </c:pt>
                <c:pt idx="8">
                  <c:v>2.4000000000000909E-2</c:v>
                </c:pt>
                <c:pt idx="9">
                  <c:v>-1.6999999999995907E-2</c:v>
                </c:pt>
                <c:pt idx="10">
                  <c:v>-1.0000000000047748E-3</c:v>
                </c:pt>
                <c:pt idx="11">
                  <c:v>0.18000000000000682</c:v>
                </c:pt>
                <c:pt idx="12">
                  <c:v>7.0000000000050022E-3</c:v>
                </c:pt>
                <c:pt idx="13">
                  <c:v>-1.099999999999568E-2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5F-43B1-AD9B-F23C0670AD4B}"/>
            </c:ext>
          </c:extLst>
        </c:ser>
        <c:ser>
          <c:idx val="1"/>
          <c:order val="2"/>
          <c:tx>
            <c:strRef>
              <c:f>Mass!$Q$103</c:f>
              <c:strCache>
                <c:ptCount val="1"/>
                <c:pt idx="0">
                  <c:v>THF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Mass!$R$103</c:f>
              <c:numCache>
                <c:formatCode>0.00</c:formatCode>
                <c:ptCount val="1"/>
                <c:pt idx="0">
                  <c:v>164.75</c:v>
                </c:pt>
              </c:numCache>
            </c:numRef>
          </c:xVal>
          <c:yVal>
            <c:numRef>
              <c:f>Mass!$T$103</c:f>
              <c:numCache>
                <c:formatCode>0.00</c:formatCode>
                <c:ptCount val="1"/>
                <c:pt idx="0">
                  <c:v>4.8000000000001819E-2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5F-43B1-AD9B-F23C0670AD4B}"/>
            </c:ext>
          </c:extLst>
        </c:ser>
        <c:ser>
          <c:idx val="2"/>
          <c:order val="3"/>
          <c:tx>
            <c:strRef>
              <c:f>Mass!$Q$104</c:f>
              <c:strCache>
                <c:ptCount val="1"/>
                <c:pt idx="0">
                  <c:v>CP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Mass!$R$104:$R$105</c:f>
              <c:numCache>
                <c:formatCode>General</c:formatCode>
                <c:ptCount val="2"/>
                <c:pt idx="0">
                  <c:v>122.38</c:v>
                </c:pt>
                <c:pt idx="1">
                  <c:v>122.38</c:v>
                </c:pt>
              </c:numCache>
            </c:numRef>
          </c:xVal>
          <c:yVal>
            <c:numRef>
              <c:f>Mass!$T$104:$T$105</c:f>
              <c:numCache>
                <c:formatCode>0.00</c:formatCode>
                <c:ptCount val="2"/>
                <c:pt idx="0">
                  <c:v>1.300000000000523E-2</c:v>
                </c:pt>
                <c:pt idx="1">
                  <c:v>-8.5999999999998522E-2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5F-43B1-AD9B-F23C0670AD4B}"/>
            </c:ext>
          </c:extLst>
        </c:ser>
        <c:ser>
          <c:idx val="3"/>
          <c:order val="4"/>
          <c:tx>
            <c:strRef>
              <c:f>Mass!$Q$106</c:f>
              <c:strCache>
                <c:ptCount val="1"/>
                <c:pt idx="0">
                  <c:v>H2O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Mass!$R$106:$R$107</c:f>
              <c:numCache>
                <c:formatCode>General</c:formatCode>
                <c:ptCount val="2"/>
                <c:pt idx="0">
                  <c:v>273.14999999999998</c:v>
                </c:pt>
                <c:pt idx="1">
                  <c:v>273.14999999999998</c:v>
                </c:pt>
              </c:numCache>
            </c:numRef>
          </c:xVal>
          <c:yVal>
            <c:numRef>
              <c:f>Mass!$T$106:$T$107</c:f>
              <c:numCache>
                <c:formatCode>0.00</c:formatCode>
                <c:ptCount val="2"/>
                <c:pt idx="0">
                  <c:v>0.66699999999997317</c:v>
                </c:pt>
                <c:pt idx="1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5F-43B1-AD9B-F23C0670AD4B}"/>
            </c:ext>
          </c:extLst>
        </c:ser>
        <c:ser>
          <c:idx val="4"/>
          <c:order val="5"/>
          <c:tx>
            <c:strRef>
              <c:f>Mass!$Q$87</c:f>
              <c:strCache>
                <c:ptCount val="1"/>
                <c:pt idx="0">
                  <c:v>MgCl2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Mass!$R$87</c:f>
              <c:numCache>
                <c:formatCode>General</c:formatCode>
                <c:ptCount val="1"/>
                <c:pt idx="0">
                  <c:v>240.48</c:v>
                </c:pt>
              </c:numCache>
            </c:numRef>
          </c:xVal>
          <c:yVal>
            <c:numRef>
              <c:f>Mass!$T$87</c:f>
              <c:numCache>
                <c:formatCode>0.00</c:formatCode>
                <c:ptCount val="1"/>
                <c:pt idx="0">
                  <c:v>0.29500000000001592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5F-43B1-AD9B-F23C0670AD4B}"/>
            </c:ext>
          </c:extLst>
        </c:ser>
        <c:ser>
          <c:idx val="5"/>
          <c:order val="6"/>
          <c:tx>
            <c:strRef>
              <c:f>Mass!$Q$88</c:f>
              <c:strCache>
                <c:ptCount val="1"/>
                <c:pt idx="0">
                  <c:v>NaCl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Mass!$R$88</c:f>
              <c:numCache>
                <c:formatCode>General</c:formatCode>
                <c:ptCount val="1"/>
                <c:pt idx="0">
                  <c:v>252.29</c:v>
                </c:pt>
              </c:numCache>
            </c:numRef>
          </c:xVal>
          <c:yVal>
            <c:numRef>
              <c:f>Mass!$T$88</c:f>
              <c:numCache>
                <c:formatCode>0.00</c:formatCode>
                <c:ptCount val="1"/>
                <c:pt idx="0">
                  <c:v>0.17000000000001592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5F-43B1-AD9B-F23C0670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Mass!$R$87:$R$108</c:f>
              <c:numCache>
                <c:formatCode>General</c:formatCode>
                <c:ptCount val="22"/>
                <c:pt idx="0">
                  <c:v>240.48</c:v>
                </c:pt>
                <c:pt idx="1">
                  <c:v>252.29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 formatCode="0.00">
                  <c:v>164.75</c:v>
                </c:pt>
                <c:pt idx="17">
                  <c:v>122.38</c:v>
                </c:pt>
                <c:pt idx="18">
                  <c:v>122.38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429.74849999999998</c:v>
                </c:pt>
              </c:numCache>
            </c:numRef>
          </c:xVal>
          <c:yVal>
            <c:numRef>
              <c:f>Mass!$T$87:$T$108</c:f>
              <c:numCache>
                <c:formatCode>0.00</c:formatCode>
                <c:ptCount val="22"/>
                <c:pt idx="0">
                  <c:v>0.29500000000001592</c:v>
                </c:pt>
                <c:pt idx="1">
                  <c:v>0.17000000000001592</c:v>
                </c:pt>
                <c:pt idx="2">
                  <c:v>-1.5999999999991132E-2</c:v>
                </c:pt>
                <c:pt idx="3">
                  <c:v>-1.2000000000000455E-2</c:v>
                </c:pt>
                <c:pt idx="4">
                  <c:v>-0.15000000000000568</c:v>
                </c:pt>
                <c:pt idx="5">
                  <c:v>-1.0000000000047748E-3</c:v>
                </c:pt>
                <c:pt idx="6">
                  <c:v>-2.0000000000010232E-2</c:v>
                </c:pt>
                <c:pt idx="7">
                  <c:v>-4.4999999999987494E-2</c:v>
                </c:pt>
                <c:pt idx="8">
                  <c:v>5.4000000000002046E-2</c:v>
                </c:pt>
                <c:pt idx="9">
                  <c:v>1.300000000000523E-2</c:v>
                </c:pt>
                <c:pt idx="10">
                  <c:v>2.4000000000000909E-2</c:v>
                </c:pt>
                <c:pt idx="11">
                  <c:v>-1.6999999999995907E-2</c:v>
                </c:pt>
                <c:pt idx="12">
                  <c:v>-1.0000000000047748E-3</c:v>
                </c:pt>
                <c:pt idx="13">
                  <c:v>0.18000000000000682</c:v>
                </c:pt>
                <c:pt idx="14">
                  <c:v>7.0000000000050022E-3</c:v>
                </c:pt>
                <c:pt idx="15">
                  <c:v>-1.099999999999568E-2</c:v>
                </c:pt>
                <c:pt idx="16">
                  <c:v>4.8000000000001819E-2</c:v>
                </c:pt>
                <c:pt idx="17">
                  <c:v>1.300000000000523E-2</c:v>
                </c:pt>
                <c:pt idx="18">
                  <c:v>-8.5999999999998522E-2</c:v>
                </c:pt>
                <c:pt idx="19">
                  <c:v>0.66699999999997317</c:v>
                </c:pt>
                <c:pt idx="20">
                  <c:v>0.56599999999997408</c:v>
                </c:pt>
                <c:pt idx="2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3-4290-B0DE-6BA55D153CC6}"/>
            </c:ext>
          </c:extLst>
        </c:ser>
        <c:ser>
          <c:idx val="0"/>
          <c:order val="1"/>
          <c:tx>
            <c:strRef>
              <c:f>Mass!$Q$89</c:f>
              <c:strCache>
                <c:ptCount val="1"/>
                <c:pt idx="0">
                  <c:v>ADH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Mass!$R$89:$R$102</c:f>
              <c:numCache>
                <c:formatCode>General</c:formatCode>
                <c:ptCount val="14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xVal>
          <c:yVal>
            <c:numRef>
              <c:f>Mass!$T$89:$T$102</c:f>
              <c:numCache>
                <c:formatCode>0.00</c:formatCode>
                <c:ptCount val="14"/>
                <c:pt idx="0">
                  <c:v>-1.5999999999991132E-2</c:v>
                </c:pt>
                <c:pt idx="1">
                  <c:v>-1.2000000000000455E-2</c:v>
                </c:pt>
                <c:pt idx="2">
                  <c:v>-0.15000000000000568</c:v>
                </c:pt>
                <c:pt idx="3">
                  <c:v>-1.0000000000047748E-3</c:v>
                </c:pt>
                <c:pt idx="4">
                  <c:v>-2.0000000000010232E-2</c:v>
                </c:pt>
                <c:pt idx="5">
                  <c:v>-4.4999999999987494E-2</c:v>
                </c:pt>
                <c:pt idx="6">
                  <c:v>5.4000000000002046E-2</c:v>
                </c:pt>
                <c:pt idx="7">
                  <c:v>1.300000000000523E-2</c:v>
                </c:pt>
                <c:pt idx="8">
                  <c:v>2.4000000000000909E-2</c:v>
                </c:pt>
                <c:pt idx="9">
                  <c:v>-1.6999999999995907E-2</c:v>
                </c:pt>
                <c:pt idx="10">
                  <c:v>-1.0000000000047748E-3</c:v>
                </c:pt>
                <c:pt idx="11">
                  <c:v>0.18000000000000682</c:v>
                </c:pt>
                <c:pt idx="12">
                  <c:v>7.0000000000050022E-3</c:v>
                </c:pt>
                <c:pt idx="13">
                  <c:v>-1.099999999999568E-2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3-4290-B0DE-6BA55D153CC6}"/>
            </c:ext>
          </c:extLst>
        </c:ser>
        <c:ser>
          <c:idx val="1"/>
          <c:order val="2"/>
          <c:tx>
            <c:strRef>
              <c:f>Mass!$Q$103</c:f>
              <c:strCache>
                <c:ptCount val="1"/>
                <c:pt idx="0">
                  <c:v>THF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Mass!$R$103</c:f>
              <c:numCache>
                <c:formatCode>0.00</c:formatCode>
                <c:ptCount val="1"/>
                <c:pt idx="0">
                  <c:v>164.75</c:v>
                </c:pt>
              </c:numCache>
            </c:numRef>
          </c:xVal>
          <c:yVal>
            <c:numRef>
              <c:f>Mass!$T$103</c:f>
              <c:numCache>
                <c:formatCode>0.00</c:formatCode>
                <c:ptCount val="1"/>
                <c:pt idx="0">
                  <c:v>4.8000000000001819E-2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03-4290-B0DE-6BA55D153CC6}"/>
            </c:ext>
          </c:extLst>
        </c:ser>
        <c:ser>
          <c:idx val="2"/>
          <c:order val="3"/>
          <c:tx>
            <c:strRef>
              <c:f>Mass!$Q$104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Mass!$R$104:$R$105</c:f>
              <c:numCache>
                <c:formatCode>General</c:formatCode>
                <c:ptCount val="2"/>
                <c:pt idx="0">
                  <c:v>122.38</c:v>
                </c:pt>
                <c:pt idx="1">
                  <c:v>122.38</c:v>
                </c:pt>
              </c:numCache>
            </c:numRef>
          </c:xVal>
          <c:yVal>
            <c:numRef>
              <c:f>Mass!$T$104:$T$105</c:f>
              <c:numCache>
                <c:formatCode>0.00</c:formatCode>
                <c:ptCount val="2"/>
                <c:pt idx="0">
                  <c:v>1.300000000000523E-2</c:v>
                </c:pt>
                <c:pt idx="1">
                  <c:v>-8.5999999999998522E-2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03-4290-B0DE-6BA55D153CC6}"/>
            </c:ext>
          </c:extLst>
        </c:ser>
        <c:ser>
          <c:idx val="3"/>
          <c:order val="4"/>
          <c:tx>
            <c:strRef>
              <c:f>Mass!$Q$106</c:f>
              <c:strCache>
                <c:ptCount val="1"/>
                <c:pt idx="0">
                  <c:v>H2O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Mass!$R$106:$R$107</c:f>
              <c:numCache>
                <c:formatCode>General</c:formatCode>
                <c:ptCount val="2"/>
                <c:pt idx="0">
                  <c:v>273.14999999999998</c:v>
                </c:pt>
                <c:pt idx="1">
                  <c:v>273.14999999999998</c:v>
                </c:pt>
              </c:numCache>
            </c:numRef>
          </c:xVal>
          <c:yVal>
            <c:numRef>
              <c:f>Mass!$T$106:$T$107</c:f>
              <c:numCache>
                <c:formatCode>0.00</c:formatCode>
                <c:ptCount val="2"/>
                <c:pt idx="0">
                  <c:v>0.66699999999997317</c:v>
                </c:pt>
                <c:pt idx="1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03-4290-B0DE-6BA55D153CC6}"/>
            </c:ext>
          </c:extLst>
        </c:ser>
        <c:ser>
          <c:idx val="4"/>
          <c:order val="5"/>
          <c:tx>
            <c:strRef>
              <c:f>Mass!$Q$87</c:f>
              <c:strCache>
                <c:ptCount val="1"/>
                <c:pt idx="0">
                  <c:v>MgCl2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Mass!$R$87</c:f>
              <c:numCache>
                <c:formatCode>General</c:formatCode>
                <c:ptCount val="1"/>
                <c:pt idx="0">
                  <c:v>240.48</c:v>
                </c:pt>
              </c:numCache>
            </c:numRef>
          </c:xVal>
          <c:yVal>
            <c:numRef>
              <c:f>Mass!$T$87</c:f>
              <c:numCache>
                <c:formatCode>0.00</c:formatCode>
                <c:ptCount val="1"/>
                <c:pt idx="0">
                  <c:v>0.29500000000001592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03-4290-B0DE-6BA55D153CC6}"/>
            </c:ext>
          </c:extLst>
        </c:ser>
        <c:ser>
          <c:idx val="5"/>
          <c:order val="6"/>
          <c:tx>
            <c:strRef>
              <c:f>Mass!$Q$88</c:f>
              <c:strCache>
                <c:ptCount val="1"/>
                <c:pt idx="0">
                  <c:v>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Mass!$R$88</c:f>
              <c:numCache>
                <c:formatCode>General</c:formatCode>
                <c:ptCount val="1"/>
                <c:pt idx="0">
                  <c:v>252.29</c:v>
                </c:pt>
              </c:numCache>
            </c:numRef>
          </c:xVal>
          <c:yVal>
            <c:numRef>
              <c:f>Mass!$T$88</c:f>
              <c:numCache>
                <c:formatCode>0.00</c:formatCode>
                <c:ptCount val="1"/>
                <c:pt idx="0">
                  <c:v>0.17000000000001592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03-4290-B0DE-6BA55D153CC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Mass!$M$109:$M$175</c:f>
              <c:numCache>
                <c:formatCode>General</c:formatCode>
                <c:ptCount val="67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</c:numCache>
            </c:numRef>
          </c:xVal>
          <c:yVal>
            <c:numRef>
              <c:f>Mass!$N$109:$N$175</c:f>
              <c:numCache>
                <c:formatCode>General</c:formatCode>
                <c:ptCount val="67"/>
                <c:pt idx="0">
                  <c:v>4.3177017658768697E-2</c:v>
                </c:pt>
                <c:pt idx="1">
                  <c:v>5.1939761464136189E-2</c:v>
                </c:pt>
                <c:pt idx="2">
                  <c:v>6.2512078161196305E-2</c:v>
                </c:pt>
                <c:pt idx="3">
                  <c:v>7.5519045088854653E-2</c:v>
                </c:pt>
                <c:pt idx="4">
                  <c:v>9.1911094167901289E-2</c:v>
                </c:pt>
                <c:pt idx="5">
                  <c:v>0.11320736317716458</c:v>
                </c:pt>
                <c:pt idx="6">
                  <c:v>0.14199588778817979</c:v>
                </c:pt>
                <c:pt idx="7">
                  <c:v>0.1830743981162313</c:v>
                </c:pt>
                <c:pt idx="8">
                  <c:v>0.24644864882291034</c:v>
                </c:pt>
                <c:pt idx="9">
                  <c:v>0.3570312396752256</c:v>
                </c:pt>
                <c:pt idx="10">
                  <c:v>0.59887885388022355</c:v>
                </c:pt>
                <c:pt idx="11">
                  <c:v>1.5469795672650359</c:v>
                </c:pt>
                <c:pt idx="12">
                  <c:v>-3.5222226783198862</c:v>
                </c:pt>
                <c:pt idx="13">
                  <c:v>-0.88234328696469466</c:v>
                </c:pt>
                <c:pt idx="14">
                  <c:v>-0.5230142872503587</c:v>
                </c:pt>
                <c:pt idx="15">
                  <c:v>-0.38046686938099156</c:v>
                </c:pt>
                <c:pt idx="16">
                  <c:v>-0.30398818615200224</c:v>
                </c:pt>
                <c:pt idx="17">
                  <c:v>-0.25628725924008544</c:v>
                </c:pt>
                <c:pt idx="18">
                  <c:v>-0.22369321568465406</c:v>
                </c:pt>
                <c:pt idx="19">
                  <c:v>-0.20001058360078189</c:v>
                </c:pt>
                <c:pt idx="20">
                  <c:v>-0.18202422971760993</c:v>
                </c:pt>
                <c:pt idx="21">
                  <c:v>-0.16789962846964679</c:v>
                </c:pt>
                <c:pt idx="22">
                  <c:v>-0.15651364677574542</c:v>
                </c:pt>
                <c:pt idx="23">
                  <c:v>-0.14714018936049814</c:v>
                </c:pt>
                <c:pt idx="24">
                  <c:v>-0.13928899949235427</c:v>
                </c:pt>
                <c:pt idx="25">
                  <c:v>-0.13261709858809398</c:v>
                </c:pt>
                <c:pt idx="26">
                  <c:v>-0.12687734476529361</c:v>
                </c:pt>
                <c:pt idx="27">
                  <c:v>-0.12188714458904305</c:v>
                </c:pt>
                <c:pt idx="28">
                  <c:v>-0.11750867129023042</c:v>
                </c:pt>
                <c:pt idx="29">
                  <c:v>-0.11363593772450128</c:v>
                </c:pt>
                <c:pt idx="30">
                  <c:v>-0.11018610420523969</c:v>
                </c:pt>
                <c:pt idx="31">
                  <c:v>-0.10709348644864447</c:v>
                </c:pt>
                <c:pt idx="32">
                  <c:v>-0.10430533325095785</c:v>
                </c:pt>
                <c:pt idx="33">
                  <c:v>-0.10177879270842392</c:v>
                </c:pt>
                <c:pt idx="34">
                  <c:v>-9.9478694147686134E-2</c:v>
                </c:pt>
                <c:pt idx="35">
                  <c:v>-9.737590086237706E-2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103-4290-B0DE-6BA55D15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Mass!$V$87:$V$108</c:f>
              <c:numCache>
                <c:formatCode>General</c:formatCode>
                <c:ptCount val="22"/>
                <c:pt idx="0">
                  <c:v>4.1583499667332009E-3</c:v>
                </c:pt>
                <c:pt idx="1">
                  <c:v>3.963692576003805E-3</c:v>
                </c:pt>
                <c:pt idx="2">
                  <c:v>5.681818181818182E-3</c:v>
                </c:pt>
                <c:pt idx="3">
                  <c:v>5.681818181818182E-3</c:v>
                </c:pt>
                <c:pt idx="4">
                  <c:v>5.681818181818182E-3</c:v>
                </c:pt>
                <c:pt idx="5">
                  <c:v>5.681818181818182E-3</c:v>
                </c:pt>
                <c:pt idx="6">
                  <c:v>5.681818181818182E-3</c:v>
                </c:pt>
                <c:pt idx="7">
                  <c:v>5.681818181818182E-3</c:v>
                </c:pt>
                <c:pt idx="8">
                  <c:v>5.681818181818182E-3</c:v>
                </c:pt>
                <c:pt idx="9">
                  <c:v>5.681818181818182E-3</c:v>
                </c:pt>
                <c:pt idx="10">
                  <c:v>5.681818181818182E-3</c:v>
                </c:pt>
                <c:pt idx="11">
                  <c:v>5.681818181818182E-3</c:v>
                </c:pt>
                <c:pt idx="12">
                  <c:v>5.681818181818182E-3</c:v>
                </c:pt>
                <c:pt idx="13">
                  <c:v>5.681818181818182E-3</c:v>
                </c:pt>
                <c:pt idx="14">
                  <c:v>5.681818181818182E-3</c:v>
                </c:pt>
                <c:pt idx="15">
                  <c:v>5.681818181818182E-3</c:v>
                </c:pt>
                <c:pt idx="16">
                  <c:v>6.0698027314112293E-3</c:v>
                </c:pt>
                <c:pt idx="17">
                  <c:v>8.1712698153293024E-3</c:v>
                </c:pt>
                <c:pt idx="18">
                  <c:v>8.1712698153293024E-3</c:v>
                </c:pt>
                <c:pt idx="19">
                  <c:v>3.6609921288669233E-3</c:v>
                </c:pt>
                <c:pt idx="20">
                  <c:v>3.6609921288669233E-3</c:v>
                </c:pt>
                <c:pt idx="21">
                  <c:v>2.3269423860699922E-3</c:v>
                </c:pt>
              </c:numCache>
            </c:numRef>
          </c:xVal>
          <c:yVal>
            <c:numRef>
              <c:f>Mass!$W$87:$W$108</c:f>
              <c:numCache>
                <c:formatCode>General</c:formatCode>
                <c:ptCount val="22"/>
                <c:pt idx="0">
                  <c:v>3.3898305084743936</c:v>
                </c:pt>
                <c:pt idx="1">
                  <c:v>5.8823529411759194</c:v>
                </c:pt>
                <c:pt idx="2">
                  <c:v>-62.500000000034639</c:v>
                </c:pt>
                <c:pt idx="4">
                  <c:v>-6.6666666666664138</c:v>
                </c:pt>
                <c:pt idx="6">
                  <c:v>-49.99999999997442</c:v>
                </c:pt>
                <c:pt idx="8">
                  <c:v>18.518518518517816</c:v>
                </c:pt>
                <c:pt idx="9">
                  <c:v>76.923076923045983</c:v>
                </c:pt>
                <c:pt idx="10">
                  <c:v>41.666666666665087</c:v>
                </c:pt>
                <c:pt idx="11">
                  <c:v>-58.823529411778864</c:v>
                </c:pt>
                <c:pt idx="13">
                  <c:v>5.5555555555553449</c:v>
                </c:pt>
                <c:pt idx="17">
                  <c:v>76.923076923045983</c:v>
                </c:pt>
                <c:pt idx="18">
                  <c:v>-11.627906976744386</c:v>
                </c:pt>
                <c:pt idx="19">
                  <c:v>1.499250374812654</c:v>
                </c:pt>
                <c:pt idx="20">
                  <c:v>1.7667844522969007</c:v>
                </c:pt>
                <c:pt idx="21">
                  <c:v>2.1739130434782608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FC-4D98-8FF1-A4AED284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Errors!$U$13</c:f>
              <c:strCache>
                <c:ptCount val="1"/>
                <c:pt idx="0">
                  <c:v>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Errors!$T$14:$T$28</c:f>
              <c:numCache>
                <c:formatCode>0.0</c:formatCode>
                <c:ptCount val="15"/>
                <c:pt idx="0">
                  <c:v>4.5</c:v>
                </c:pt>
                <c:pt idx="1">
                  <c:v>8</c:v>
                </c:pt>
                <c:pt idx="2">
                  <c:v>9.3000000000000007</c:v>
                </c:pt>
                <c:pt idx="3">
                  <c:v>10.3</c:v>
                </c:pt>
                <c:pt idx="4">
                  <c:v>10.5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</c:numCache>
            </c:numRef>
          </c:xVal>
          <c:yVal>
            <c:numRef>
              <c:f>Errors!$U$14:$U$28</c:f>
              <c:numCache>
                <c:formatCode>General</c:formatCode>
                <c:ptCount val="15"/>
                <c:pt idx="0">
                  <c:v>0.82269999999999999</c:v>
                </c:pt>
                <c:pt idx="1">
                  <c:v>0.80959999999999999</c:v>
                </c:pt>
                <c:pt idx="2">
                  <c:v>0.79490000000000005</c:v>
                </c:pt>
                <c:pt idx="3">
                  <c:v>0.8125</c:v>
                </c:pt>
                <c:pt idx="4">
                  <c:v>0.80010000000000003</c:v>
                </c:pt>
                <c:pt idx="5">
                  <c:v>0.70950000000000002</c:v>
                </c:pt>
                <c:pt idx="6">
                  <c:v>0.71840000000000004</c:v>
                </c:pt>
                <c:pt idx="7">
                  <c:v>0.70920000000000005</c:v>
                </c:pt>
                <c:pt idx="8">
                  <c:v>0.71560000000000001</c:v>
                </c:pt>
                <c:pt idx="9">
                  <c:v>0.72919999999999996</c:v>
                </c:pt>
                <c:pt idx="10">
                  <c:v>0.6925</c:v>
                </c:pt>
                <c:pt idx="11">
                  <c:v>0.70430000000000004</c:v>
                </c:pt>
                <c:pt idx="12">
                  <c:v>0.70820000000000005</c:v>
                </c:pt>
                <c:pt idx="13">
                  <c:v>0.71330000000000005</c:v>
                </c:pt>
                <c:pt idx="14" formatCode="0.0000">
                  <c:v>0.68799999999999994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9-4FA5-A7FF-033EE587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33120"/>
        <c:axId val="644424208"/>
      </c:scatterChart>
      <c:valAx>
        <c:axId val="20571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T_bottle</a:t>
                </a:r>
                <a:r>
                  <a:rPr lang="en-SG" baseline="0"/>
                  <a:t> (C)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4208"/>
        <c:crosses val="autoZero"/>
        <c:crossBetween val="midCat"/>
      </c:valAx>
      <c:valAx>
        <c:axId val="6444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Mass</a:t>
                </a:r>
                <a:r>
                  <a:rPr lang="en-SG" baseline="0"/>
                  <a:t> (g)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485775</xdr:colOff>
      <xdr:row>12</xdr:row>
      <xdr:rowOff>79949</xdr:rowOff>
    </xdr:from>
    <xdr:to>
      <xdr:col>37</xdr:col>
      <xdr:colOff>316783</xdr:colOff>
      <xdr:row>26</xdr:row>
      <xdr:rowOff>134770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100998-0FEF-9AF2-317E-5759A018E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5775" y="2365949"/>
          <a:ext cx="4707808" cy="2721821"/>
        </a:xfrm>
        <a:prstGeom prst="rect">
          <a:avLst/>
        </a:prstGeom>
      </xdr:spPr>
    </xdr:pic>
    <xdr:clientData/>
  </xdr:twoCellAnchor>
  <xdr:twoCellAnchor>
    <xdr:from>
      <xdr:col>18</xdr:col>
      <xdr:colOff>314325</xdr:colOff>
      <xdr:row>27</xdr:row>
      <xdr:rowOff>171450</xdr:rowOff>
    </xdr:from>
    <xdr:to>
      <xdr:col>28</xdr:col>
      <xdr:colOff>9525</xdr:colOff>
      <xdr:row>42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E0739-286E-4C60-9B73-AAD4B1B4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65</xdr:row>
      <xdr:rowOff>71437</xdr:rowOff>
    </xdr:from>
    <xdr:to>
      <xdr:col>22</xdr:col>
      <xdr:colOff>485775</xdr:colOff>
      <xdr:row>79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95264-96D6-416B-CB4B-E5F50DE6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113</xdr:row>
      <xdr:rowOff>119062</xdr:rowOff>
    </xdr:from>
    <xdr:to>
      <xdr:col>24</xdr:col>
      <xdr:colOff>0</xdr:colOff>
      <xdr:row>128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71E63-DD86-E108-2EE7-B4238DE51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219075</xdr:colOff>
      <xdr:row>84</xdr:row>
      <xdr:rowOff>133350</xdr:rowOff>
    </xdr:from>
    <xdr:to>
      <xdr:col>33</xdr:col>
      <xdr:colOff>523875</xdr:colOff>
      <xdr:row>99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8CEE0-F456-429B-AE13-23A53DAE6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466725</xdr:colOff>
      <xdr:row>102</xdr:row>
      <xdr:rowOff>66675</xdr:rowOff>
    </xdr:from>
    <xdr:to>
      <xdr:col>33</xdr:col>
      <xdr:colOff>161925</xdr:colOff>
      <xdr:row>116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AF1DF-1FE5-488F-8454-40A922A3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12</xdr:row>
      <xdr:rowOff>71437</xdr:rowOff>
    </xdr:from>
    <xdr:to>
      <xdr:col>10</xdr:col>
      <xdr:colOff>409575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BD27-7190-DD27-956F-B7E40E2A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aterials.springer.com/googlecdn/assets/sm_lbs/504/sm_lbs_978-3-540-49122-4_4/sm_lbs_978-3-540-49122-4_4.pdf?trackRequired=true&amp;originUrl=/lb/docs/sm_lbs_978-3-540-49122-4_4&amp;componentId=Download%20Chapter" TargetMode="External"/><Relationship Id="rId1" Type="http://schemas.openxmlformats.org/officeDocument/2006/relationships/hyperlink" Target="https://core.ac.uk/download/pdf/33353988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tabSelected="1" zoomScaleNormal="100" workbookViewId="0">
      <pane ySplit="1" topLeftCell="A2" activePane="bottomLeft" state="frozen"/>
      <selection pane="bottomLeft" activeCell="R36" sqref="R36"/>
    </sheetView>
  </sheetViews>
  <sheetFormatPr defaultRowHeight="15"/>
  <cols>
    <col min="9" max="9" width="9.140625" style="2"/>
    <col min="11" max="11" width="9.140625" style="2"/>
    <col min="12" max="12" width="9.140625" style="4"/>
    <col min="13" max="13" width="9.140625" style="2"/>
    <col min="16" max="16" width="9.140625" style="44"/>
    <col min="17" max="17" width="9.140625" style="4"/>
    <col min="18" max="19" width="9.140625" style="2"/>
    <col min="20" max="20" width="9.140625" style="41"/>
  </cols>
  <sheetData>
    <row r="1" spans="1:30">
      <c r="A1" t="s">
        <v>0</v>
      </c>
      <c r="B1" t="s">
        <v>1</v>
      </c>
      <c r="C1" t="s">
        <v>27</v>
      </c>
      <c r="D1" t="s">
        <v>3</v>
      </c>
      <c r="E1" t="s">
        <v>22</v>
      </c>
      <c r="F1" t="s">
        <v>11</v>
      </c>
      <c r="G1" t="s">
        <v>23</v>
      </c>
      <c r="H1" t="s">
        <v>13</v>
      </c>
      <c r="I1" s="2" t="s">
        <v>15</v>
      </c>
      <c r="J1" t="s">
        <v>14</v>
      </c>
      <c r="K1" s="2" t="s">
        <v>15</v>
      </c>
      <c r="L1" s="4" t="s">
        <v>16</v>
      </c>
      <c r="M1" s="2" t="s">
        <v>17</v>
      </c>
      <c r="N1" t="s">
        <v>5</v>
      </c>
      <c r="O1" t="s">
        <v>6</v>
      </c>
      <c r="P1" s="44" t="s">
        <v>8</v>
      </c>
      <c r="Q1" s="4" t="s">
        <v>9</v>
      </c>
      <c r="R1" s="2" t="s">
        <v>10</v>
      </c>
      <c r="S1" s="2" t="s">
        <v>123</v>
      </c>
      <c r="T1" s="41" t="s">
        <v>133</v>
      </c>
      <c r="U1" t="s">
        <v>117</v>
      </c>
      <c r="V1" t="s">
        <v>160</v>
      </c>
      <c r="W1" t="s">
        <v>162</v>
      </c>
      <c r="X1" t="s">
        <v>159</v>
      </c>
      <c r="Y1" t="s">
        <v>161</v>
      </c>
      <c r="Z1" t="s">
        <v>163</v>
      </c>
      <c r="AA1" t="s">
        <v>183</v>
      </c>
      <c r="AB1" t="s">
        <v>159</v>
      </c>
      <c r="AC1" t="s">
        <v>161</v>
      </c>
      <c r="AD1" t="s">
        <v>163</v>
      </c>
    </row>
    <row r="2" spans="1:30">
      <c r="A2" t="s">
        <v>28</v>
      </c>
      <c r="B2" s="1">
        <v>44725</v>
      </c>
      <c r="C2" s="7">
        <v>299.14999999999998</v>
      </c>
      <c r="D2" s="7" t="s">
        <v>4</v>
      </c>
      <c r="E2" s="7">
        <v>0.25</v>
      </c>
      <c r="F2" s="7"/>
    </row>
    <row r="3" spans="1:30">
      <c r="B3" s="13">
        <v>44735</v>
      </c>
      <c r="C3" s="7">
        <v>299.14999999999998</v>
      </c>
      <c r="D3" s="7" t="s">
        <v>4</v>
      </c>
      <c r="E3" s="7">
        <v>0.25</v>
      </c>
      <c r="F3" s="7" t="s">
        <v>19</v>
      </c>
      <c r="G3" s="7" t="s">
        <v>25</v>
      </c>
      <c r="H3" s="8">
        <v>0.44</v>
      </c>
      <c r="I3" s="9">
        <v>5.0000000000000001E-3</v>
      </c>
      <c r="J3" s="8">
        <v>4.5599999999999996</v>
      </c>
      <c r="K3" s="9">
        <v>0.03</v>
      </c>
      <c r="L3" s="14">
        <v>4.8739999999999997</v>
      </c>
      <c r="M3" s="6">
        <v>1E-4</v>
      </c>
      <c r="N3" s="7">
        <v>177.19</v>
      </c>
      <c r="O3" s="7">
        <f>N3-Values!$D$2</f>
        <v>1.1899999999999977</v>
      </c>
      <c r="P3" s="43">
        <v>278.29000000000002</v>
      </c>
      <c r="Q3" s="10"/>
      <c r="R3" s="6"/>
      <c r="S3" s="6"/>
      <c r="T3" s="42"/>
    </row>
    <row r="4" spans="1:30">
      <c r="B4" s="13">
        <v>44739</v>
      </c>
      <c r="C4" s="7">
        <v>299.14999999999998</v>
      </c>
      <c r="D4" s="7" t="s">
        <v>4</v>
      </c>
      <c r="E4" s="7">
        <v>0.25</v>
      </c>
      <c r="F4" s="7" t="s">
        <v>19</v>
      </c>
      <c r="G4" s="7" t="s">
        <v>25</v>
      </c>
      <c r="H4" s="8">
        <v>0.87</v>
      </c>
      <c r="I4" s="9">
        <v>6.0000000000000001E-3</v>
      </c>
      <c r="J4" s="8">
        <v>4.13</v>
      </c>
      <c r="K4" s="9">
        <v>0.03</v>
      </c>
      <c r="L4" s="10">
        <v>4.7478999999999996</v>
      </c>
      <c r="M4" s="6">
        <v>1E-4</v>
      </c>
      <c r="N4" s="8">
        <v>177.03</v>
      </c>
      <c r="O4" s="7">
        <f>N4-Values!$D$2</f>
        <v>1.0300000000000011</v>
      </c>
      <c r="P4" s="43">
        <v>272.2</v>
      </c>
      <c r="R4" s="6"/>
      <c r="S4" s="6"/>
      <c r="T4" s="42"/>
      <c r="U4" s="7"/>
      <c r="V4" s="7"/>
      <c r="W4" s="7"/>
      <c r="X4" s="7"/>
      <c r="Y4" s="7"/>
    </row>
    <row r="5" spans="1:30">
      <c r="B5" s="13">
        <v>44754</v>
      </c>
      <c r="C5" s="7">
        <v>299.14999999999998</v>
      </c>
      <c r="D5" s="7" t="s">
        <v>4</v>
      </c>
      <c r="E5" s="7">
        <v>0.25</v>
      </c>
      <c r="F5" s="7" t="s">
        <v>19</v>
      </c>
      <c r="G5" s="7" t="s">
        <v>25</v>
      </c>
      <c r="H5" s="8">
        <v>1.5</v>
      </c>
      <c r="I5" s="9">
        <v>0.01</v>
      </c>
      <c r="J5" s="8">
        <v>3.5</v>
      </c>
      <c r="K5" s="9">
        <v>0.02</v>
      </c>
      <c r="L5" s="10">
        <v>4.5983000000000001</v>
      </c>
      <c r="M5" s="6">
        <v>1E-4</v>
      </c>
      <c r="N5" s="11">
        <v>176.49</v>
      </c>
      <c r="O5" s="7">
        <f>N5-Values!$D$2</f>
        <v>0.49000000000000909</v>
      </c>
      <c r="P5" s="45">
        <v>269.5</v>
      </c>
      <c r="Q5" s="5"/>
      <c r="R5" s="6"/>
      <c r="S5" s="6"/>
      <c r="T5" s="42"/>
      <c r="U5" s="7"/>
      <c r="V5" s="7"/>
      <c r="W5" s="7"/>
      <c r="X5" s="7"/>
      <c r="Y5" s="7"/>
    </row>
    <row r="6" spans="1:30">
      <c r="B6" s="13">
        <v>44756</v>
      </c>
      <c r="C6" s="7">
        <v>299.14999999999998</v>
      </c>
      <c r="D6" s="7" t="s">
        <v>4</v>
      </c>
      <c r="E6" s="7">
        <v>0.25</v>
      </c>
      <c r="F6" s="7" t="s">
        <v>19</v>
      </c>
      <c r="G6" s="7" t="s">
        <v>25</v>
      </c>
      <c r="H6" s="8">
        <v>2</v>
      </c>
      <c r="I6" s="9">
        <v>0.01</v>
      </c>
      <c r="J6" s="8">
        <v>3</v>
      </c>
      <c r="K6" s="9">
        <v>0.02</v>
      </c>
      <c r="L6" s="14">
        <v>4.55</v>
      </c>
      <c r="M6" s="6">
        <v>1E-4</v>
      </c>
      <c r="N6" s="11">
        <v>176.52</v>
      </c>
      <c r="O6" s="7">
        <f>N6-Values!$D$2</f>
        <v>0.52000000000001023</v>
      </c>
      <c r="P6" s="45">
        <v>260.08999999999997</v>
      </c>
      <c r="Q6" s="5"/>
      <c r="R6" s="6"/>
      <c r="S6" s="6"/>
      <c r="T6" s="42"/>
      <c r="U6" s="7"/>
      <c r="V6" s="7"/>
      <c r="W6" s="7"/>
      <c r="X6" s="7"/>
      <c r="Y6" s="7"/>
    </row>
    <row r="7" spans="1:30">
      <c r="B7" s="13">
        <v>44762</v>
      </c>
      <c r="C7" s="7">
        <v>299.14999999999998</v>
      </c>
      <c r="D7" s="7" t="s">
        <v>4</v>
      </c>
      <c r="E7" s="7">
        <v>0.25</v>
      </c>
      <c r="F7" s="7" t="s">
        <v>19</v>
      </c>
      <c r="G7" s="7" t="s">
        <v>25</v>
      </c>
      <c r="H7" s="8">
        <v>2.5</v>
      </c>
      <c r="I7" s="9">
        <v>0.02</v>
      </c>
      <c r="J7" s="8">
        <v>2.5</v>
      </c>
      <c r="K7" s="9">
        <v>0.02</v>
      </c>
      <c r="L7" s="14">
        <v>4.3986999999999998</v>
      </c>
      <c r="M7" s="6">
        <v>1E-4</v>
      </c>
      <c r="N7" s="11">
        <v>176.71</v>
      </c>
      <c r="O7" s="7">
        <f>N7-Values!$D$2</f>
        <v>0.71000000000000796</v>
      </c>
      <c r="P7" s="45">
        <v>259.66000000000003</v>
      </c>
      <c r="Q7" s="5"/>
      <c r="R7" s="6"/>
      <c r="S7" s="6"/>
      <c r="T7" s="42"/>
      <c r="U7" s="7"/>
      <c r="V7" s="7"/>
      <c r="W7" s="7"/>
      <c r="X7" s="7"/>
      <c r="Y7" s="7"/>
    </row>
    <row r="8" spans="1:30">
      <c r="B8" s="1">
        <v>44767</v>
      </c>
      <c r="C8" s="7">
        <v>299.14999999999998</v>
      </c>
      <c r="D8" s="7" t="s">
        <v>4</v>
      </c>
      <c r="E8" s="7">
        <v>0.25</v>
      </c>
      <c r="F8" s="7"/>
      <c r="G8" s="7" t="s">
        <v>25</v>
      </c>
      <c r="H8" s="8">
        <v>0</v>
      </c>
      <c r="I8" s="9">
        <v>0</v>
      </c>
      <c r="J8" s="8">
        <v>5</v>
      </c>
      <c r="K8" s="9">
        <v>0.03</v>
      </c>
      <c r="L8" s="14">
        <v>4.9859</v>
      </c>
      <c r="M8" s="6">
        <v>1E-4</v>
      </c>
      <c r="N8" s="11"/>
      <c r="O8" s="11"/>
      <c r="P8" s="46"/>
      <c r="Q8" s="5">
        <v>0</v>
      </c>
      <c r="U8" s="7"/>
      <c r="V8" s="7"/>
      <c r="W8" s="7"/>
      <c r="X8" s="7"/>
      <c r="Y8" s="7"/>
    </row>
    <row r="9" spans="1:30">
      <c r="B9" s="13">
        <v>44781</v>
      </c>
      <c r="C9" s="7">
        <v>299.14999999999998</v>
      </c>
      <c r="D9" s="7" t="s">
        <v>4</v>
      </c>
      <c r="E9" s="7">
        <v>0.25</v>
      </c>
      <c r="F9" s="7" t="s">
        <v>19</v>
      </c>
      <c r="G9" s="7" t="s">
        <v>25</v>
      </c>
      <c r="H9" s="8">
        <v>0.87</v>
      </c>
      <c r="I9" s="9">
        <v>6.0000000000000001E-3</v>
      </c>
      <c r="J9" s="8">
        <v>4.13</v>
      </c>
      <c r="K9" s="9">
        <v>0.03</v>
      </c>
      <c r="L9" s="10">
        <v>4.7648000000000001</v>
      </c>
      <c r="M9" s="6">
        <v>1E-4</v>
      </c>
      <c r="N9" s="8">
        <v>176.53</v>
      </c>
      <c r="O9" s="7">
        <f>N9-Values!$D$2</f>
        <v>0.53000000000000114</v>
      </c>
      <c r="P9" s="43">
        <v>274.60000000000002</v>
      </c>
      <c r="Q9" s="10"/>
      <c r="R9" s="6"/>
      <c r="S9" s="6"/>
      <c r="T9" s="42"/>
      <c r="U9" s="7"/>
      <c r="V9" s="7"/>
      <c r="W9" s="7"/>
      <c r="X9" s="7"/>
      <c r="Y9" s="7"/>
    </row>
    <row r="10" spans="1:30">
      <c r="B10" s="13">
        <v>44782</v>
      </c>
      <c r="C10" s="7">
        <v>299.14999999999998</v>
      </c>
      <c r="D10" s="7" t="s">
        <v>4</v>
      </c>
      <c r="E10" s="7">
        <v>0.1</v>
      </c>
      <c r="F10" s="7"/>
      <c r="G10" s="7" t="s">
        <v>25</v>
      </c>
      <c r="H10" s="8">
        <v>0</v>
      </c>
      <c r="I10" s="9">
        <v>0</v>
      </c>
      <c r="J10" s="8">
        <v>2.5</v>
      </c>
      <c r="K10" s="9">
        <v>0.02</v>
      </c>
      <c r="L10" s="14">
        <v>2.5108000000000001</v>
      </c>
      <c r="M10" s="6">
        <v>1E-4</v>
      </c>
      <c r="N10" s="11"/>
      <c r="O10" s="11"/>
      <c r="P10" s="46"/>
      <c r="Q10" s="5">
        <v>0</v>
      </c>
      <c r="R10" s="6"/>
      <c r="S10" s="6"/>
      <c r="T10" s="42"/>
      <c r="U10" s="7"/>
      <c r="V10" s="7"/>
      <c r="W10" s="7"/>
      <c r="X10" s="7"/>
      <c r="Y10" s="7"/>
    </row>
    <row r="11" spans="1:30">
      <c r="A11" t="s">
        <v>28</v>
      </c>
      <c r="B11" s="13">
        <v>44788</v>
      </c>
      <c r="C11" s="7">
        <v>299.14999999999998</v>
      </c>
      <c r="D11" s="7" t="s">
        <v>4</v>
      </c>
      <c r="E11" s="7">
        <v>0.1</v>
      </c>
      <c r="F11" s="7"/>
      <c r="G11" s="7"/>
      <c r="H11" s="7"/>
      <c r="I11" s="6"/>
      <c r="J11" s="7"/>
      <c r="K11" s="6"/>
      <c r="L11" s="15"/>
      <c r="M11" s="6"/>
      <c r="N11" s="7"/>
      <c r="O11" s="7"/>
      <c r="P11" s="43"/>
      <c r="Q11" s="7"/>
      <c r="R11" s="6"/>
      <c r="S11" s="39"/>
      <c r="T11" s="12"/>
      <c r="U11" s="7"/>
      <c r="V11" s="7"/>
      <c r="W11" s="7"/>
      <c r="X11" s="7"/>
      <c r="Y11" s="7"/>
    </row>
    <row r="12" spans="1:30">
      <c r="B12" s="13">
        <v>44792</v>
      </c>
      <c r="C12" s="7">
        <v>299.14999999999998</v>
      </c>
      <c r="D12" s="7" t="s">
        <v>4</v>
      </c>
      <c r="E12" s="7">
        <v>0.1</v>
      </c>
      <c r="F12" s="7" t="s">
        <v>19</v>
      </c>
      <c r="G12" s="7" t="s">
        <v>25</v>
      </c>
      <c r="H12" s="8">
        <v>2</v>
      </c>
      <c r="I12" s="9">
        <v>0.01</v>
      </c>
      <c r="J12" s="8">
        <v>3</v>
      </c>
      <c r="K12" s="9">
        <v>0.02</v>
      </c>
      <c r="L12" s="10">
        <v>4.5857999999999999</v>
      </c>
      <c r="M12" s="6">
        <v>1E-4</v>
      </c>
      <c r="N12" s="11">
        <v>175.98400000000001</v>
      </c>
      <c r="O12" s="7">
        <f>N12-Values!$D$2</f>
        <v>-1.5999999999991132E-2</v>
      </c>
      <c r="P12" s="45">
        <v>262.5</v>
      </c>
      <c r="Q12" s="5">
        <v>8.1</v>
      </c>
      <c r="R12" s="6">
        <v>0.3</v>
      </c>
      <c r="S12" s="39">
        <f>R12/Q12*100</f>
        <v>3.7037037037037033</v>
      </c>
      <c r="T12" s="12">
        <v>8.4</v>
      </c>
      <c r="U12" s="38">
        <f>H12*Values!$E$11*Values!$D$10/Experiments!L12*100</f>
        <v>6.8821143530027484</v>
      </c>
      <c r="V12" s="53">
        <f>(P12^2)*(0.000036399) - 0.010674089*P12 + 0.748803387</f>
        <v>0.45497361825000027</v>
      </c>
      <c r="W12" s="53">
        <f>P12-V12</f>
        <v>262.04502638175001</v>
      </c>
      <c r="X12" s="5">
        <v>8.4</v>
      </c>
      <c r="Y12" s="54">
        <v>0.3</v>
      </c>
      <c r="Z12" s="55">
        <f>Y12/X12*100</f>
        <v>3.5714285714285712</v>
      </c>
    </row>
    <row r="13" spans="1:30">
      <c r="B13" s="13">
        <v>44798</v>
      </c>
      <c r="C13" s="7">
        <v>299.14999999999998</v>
      </c>
      <c r="D13" s="7" t="s">
        <v>4</v>
      </c>
      <c r="E13" s="7">
        <v>0.1</v>
      </c>
      <c r="F13" s="7" t="s">
        <v>12</v>
      </c>
      <c r="G13" s="7" t="s">
        <v>25</v>
      </c>
      <c r="H13" s="8">
        <v>5</v>
      </c>
      <c r="I13" s="9">
        <v>0.03</v>
      </c>
      <c r="J13" s="8">
        <v>0</v>
      </c>
      <c r="K13" s="9">
        <v>0</v>
      </c>
      <c r="L13" s="14">
        <v>3.7778</v>
      </c>
      <c r="M13" s="6">
        <v>1E-4</v>
      </c>
      <c r="N13" s="11">
        <v>175.988</v>
      </c>
      <c r="O13" s="7">
        <f>N13-Values!$D$2</f>
        <v>-1.2000000000000455E-2</v>
      </c>
      <c r="P13" s="45">
        <v>207.4</v>
      </c>
      <c r="Q13" s="5">
        <v>26.9</v>
      </c>
      <c r="R13" s="6">
        <v>0.1</v>
      </c>
      <c r="S13" s="39">
        <f t="shared" ref="S13:S24" si="0">R13/Q13*100</f>
        <v>0.37174721189591081</v>
      </c>
      <c r="T13" s="12">
        <v>27</v>
      </c>
      <c r="U13" s="38">
        <f>H13*Values!$E$7*Values!$D$6/Experiments!L13*100</f>
        <v>25.260138175657787</v>
      </c>
      <c r="V13" s="53">
        <f t="shared" ref="V13:V26" si="1">(P13^2)*(0.000036399) - 0.010674089*P13 + 0.748803387</f>
        <v>0.10069157764000025</v>
      </c>
      <c r="W13" s="53">
        <f t="shared" ref="W13:W26" si="2">P13-V13</f>
        <v>207.29930842236001</v>
      </c>
      <c r="X13" s="56">
        <v>26.93</v>
      </c>
      <c r="Y13" s="57">
        <f>26.975-26.9345</f>
        <v>4.0500000000001535E-2</v>
      </c>
      <c r="Z13" s="55">
        <f t="shared" ref="Z13:Z26" si="3">Y13/X13*100</f>
        <v>0.15038989974007255</v>
      </c>
    </row>
    <row r="14" spans="1:30">
      <c r="B14" s="13">
        <v>44805</v>
      </c>
      <c r="C14" s="7">
        <v>299.14999999999998</v>
      </c>
      <c r="D14" s="7" t="s">
        <v>4</v>
      </c>
      <c r="E14" s="7">
        <v>0.1</v>
      </c>
      <c r="F14" s="7" t="s">
        <v>19</v>
      </c>
      <c r="G14" s="7" t="s">
        <v>25</v>
      </c>
      <c r="H14" s="8">
        <v>0.44</v>
      </c>
      <c r="I14" s="9">
        <v>5.0000000000000001E-3</v>
      </c>
      <c r="J14" s="8">
        <v>4.5599999999999996</v>
      </c>
      <c r="K14" s="9">
        <v>0.03</v>
      </c>
      <c r="L14" s="10">
        <v>4.8872999999999998</v>
      </c>
      <c r="M14" s="6">
        <v>1E-4</v>
      </c>
      <c r="N14" s="11">
        <v>175.85</v>
      </c>
      <c r="O14" s="7">
        <f>N14-Values!$D$2</f>
        <v>-0.15000000000000568</v>
      </c>
      <c r="P14" s="45">
        <v>274.5</v>
      </c>
      <c r="Q14" s="5" t="s">
        <v>26</v>
      </c>
      <c r="R14" s="6" t="s">
        <v>21</v>
      </c>
      <c r="S14" s="39"/>
      <c r="T14" s="12"/>
      <c r="U14" s="38">
        <f>H14*Values!$E$11*Values!$D$10/Experiments!L14*100</f>
        <v>1.4206617150573939</v>
      </c>
      <c r="V14" s="53"/>
      <c r="W14" s="53"/>
      <c r="X14" s="56"/>
      <c r="Y14" s="56"/>
      <c r="Z14" s="55"/>
    </row>
    <row r="15" spans="1:30">
      <c r="B15" s="13">
        <v>44810</v>
      </c>
      <c r="C15" s="7">
        <v>299.14999999999998</v>
      </c>
      <c r="D15" s="7" t="s">
        <v>4</v>
      </c>
      <c r="E15" s="7">
        <v>0.1</v>
      </c>
      <c r="F15" s="7" t="s">
        <v>19</v>
      </c>
      <c r="G15" s="7" t="s">
        <v>25</v>
      </c>
      <c r="H15" s="8">
        <v>0.87</v>
      </c>
      <c r="I15" s="9">
        <v>6.0000000000000001E-3</v>
      </c>
      <c r="J15" s="8">
        <v>4.13</v>
      </c>
      <c r="K15" s="9">
        <v>0.03</v>
      </c>
      <c r="L15" s="10">
        <v>4.8402000000000003</v>
      </c>
      <c r="M15" s="6">
        <v>1E-4</v>
      </c>
      <c r="N15" s="11">
        <v>175.999</v>
      </c>
      <c r="O15" s="8">
        <f>N15-Values!$D$2</f>
        <v>-1.0000000000047748E-3</v>
      </c>
      <c r="P15" s="45">
        <v>271</v>
      </c>
      <c r="Q15" s="5">
        <v>2.5</v>
      </c>
      <c r="R15" s="6">
        <v>0.5</v>
      </c>
      <c r="S15" s="39">
        <f t="shared" si="0"/>
        <v>20</v>
      </c>
      <c r="T15" s="12">
        <v>2.9</v>
      </c>
      <c r="U15" s="38">
        <f>H15*Values!$E$11*Values!$D$10/Experiments!L15*100</f>
        <v>2.8363703979174417</v>
      </c>
      <c r="V15" s="53">
        <f t="shared" si="1"/>
        <v>0.52930422700000024</v>
      </c>
      <c r="W15" s="53">
        <f t="shared" si="2"/>
        <v>270.47069577299999</v>
      </c>
      <c r="X15" s="5">
        <v>2.9</v>
      </c>
      <c r="Y15" s="54">
        <v>0.5</v>
      </c>
      <c r="Z15" s="55">
        <f t="shared" si="3"/>
        <v>17.241379310344829</v>
      </c>
    </row>
    <row r="16" spans="1:30">
      <c r="B16" s="13">
        <v>44816</v>
      </c>
      <c r="C16" s="7">
        <v>299.14999999999998</v>
      </c>
      <c r="D16" s="7" t="s">
        <v>4</v>
      </c>
      <c r="E16" s="7">
        <v>0.1</v>
      </c>
      <c r="F16" s="7" t="s">
        <v>19</v>
      </c>
      <c r="G16" s="7" t="s">
        <v>25</v>
      </c>
      <c r="H16" s="8">
        <v>1.5</v>
      </c>
      <c r="I16" s="9">
        <v>0.01</v>
      </c>
      <c r="J16" s="8">
        <v>3.5</v>
      </c>
      <c r="K16" s="9">
        <v>0.02</v>
      </c>
      <c r="L16" s="10">
        <v>4.6292999999999997</v>
      </c>
      <c r="M16" s="6">
        <v>1E-4</v>
      </c>
      <c r="N16" s="11">
        <v>175.98</v>
      </c>
      <c r="O16" s="7">
        <f>N16-Values!$D$2</f>
        <v>-2.0000000000010232E-2</v>
      </c>
      <c r="P16" s="45">
        <v>267.8</v>
      </c>
      <c r="Q16" s="5">
        <v>4.9000000000000004</v>
      </c>
      <c r="R16" s="6">
        <v>0.5</v>
      </c>
      <c r="S16" s="39">
        <f t="shared" si="0"/>
        <v>10.204081632653059</v>
      </c>
      <c r="T16" s="12">
        <v>5.2</v>
      </c>
      <c r="U16" s="38">
        <f>H16*Values!$E$11*Values!$D$10/Experiments!L16*100</f>
        <v>5.1130840515844742</v>
      </c>
      <c r="V16" s="53">
        <f t="shared" si="1"/>
        <v>0.5007036119600009</v>
      </c>
      <c r="W16" s="53">
        <f t="shared" si="2"/>
        <v>267.29929638804003</v>
      </c>
      <c r="X16" s="5">
        <v>5.2</v>
      </c>
      <c r="Y16" s="54">
        <v>0.5</v>
      </c>
      <c r="Z16" s="55">
        <f t="shared" si="3"/>
        <v>9.615384615384615</v>
      </c>
    </row>
    <row r="17" spans="1:26">
      <c r="B17" s="13">
        <v>44820</v>
      </c>
      <c r="C17" s="7">
        <v>299.14999999999998</v>
      </c>
      <c r="D17" s="7" t="s">
        <v>4</v>
      </c>
      <c r="E17" s="7">
        <v>0.1</v>
      </c>
      <c r="F17" s="7" t="s">
        <v>19</v>
      </c>
      <c r="G17" s="7" t="s">
        <v>25</v>
      </c>
      <c r="H17" s="8">
        <v>2.5</v>
      </c>
      <c r="I17" s="9">
        <v>0.02</v>
      </c>
      <c r="J17" s="8">
        <v>2.5</v>
      </c>
      <c r="K17" s="9">
        <v>0.02</v>
      </c>
      <c r="L17" s="14">
        <v>4.5202</v>
      </c>
      <c r="M17" s="6">
        <v>1E-4</v>
      </c>
      <c r="N17" s="11">
        <v>175.95500000000001</v>
      </c>
      <c r="O17" s="7">
        <f>N17-Values!$D$2</f>
        <v>-4.4999999999987494E-2</v>
      </c>
      <c r="P17" s="45">
        <v>259.60000000000002</v>
      </c>
      <c r="Q17" s="5">
        <v>9.6999999999999993</v>
      </c>
      <c r="R17" s="6">
        <v>0.3</v>
      </c>
      <c r="S17" s="39">
        <f t="shared" si="0"/>
        <v>3.0927835051546393</v>
      </c>
      <c r="T17" s="12">
        <v>10</v>
      </c>
      <c r="U17" s="38">
        <f>H17*Values!$E$11*Values!$D$10/Experiments!L17*100</f>
        <v>8.7274899340737129</v>
      </c>
      <c r="V17" s="53">
        <f t="shared" si="1"/>
        <v>0.4308171144400007</v>
      </c>
      <c r="W17" s="53">
        <f t="shared" si="2"/>
        <v>259.16918288556002</v>
      </c>
      <c r="X17" s="5">
        <v>10</v>
      </c>
      <c r="Y17" s="54">
        <v>0.2</v>
      </c>
      <c r="Z17" s="55">
        <f t="shared" si="3"/>
        <v>2</v>
      </c>
    </row>
    <row r="18" spans="1:26">
      <c r="B18" s="13">
        <v>44826</v>
      </c>
      <c r="C18" s="7">
        <v>319.14999999999998</v>
      </c>
      <c r="D18" s="7" t="s">
        <v>18</v>
      </c>
      <c r="E18" s="7">
        <v>0.1</v>
      </c>
      <c r="F18" s="7" t="s">
        <v>19</v>
      </c>
      <c r="G18" s="7" t="s">
        <v>25</v>
      </c>
      <c r="H18" s="8" t="s">
        <v>20</v>
      </c>
      <c r="I18" s="9"/>
      <c r="J18" s="8" t="s">
        <v>20</v>
      </c>
      <c r="K18" s="9"/>
      <c r="L18" s="10">
        <v>0.96419999999999995</v>
      </c>
      <c r="M18" s="6">
        <v>1E-4</v>
      </c>
      <c r="N18" s="11">
        <v>176.054</v>
      </c>
      <c r="O18" s="7">
        <f>N18-Values!$D$2</f>
        <v>5.4000000000002046E-2</v>
      </c>
      <c r="P18" s="45" t="s">
        <v>90</v>
      </c>
      <c r="Q18" s="5">
        <v>2.9</v>
      </c>
      <c r="R18" s="6">
        <v>0.4</v>
      </c>
      <c r="S18" s="39">
        <f t="shared" si="0"/>
        <v>13.793103448275861</v>
      </c>
      <c r="T18" s="12">
        <v>3.3</v>
      </c>
      <c r="U18" s="7"/>
      <c r="V18" t="s">
        <v>91</v>
      </c>
      <c r="W18" s="53"/>
      <c r="X18" s="10"/>
      <c r="Y18" s="54"/>
      <c r="Z18" s="55"/>
    </row>
    <row r="19" spans="1:26">
      <c r="B19" s="13">
        <v>44833</v>
      </c>
      <c r="C19" s="7">
        <v>319.14999999999998</v>
      </c>
      <c r="D19" s="7" t="s">
        <v>4</v>
      </c>
      <c r="E19" s="7">
        <v>0.1</v>
      </c>
      <c r="F19" s="13" t="s">
        <v>12</v>
      </c>
      <c r="G19" s="13" t="s">
        <v>25</v>
      </c>
      <c r="H19" s="8">
        <v>4.0839999999999996</v>
      </c>
      <c r="I19" s="9">
        <v>0.03</v>
      </c>
      <c r="J19" s="8">
        <v>0.91600000000000004</v>
      </c>
      <c r="K19" s="9">
        <v>6.0000000000000001E-3</v>
      </c>
      <c r="L19" s="10">
        <v>3.7107000000000001</v>
      </c>
      <c r="M19" s="6">
        <v>1E-4</v>
      </c>
      <c r="N19" s="11">
        <v>176.01300000000001</v>
      </c>
      <c r="O19" s="7">
        <f>N19-Values!$D$2</f>
        <v>1.300000000000523E-2</v>
      </c>
      <c r="P19" s="45">
        <v>235.2</v>
      </c>
      <c r="Q19" s="5">
        <v>20</v>
      </c>
      <c r="R19" s="6">
        <v>0.2</v>
      </c>
      <c r="S19" s="39">
        <f t="shared" si="0"/>
        <v>1</v>
      </c>
      <c r="T19" s="12">
        <v>20.2</v>
      </c>
      <c r="U19" s="38">
        <f>H19*Values!$E$7*Values!$D$6/Experiments!L19*100</f>
        <v>21.005574743309882</v>
      </c>
      <c r="V19" s="53">
        <f t="shared" si="1"/>
        <v>0.25181539115999996</v>
      </c>
      <c r="W19" s="53">
        <f t="shared" si="2"/>
        <v>234.94818460883999</v>
      </c>
      <c r="X19" s="5">
        <v>20.100000000000001</v>
      </c>
      <c r="Y19" s="54">
        <v>0.1</v>
      </c>
      <c r="Z19" s="55">
        <f t="shared" si="3"/>
        <v>0.49751243781094528</v>
      </c>
    </row>
    <row r="20" spans="1:26">
      <c r="A20" t="s">
        <v>28</v>
      </c>
      <c r="B20" s="13">
        <v>44844</v>
      </c>
      <c r="C20" s="7">
        <v>319.14999999999998</v>
      </c>
      <c r="D20" s="7" t="s">
        <v>4</v>
      </c>
      <c r="E20" s="7">
        <v>0.1</v>
      </c>
      <c r="F20" s="7"/>
      <c r="G20" s="7"/>
      <c r="H20" s="7"/>
      <c r="I20" s="6"/>
      <c r="J20" s="7"/>
      <c r="K20" s="6"/>
      <c r="L20" s="7"/>
      <c r="M20" s="6"/>
      <c r="N20" s="7"/>
      <c r="O20" s="7"/>
      <c r="P20" s="43"/>
      <c r="Q20" s="7"/>
      <c r="R20" s="6"/>
      <c r="S20" s="39"/>
      <c r="T20" s="12"/>
      <c r="U20" s="7"/>
      <c r="V20" s="53"/>
      <c r="W20" s="53"/>
      <c r="X20" s="10"/>
      <c r="Y20" s="54"/>
      <c r="Z20" s="55"/>
    </row>
    <row r="21" spans="1:26">
      <c r="B21" s="13">
        <v>44848</v>
      </c>
      <c r="C21" s="7">
        <v>319.14999999999998</v>
      </c>
      <c r="D21" s="7" t="s">
        <v>4</v>
      </c>
      <c r="E21" s="7">
        <v>0.1</v>
      </c>
      <c r="F21" s="13" t="s">
        <v>12</v>
      </c>
      <c r="G21" s="13" t="s">
        <v>24</v>
      </c>
      <c r="H21" s="8">
        <v>3.1989999999999998</v>
      </c>
      <c r="I21" s="9">
        <f>0.006*4</f>
        <v>2.4E-2</v>
      </c>
      <c r="J21" s="8">
        <v>1.8009999999999999</v>
      </c>
      <c r="K21" s="9">
        <f>0.006*2</f>
        <v>1.2E-2</v>
      </c>
      <c r="L21" s="10">
        <v>3.8153000000000001</v>
      </c>
      <c r="M21" s="6">
        <v>1E-4</v>
      </c>
      <c r="N21" s="11">
        <v>176.024</v>
      </c>
      <c r="O21" s="7">
        <f>N21-Values!$D$2</f>
        <v>2.4000000000000909E-2</v>
      </c>
      <c r="P21" s="45">
        <v>250.7</v>
      </c>
      <c r="Q21" s="5">
        <v>14.2</v>
      </c>
      <c r="R21" s="6">
        <v>0.3</v>
      </c>
      <c r="S21" s="39">
        <f t="shared" si="0"/>
        <v>2.112676056338028</v>
      </c>
      <c r="T21" s="12">
        <v>14.4</v>
      </c>
      <c r="U21" s="38">
        <f>H21*Values!$E$7*Values!$D$6/Experiments!L21*100</f>
        <v>16.002588118889729</v>
      </c>
      <c r="V21" s="53">
        <f t="shared" si="1"/>
        <v>0.36050426021000026</v>
      </c>
      <c r="W21" s="53">
        <f t="shared" si="2"/>
        <v>250.33949573978998</v>
      </c>
      <c r="X21" s="5">
        <v>14.4</v>
      </c>
      <c r="Y21" s="54">
        <v>0.2</v>
      </c>
      <c r="Z21" s="55">
        <f t="shared" si="3"/>
        <v>1.3888888888888891</v>
      </c>
    </row>
    <row r="22" spans="1:26">
      <c r="A22" t="s">
        <v>28</v>
      </c>
      <c r="B22" s="1">
        <v>44854</v>
      </c>
      <c r="C22" s="7">
        <v>319.14999999999998</v>
      </c>
      <c r="D22" s="7" t="s">
        <v>18</v>
      </c>
      <c r="E22" s="7">
        <v>0.1</v>
      </c>
      <c r="S22" s="39"/>
      <c r="T22" s="12"/>
      <c r="V22" s="53"/>
      <c r="W22" s="53"/>
      <c r="X22" s="4"/>
      <c r="Y22" s="58"/>
      <c r="Z22" s="55"/>
    </row>
    <row r="23" spans="1:26">
      <c r="B23" s="1">
        <v>44861</v>
      </c>
      <c r="C23" s="7">
        <v>319.14999999999998</v>
      </c>
      <c r="D23" s="7" t="s">
        <v>4</v>
      </c>
      <c r="E23" s="7">
        <v>0.1</v>
      </c>
      <c r="F23" s="7" t="s">
        <v>12</v>
      </c>
      <c r="G23" s="7" t="s">
        <v>24</v>
      </c>
      <c r="H23">
        <v>2.077</v>
      </c>
      <c r="I23" s="2">
        <f>0.006*3</f>
        <v>1.8000000000000002E-2</v>
      </c>
      <c r="J23">
        <v>2.923</v>
      </c>
      <c r="K23" s="2">
        <v>1.7999999999999999E-2</v>
      </c>
      <c r="L23" s="4">
        <v>4.1943000000000001</v>
      </c>
      <c r="M23" s="6">
        <v>1E-4</v>
      </c>
      <c r="N23" s="11">
        <v>175.983</v>
      </c>
      <c r="O23" s="7">
        <f>N23-Values!$D$2</f>
        <v>-1.6999999999995907E-2</v>
      </c>
      <c r="P23" s="44">
        <v>262.8</v>
      </c>
      <c r="Q23" s="4">
        <v>7.9</v>
      </c>
      <c r="R23" s="2">
        <v>0.3</v>
      </c>
      <c r="S23" s="39">
        <f t="shared" si="0"/>
        <v>3.7974683544303791</v>
      </c>
      <c r="T23" s="12">
        <v>8.1999999999999993</v>
      </c>
      <c r="U23" s="38">
        <f>H23*Values!$E$7*Values!$D$6/Experiments!L23*100</f>
        <v>9.4510853658536558</v>
      </c>
      <c r="V23" s="53">
        <f t="shared" si="1"/>
        <v>0.45750750996000045</v>
      </c>
      <c r="W23" s="53">
        <f t="shared" si="2"/>
        <v>262.34249249004</v>
      </c>
      <c r="X23" s="5">
        <v>8.1999999999999993</v>
      </c>
      <c r="Y23" s="58">
        <v>0.3</v>
      </c>
      <c r="Z23" s="55">
        <f t="shared" si="3"/>
        <v>3.6585365853658542</v>
      </c>
    </row>
    <row r="24" spans="1:26">
      <c r="B24" s="1">
        <v>44865</v>
      </c>
      <c r="C24" s="7">
        <v>319.14999999999998</v>
      </c>
      <c r="D24" s="7" t="s">
        <v>4</v>
      </c>
      <c r="E24" s="7">
        <v>0.1</v>
      </c>
      <c r="F24" s="7" t="s">
        <v>12</v>
      </c>
      <c r="G24" s="7" t="s">
        <v>24</v>
      </c>
      <c r="H24">
        <v>0.98799999999999999</v>
      </c>
      <c r="I24" s="2">
        <v>6.0000000000000001E-3</v>
      </c>
      <c r="J24">
        <v>4.0119999999999996</v>
      </c>
      <c r="K24" s="2">
        <v>0.03</v>
      </c>
      <c r="L24" s="4">
        <v>4.6844000000000001</v>
      </c>
      <c r="M24" s="6">
        <v>1E-4</v>
      </c>
      <c r="N24" s="11">
        <v>175.999</v>
      </c>
      <c r="O24" s="7">
        <f>N24-Values!$D$2</f>
        <v>-1.0000000000047748E-3</v>
      </c>
      <c r="P24" s="44">
        <v>270.5</v>
      </c>
      <c r="Q24" s="4">
        <v>2.9</v>
      </c>
      <c r="R24" s="36">
        <v>0.4</v>
      </c>
      <c r="S24" s="39">
        <f t="shared" si="0"/>
        <v>13.793103448275861</v>
      </c>
      <c r="T24" s="12">
        <v>3.3</v>
      </c>
      <c r="U24" s="38">
        <f>H24*Values!$E$7*Values!$D$6/Experiments!L24*100</f>
        <v>4.025387114678507</v>
      </c>
      <c r="V24" s="53">
        <f t="shared" si="1"/>
        <v>0.52478624225000059</v>
      </c>
      <c r="W24" s="53">
        <f t="shared" si="2"/>
        <v>269.97521375775</v>
      </c>
      <c r="X24" s="5">
        <v>3.3</v>
      </c>
      <c r="Y24" s="55">
        <v>0.4</v>
      </c>
      <c r="Z24" s="55">
        <f t="shared" si="3"/>
        <v>12.121212121212123</v>
      </c>
    </row>
    <row r="25" spans="1:26">
      <c r="B25" s="1">
        <v>44872</v>
      </c>
      <c r="C25" s="7">
        <v>320.14999999999998</v>
      </c>
      <c r="D25" s="7" t="s">
        <v>4</v>
      </c>
      <c r="E25" s="7">
        <v>0.1</v>
      </c>
      <c r="F25" s="7" t="s">
        <v>12</v>
      </c>
      <c r="G25" s="7" t="s">
        <v>24</v>
      </c>
      <c r="H25">
        <v>0.50800000000000001</v>
      </c>
      <c r="I25" s="2">
        <v>6.0000000000000001E-3</v>
      </c>
      <c r="J25" s="7">
        <v>4.492</v>
      </c>
      <c r="K25" s="2">
        <v>2.9000000000000001E-2</v>
      </c>
      <c r="L25" s="4">
        <v>4.8505000000000003</v>
      </c>
      <c r="M25" s="2">
        <v>1E-4</v>
      </c>
      <c r="N25" s="11">
        <v>176.18</v>
      </c>
      <c r="O25" s="7">
        <f>N25-Values!$D$2</f>
        <v>0.18000000000000682</v>
      </c>
      <c r="P25" s="47">
        <v>273.47766999999999</v>
      </c>
      <c r="Q25" s="10" t="s">
        <v>119</v>
      </c>
      <c r="S25" s="6"/>
      <c r="T25" s="42">
        <v>0.3</v>
      </c>
      <c r="U25" s="38">
        <f>H25*Values!$E$7*Values!$D$6/Experiments!L25*100</f>
        <v>1.9988577260076281</v>
      </c>
      <c r="V25" t="s">
        <v>91</v>
      </c>
      <c r="W25" s="53"/>
      <c r="X25" s="56"/>
      <c r="Y25" s="58"/>
      <c r="Z25" s="55"/>
    </row>
    <row r="26" spans="1:26">
      <c r="B26" s="1">
        <v>44876</v>
      </c>
      <c r="C26" s="7">
        <v>321.14999999999998</v>
      </c>
      <c r="D26" s="7" t="s">
        <v>4</v>
      </c>
      <c r="E26" s="7">
        <v>0.1</v>
      </c>
      <c r="F26" s="7" t="s">
        <v>12</v>
      </c>
      <c r="G26" s="7" t="s">
        <v>24</v>
      </c>
      <c r="H26">
        <v>1.44</v>
      </c>
      <c r="J26">
        <v>3.56</v>
      </c>
      <c r="L26" s="4">
        <v>4.5385999999999997</v>
      </c>
      <c r="N26" s="11">
        <v>176.00700000000001</v>
      </c>
      <c r="O26" s="7">
        <f>N26-Values!$D$2</f>
        <v>7.0000000000050022E-3</v>
      </c>
      <c r="P26" s="44">
        <v>267.7</v>
      </c>
      <c r="Q26" s="4">
        <v>4.9000000000000004</v>
      </c>
      <c r="R26" s="6">
        <v>0.5</v>
      </c>
      <c r="S26" s="39">
        <f t="shared" ref="S26" si="4">R26/Q26*100</f>
        <v>10.204081632653059</v>
      </c>
      <c r="T26" s="12">
        <v>5.2</v>
      </c>
      <c r="U26" s="38">
        <f>H26*Values!$E$7*Values!$D$6/Experiments!L26*100</f>
        <v>6.055433834222006</v>
      </c>
      <c r="V26" s="53">
        <f t="shared" si="1"/>
        <v>0.49982185441000027</v>
      </c>
      <c r="W26" s="53">
        <f t="shared" si="2"/>
        <v>267.20017814558997</v>
      </c>
      <c r="X26" s="5">
        <v>5.2</v>
      </c>
      <c r="Y26" s="54">
        <v>0.5</v>
      </c>
      <c r="Z26" s="55">
        <f t="shared" si="3"/>
        <v>9.615384615384615</v>
      </c>
    </row>
    <row r="27" spans="1:26">
      <c r="Y27" s="6"/>
    </row>
    <row r="29" spans="1:26">
      <c r="L29"/>
      <c r="M29"/>
    </row>
    <row r="31" spans="1:26">
      <c r="B31" t="s">
        <v>173</v>
      </c>
      <c r="C31" t="s">
        <v>171</v>
      </c>
      <c r="D31" t="s">
        <v>172</v>
      </c>
    </row>
    <row r="32" spans="1:26">
      <c r="B32" t="s">
        <v>175</v>
      </c>
      <c r="C32" t="s">
        <v>19</v>
      </c>
      <c r="D32" t="s">
        <v>19</v>
      </c>
      <c r="E32" s="66" t="s">
        <v>12</v>
      </c>
      <c r="F32" s="66"/>
    </row>
    <row r="33" spans="2:6">
      <c r="B33" t="s">
        <v>174</v>
      </c>
      <c r="C33">
        <v>6</v>
      </c>
      <c r="D33">
        <v>5</v>
      </c>
      <c r="E33">
        <v>7</v>
      </c>
      <c r="F33">
        <f>C33+D33+E33</f>
        <v>18</v>
      </c>
    </row>
    <row r="51" spans="17:26">
      <c r="Q51" s="59"/>
      <c r="R51" s="36"/>
      <c r="S51" s="36"/>
      <c r="T51" s="60"/>
      <c r="U51" s="37"/>
      <c r="V51" s="37"/>
      <c r="W51" s="37"/>
      <c r="X51" s="37"/>
      <c r="Y51" s="37"/>
      <c r="Z51" s="37"/>
    </row>
    <row r="52" spans="17:26">
      <c r="Q52" s="59"/>
      <c r="R52" s="36"/>
      <c r="S52" s="36"/>
      <c r="T52" s="60"/>
      <c r="U52" s="37"/>
      <c r="V52" s="37"/>
      <c r="W52" s="37"/>
      <c r="X52" s="29"/>
      <c r="Y52" s="29"/>
      <c r="Z52" s="37"/>
    </row>
    <row r="53" spans="17:26">
      <c r="Q53" s="59"/>
      <c r="R53" s="36"/>
      <c r="S53" s="36"/>
      <c r="T53" s="60"/>
      <c r="U53" s="37"/>
      <c r="V53" s="37"/>
      <c r="W53" s="37"/>
      <c r="X53" s="37"/>
      <c r="Y53" s="37"/>
      <c r="Z53" s="37"/>
    </row>
    <row r="54" spans="17:26">
      <c r="Q54" s="59"/>
      <c r="R54" s="36"/>
      <c r="S54" s="36"/>
      <c r="T54" s="60"/>
      <c r="U54" s="37"/>
      <c r="V54" s="37"/>
      <c r="W54" s="37"/>
      <c r="X54" s="37"/>
      <c r="Y54" s="37"/>
      <c r="Z54" s="37"/>
    </row>
    <row r="55" spans="17:26">
      <c r="Q55" s="59"/>
      <c r="R55" s="36"/>
      <c r="S55" s="36"/>
      <c r="T55" s="60"/>
      <c r="U55" s="37"/>
      <c r="V55" s="37"/>
      <c r="W55" s="37"/>
      <c r="X55" s="37"/>
      <c r="Y55" s="37"/>
      <c r="Z55" s="37"/>
    </row>
    <row r="56" spans="17:26">
      <c r="Q56" s="59"/>
      <c r="R56" s="36"/>
      <c r="S56" s="36"/>
      <c r="T56" s="60"/>
      <c r="U56" s="37"/>
      <c r="V56" s="37"/>
      <c r="W56" s="37"/>
      <c r="X56" s="37"/>
      <c r="Y56" s="37"/>
      <c r="Z56" s="37"/>
    </row>
    <row r="57" spans="17:26">
      <c r="Q57" s="59"/>
      <c r="R57" s="36"/>
      <c r="S57" s="36"/>
      <c r="T57" s="60"/>
      <c r="U57" s="37"/>
      <c r="V57" s="37"/>
      <c r="W57" s="37"/>
      <c r="X57" s="37"/>
      <c r="Y57" s="37"/>
      <c r="Z57" s="37"/>
    </row>
    <row r="58" spans="17:26">
      <c r="Q58" s="59"/>
      <c r="R58" s="36"/>
      <c r="S58" s="36"/>
      <c r="T58" s="60"/>
      <c r="U58" s="37"/>
      <c r="V58" s="37"/>
      <c r="W58" s="37"/>
      <c r="X58" s="37"/>
      <c r="Y58" s="37"/>
      <c r="Z58" s="37"/>
    </row>
    <row r="59" spans="17:26">
      <c r="Q59" s="59"/>
      <c r="R59" s="36"/>
      <c r="S59" s="36"/>
      <c r="T59" s="60"/>
      <c r="U59" s="37"/>
      <c r="V59" s="37"/>
      <c r="W59" s="37"/>
      <c r="X59" s="37"/>
      <c r="Y59" s="37"/>
      <c r="Z59" s="37"/>
    </row>
    <row r="60" spans="17:26">
      <c r="Q60" s="59"/>
      <c r="R60" s="36"/>
      <c r="S60" s="36"/>
      <c r="T60" s="60"/>
      <c r="U60" s="37"/>
      <c r="V60" s="37"/>
      <c r="W60" s="37"/>
      <c r="X60" s="37"/>
      <c r="Y60" s="37"/>
      <c r="Z60" s="37"/>
    </row>
    <row r="61" spans="17:26">
      <c r="Q61" s="59"/>
      <c r="R61" s="36"/>
      <c r="S61" s="36"/>
      <c r="T61" s="60"/>
      <c r="U61" s="37"/>
      <c r="V61" s="37"/>
      <c r="W61" s="37"/>
      <c r="X61" s="37"/>
      <c r="Y61" s="37"/>
      <c r="Z61" s="37"/>
    </row>
    <row r="62" spans="17:26">
      <c r="Q62" s="59"/>
      <c r="R62" s="36"/>
      <c r="S62" s="36"/>
      <c r="T62" s="60"/>
      <c r="U62" s="37"/>
      <c r="V62" s="37"/>
      <c r="W62" s="37"/>
      <c r="X62" s="37"/>
      <c r="Y62" s="37"/>
      <c r="Z62" s="37"/>
    </row>
    <row r="63" spans="17:26">
      <c r="Q63" s="59"/>
      <c r="R63" s="36"/>
      <c r="S63" s="36"/>
      <c r="T63" s="60"/>
      <c r="U63" s="37"/>
      <c r="V63" s="37"/>
      <c r="W63" s="37"/>
      <c r="X63" s="37"/>
      <c r="Y63" s="37"/>
      <c r="Z63" s="37"/>
    </row>
    <row r="64" spans="17:26">
      <c r="Q64" s="59"/>
      <c r="R64" s="36"/>
      <c r="S64" s="36"/>
      <c r="T64" s="60"/>
      <c r="U64" s="37"/>
      <c r="V64" s="37"/>
      <c r="W64" s="37"/>
      <c r="X64" s="37"/>
      <c r="Y64" s="37"/>
      <c r="Z64" s="37"/>
    </row>
    <row r="65" spans="17:26">
      <c r="Q65" s="59"/>
      <c r="R65" s="36"/>
      <c r="S65" s="36"/>
      <c r="T65" s="60"/>
      <c r="U65" s="37"/>
      <c r="V65" s="37"/>
      <c r="W65" s="37"/>
      <c r="X65" s="37"/>
      <c r="Y65" s="37"/>
      <c r="Z65" s="37"/>
    </row>
  </sheetData>
  <sortState xmlns:xlrd2="http://schemas.microsoft.com/office/spreadsheetml/2017/richdata2" ref="A2:R21">
    <sortCondition ref="B2:B2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9191-4AA8-4D4A-B8CD-1A8C94B1F14C}">
  <dimension ref="A2:AD144"/>
  <sheetViews>
    <sheetView topLeftCell="F82" zoomScaleNormal="100" workbookViewId="0">
      <selection activeCell="S87" sqref="S87:S107"/>
    </sheetView>
  </sheetViews>
  <sheetFormatPr defaultRowHeight="15"/>
  <cols>
    <col min="1" max="1" width="14.42578125" bestFit="1" customWidth="1"/>
  </cols>
  <sheetData>
    <row r="2" spans="1:26">
      <c r="A2" s="4" t="s">
        <v>57</v>
      </c>
      <c r="B2" s="16">
        <v>44838</v>
      </c>
      <c r="C2" s="17"/>
      <c r="D2" s="17"/>
      <c r="E2" s="17" t="s">
        <v>29</v>
      </c>
      <c r="F2" s="18" t="s">
        <v>30</v>
      </c>
      <c r="H2" s="16">
        <v>44840</v>
      </c>
      <c r="I2" s="17"/>
      <c r="J2" s="17" t="s">
        <v>29</v>
      </c>
      <c r="K2" s="18" t="s">
        <v>30</v>
      </c>
      <c r="M2" s="16">
        <v>44844</v>
      </c>
      <c r="N2" s="17"/>
      <c r="O2" s="17" t="s">
        <v>29</v>
      </c>
      <c r="P2" s="18" t="s">
        <v>30</v>
      </c>
      <c r="R2" s="16">
        <v>44845</v>
      </c>
      <c r="S2" s="17"/>
      <c r="T2" s="17" t="s">
        <v>29</v>
      </c>
      <c r="U2" s="18" t="s">
        <v>30</v>
      </c>
      <c r="W2" s="16">
        <v>44848</v>
      </c>
      <c r="X2" s="17"/>
      <c r="Y2" s="17" t="s">
        <v>29</v>
      </c>
      <c r="Z2" s="18" t="s">
        <v>30</v>
      </c>
    </row>
    <row r="3" spans="1:26">
      <c r="B3" s="19" t="s">
        <v>31</v>
      </c>
      <c r="E3">
        <v>4.7912999999999997</v>
      </c>
      <c r="F3" s="20">
        <f>E3/5</f>
        <v>0.95825999999999989</v>
      </c>
      <c r="H3" s="19" t="s">
        <v>32</v>
      </c>
      <c r="J3">
        <v>0.91249999999999998</v>
      </c>
      <c r="K3" s="21">
        <f>J3</f>
        <v>0.91249999999999998</v>
      </c>
      <c r="M3" s="19" t="s">
        <v>32</v>
      </c>
      <c r="O3">
        <v>4.7382999999999997</v>
      </c>
      <c r="P3" s="20">
        <f>O3/5</f>
        <v>0.94765999999999995</v>
      </c>
      <c r="R3" s="19" t="s">
        <v>53</v>
      </c>
      <c r="T3">
        <v>0.90680000000000005</v>
      </c>
      <c r="U3" s="21">
        <f>T3</f>
        <v>0.90680000000000005</v>
      </c>
      <c r="W3" s="19" t="s">
        <v>32</v>
      </c>
      <c r="Y3">
        <v>4.7572000000000001</v>
      </c>
      <c r="Z3" s="20">
        <f>Y3/5</f>
        <v>0.95144000000000006</v>
      </c>
    </row>
    <row r="4" spans="1:26">
      <c r="B4" s="19" t="s">
        <v>33</v>
      </c>
      <c r="E4">
        <v>4.7610000000000001</v>
      </c>
      <c r="F4" s="20">
        <f t="shared" ref="F4:F14" si="0">E4/5</f>
        <v>0.95220000000000005</v>
      </c>
      <c r="H4" s="19" t="s">
        <v>34</v>
      </c>
      <c r="J4">
        <v>0.90959999999999996</v>
      </c>
      <c r="K4" s="21">
        <f t="shared" ref="K4:K7" si="1">J4</f>
        <v>0.90959999999999996</v>
      </c>
      <c r="M4" s="19" t="s">
        <v>33</v>
      </c>
      <c r="O4">
        <v>4.7298999999999998</v>
      </c>
      <c r="P4" s="20">
        <f t="shared" ref="P4:P7" si="2">O4/5</f>
        <v>0.94597999999999993</v>
      </c>
      <c r="R4" s="19" t="s">
        <v>34</v>
      </c>
      <c r="T4">
        <v>0.91659999999999997</v>
      </c>
      <c r="U4" s="21">
        <f t="shared" ref="U4:U5" si="3">T4</f>
        <v>0.91659999999999997</v>
      </c>
      <c r="W4" s="19" t="s">
        <v>33</v>
      </c>
      <c r="Y4">
        <v>4.7173999999999996</v>
      </c>
      <c r="Z4" s="20">
        <f t="shared" ref="Z4:Z7" si="4">Y4/5</f>
        <v>0.94347999999999987</v>
      </c>
    </row>
    <row r="5" spans="1:26">
      <c r="B5" s="19" t="s">
        <v>35</v>
      </c>
      <c r="E5">
        <v>4.7588999999999997</v>
      </c>
      <c r="F5" s="20">
        <f t="shared" si="0"/>
        <v>0.95177999999999996</v>
      </c>
      <c r="H5" s="19" t="s">
        <v>35</v>
      </c>
      <c r="J5">
        <v>0.92279999999999995</v>
      </c>
      <c r="K5" s="21">
        <f t="shared" si="1"/>
        <v>0.92279999999999995</v>
      </c>
      <c r="M5" s="19" t="s">
        <v>35</v>
      </c>
      <c r="O5">
        <v>4.7347000000000001</v>
      </c>
      <c r="P5" s="20">
        <f t="shared" si="2"/>
        <v>0.94694</v>
      </c>
      <c r="R5" s="19" t="s">
        <v>35</v>
      </c>
      <c r="T5">
        <v>0.91039999999999999</v>
      </c>
      <c r="U5" s="21">
        <f t="shared" si="3"/>
        <v>0.91039999999999999</v>
      </c>
      <c r="W5" s="19" t="s">
        <v>35</v>
      </c>
      <c r="Y5">
        <v>4.7145000000000001</v>
      </c>
      <c r="Z5" s="20">
        <f t="shared" si="4"/>
        <v>0.94290000000000007</v>
      </c>
    </row>
    <row r="6" spans="1:26">
      <c r="B6" s="19" t="s">
        <v>36</v>
      </c>
      <c r="E6">
        <v>4.7480000000000002</v>
      </c>
      <c r="F6" s="20">
        <f t="shared" si="0"/>
        <v>0.9496</v>
      </c>
      <c r="H6" s="19" t="s">
        <v>37</v>
      </c>
      <c r="J6">
        <v>0.91120000000000001</v>
      </c>
      <c r="K6" s="21">
        <f t="shared" si="1"/>
        <v>0.91120000000000001</v>
      </c>
      <c r="M6" s="19" t="s">
        <v>36</v>
      </c>
      <c r="O6">
        <v>4.7237999999999998</v>
      </c>
      <c r="P6" s="20">
        <f t="shared" si="2"/>
        <v>0.94475999999999993</v>
      </c>
      <c r="R6" s="19" t="s">
        <v>37</v>
      </c>
      <c r="U6" s="21"/>
      <c r="W6" s="19" t="s">
        <v>36</v>
      </c>
      <c r="Y6">
        <v>4.7317999999999998</v>
      </c>
      <c r="Z6" s="20">
        <f t="shared" si="4"/>
        <v>0.94635999999999998</v>
      </c>
    </row>
    <row r="7" spans="1:26">
      <c r="B7" s="19" t="s">
        <v>38</v>
      </c>
      <c r="E7">
        <v>4.7548000000000004</v>
      </c>
      <c r="F7" s="20">
        <f t="shared" si="0"/>
        <v>0.95096000000000003</v>
      </c>
      <c r="H7" s="19" t="s">
        <v>39</v>
      </c>
      <c r="J7">
        <v>0.90890000000000004</v>
      </c>
      <c r="K7" s="21">
        <f t="shared" si="1"/>
        <v>0.90890000000000004</v>
      </c>
      <c r="M7" s="19" t="s">
        <v>38</v>
      </c>
      <c r="O7" s="3">
        <v>4.7370000000000001</v>
      </c>
      <c r="P7" s="20">
        <f t="shared" si="2"/>
        <v>0.94740000000000002</v>
      </c>
      <c r="R7" s="19" t="s">
        <v>39</v>
      </c>
      <c r="U7" s="21"/>
      <c r="W7" s="19" t="s">
        <v>38</v>
      </c>
      <c r="Y7" s="3">
        <v>4.7331000000000003</v>
      </c>
      <c r="Z7" s="20">
        <f t="shared" si="4"/>
        <v>0.94662000000000002</v>
      </c>
    </row>
    <row r="8" spans="1:26">
      <c r="B8" s="19" t="s">
        <v>40</v>
      </c>
      <c r="E8" s="3">
        <v>4.7477</v>
      </c>
      <c r="F8" s="20">
        <f t="shared" si="0"/>
        <v>0.94954000000000005</v>
      </c>
      <c r="H8" s="19" t="s">
        <v>41</v>
      </c>
      <c r="K8" s="21"/>
      <c r="M8" s="19" t="s">
        <v>41</v>
      </c>
      <c r="P8" s="21"/>
      <c r="R8" s="19" t="s">
        <v>41</v>
      </c>
      <c r="U8" s="21"/>
      <c r="W8" s="19" t="s">
        <v>41</v>
      </c>
      <c r="Z8" s="21"/>
    </row>
    <row r="9" spans="1:26">
      <c r="B9" s="19" t="s">
        <v>42</v>
      </c>
      <c r="E9" s="3">
        <v>4.7644000000000002</v>
      </c>
      <c r="F9" s="20">
        <f t="shared" si="0"/>
        <v>0.95288000000000006</v>
      </c>
      <c r="H9" s="19" t="s">
        <v>43</v>
      </c>
      <c r="K9" s="21"/>
      <c r="M9" s="19" t="s">
        <v>44</v>
      </c>
      <c r="P9" s="21"/>
      <c r="R9" s="19" t="s">
        <v>43</v>
      </c>
      <c r="U9" s="21"/>
      <c r="W9" s="19" t="s">
        <v>44</v>
      </c>
      <c r="Z9" s="21"/>
    </row>
    <row r="10" spans="1:26">
      <c r="B10" s="19"/>
      <c r="E10" s="3">
        <v>4.7721999999999998</v>
      </c>
      <c r="F10" s="20">
        <f t="shared" si="0"/>
        <v>0.95443999999999996</v>
      </c>
      <c r="H10" s="19"/>
      <c r="K10" s="21"/>
      <c r="M10" s="19"/>
      <c r="P10" s="21"/>
      <c r="R10" s="19"/>
      <c r="U10" s="21"/>
      <c r="W10" s="19"/>
      <c r="Z10" s="21"/>
    </row>
    <row r="11" spans="1:26">
      <c r="B11" s="19"/>
      <c r="E11" s="3">
        <v>4.7735000000000003</v>
      </c>
      <c r="F11" s="20">
        <f t="shared" si="0"/>
        <v>0.9547000000000001</v>
      </c>
      <c r="H11" s="19"/>
      <c r="K11" s="21"/>
      <c r="M11" s="19"/>
      <c r="P11" s="21"/>
      <c r="R11" s="19"/>
      <c r="U11" s="21"/>
      <c r="W11" s="19"/>
      <c r="Z11" s="21"/>
    </row>
    <row r="12" spans="1:26">
      <c r="B12" s="19"/>
      <c r="E12" s="3">
        <v>4.7760999999999996</v>
      </c>
      <c r="F12" s="20">
        <f t="shared" si="0"/>
        <v>0.95521999999999996</v>
      </c>
      <c r="H12" s="19"/>
      <c r="K12" s="21"/>
      <c r="M12" s="19"/>
      <c r="N12" s="4"/>
      <c r="P12" s="21"/>
      <c r="R12" s="19"/>
      <c r="U12" s="21"/>
      <c r="W12" s="19"/>
      <c r="X12" s="4"/>
      <c r="Z12" s="21"/>
    </row>
    <row r="13" spans="1:26">
      <c r="B13" s="19"/>
      <c r="F13" s="20"/>
      <c r="H13" s="19"/>
      <c r="K13" s="21"/>
      <c r="M13" s="22"/>
      <c r="P13" s="21"/>
      <c r="R13" s="19"/>
      <c r="U13" s="21"/>
      <c r="W13" s="22"/>
      <c r="Z13" s="21"/>
    </row>
    <row r="14" spans="1:26">
      <c r="B14" s="19"/>
      <c r="D14" t="s">
        <v>45</v>
      </c>
      <c r="E14" s="3">
        <f>AVERAGE(E3:E12)</f>
        <v>4.7647899999999996</v>
      </c>
      <c r="F14" s="20">
        <f t="shared" si="0"/>
        <v>0.95295799999999997</v>
      </c>
      <c r="H14" s="19"/>
      <c r="I14" t="s">
        <v>45</v>
      </c>
      <c r="J14" s="3">
        <f>AVERAGE(J3:J12)</f>
        <v>0.91299999999999992</v>
      </c>
      <c r="K14" s="20">
        <f>J14</f>
        <v>0.91299999999999992</v>
      </c>
      <c r="M14" s="19"/>
      <c r="N14" t="s">
        <v>45</v>
      </c>
      <c r="O14" s="3">
        <f>AVERAGE(O3:O12)</f>
        <v>4.7327399999999997</v>
      </c>
      <c r="P14" s="20">
        <f t="shared" ref="P14" si="5">O14/5</f>
        <v>0.94654799999999994</v>
      </c>
      <c r="R14" s="19"/>
      <c r="S14" t="s">
        <v>45</v>
      </c>
      <c r="T14" s="3">
        <f>AVERAGE(T3:T12)</f>
        <v>0.91126666666666667</v>
      </c>
      <c r="U14" s="20">
        <f>T14</f>
        <v>0.91126666666666667</v>
      </c>
      <c r="W14" s="19"/>
      <c r="X14" t="s">
        <v>45</v>
      </c>
      <c r="Y14" s="3">
        <f>AVERAGE(Y3:Y12)</f>
        <v>4.7308000000000003</v>
      </c>
      <c r="Z14" s="20">
        <f t="shared" ref="Z14" si="6">Y14/5</f>
        <v>0.94616000000000011</v>
      </c>
    </row>
    <row r="15" spans="1:26">
      <c r="B15" s="19"/>
      <c r="D15" t="s">
        <v>46</v>
      </c>
      <c r="E15" s="3">
        <f>_xlfn.STDEV.S(E3:E12)</f>
        <v>1.368067980767022E-2</v>
      </c>
      <c r="F15" s="3">
        <f>_xlfn.STDEV.S(F3:F12)</f>
        <v>2.7361359615340436E-3</v>
      </c>
      <c r="H15" s="19"/>
      <c r="I15" t="s">
        <v>46</v>
      </c>
      <c r="J15" s="3">
        <f>_xlfn.STDEV.S(J3:J12)</f>
        <v>5.6546441090487513E-3</v>
      </c>
      <c r="K15" s="3">
        <f>_xlfn.STDEV.S(K3:K7)</f>
        <v>5.6546441090487513E-3</v>
      </c>
      <c r="M15" s="19"/>
      <c r="N15" t="s">
        <v>46</v>
      </c>
      <c r="O15" s="3">
        <f>_xlfn.STDEV.S(O3:O12)</f>
        <v>5.9348967977548633E-3</v>
      </c>
      <c r="P15" s="3">
        <f>_xlfn.STDEV.S(P3:P12)</f>
        <v>1.1869793595509818E-3</v>
      </c>
      <c r="R15" s="19"/>
      <c r="S15" t="s">
        <v>46</v>
      </c>
      <c r="T15" s="3">
        <f>_xlfn.STDEV.S(T3:T12)</f>
        <v>4.9571497186723101E-3</v>
      </c>
      <c r="U15" s="3">
        <f>_xlfn.STDEV.S(U3:U7)</f>
        <v>4.9571497186723101E-3</v>
      </c>
      <c r="W15" s="19"/>
      <c r="X15" t="s">
        <v>46</v>
      </c>
      <c r="Y15" s="3">
        <f>_xlfn.STDEV.S(Y3:Y12)</f>
        <v>1.6944763202830636E-2</v>
      </c>
      <c r="Z15" s="3">
        <f>_xlfn.STDEV.S(Z3:Z12)</f>
        <v>3.3889526405661411E-3</v>
      </c>
    </row>
    <row r="16" spans="1:26">
      <c r="B16" s="23"/>
      <c r="C16" s="24"/>
      <c r="D16" s="24" t="s">
        <v>47</v>
      </c>
      <c r="E16" s="25">
        <f>E3-E8</f>
        <v>4.3599999999999639E-2</v>
      </c>
      <c r="F16" s="26"/>
      <c r="H16" s="23"/>
      <c r="I16" s="24" t="s">
        <v>47</v>
      </c>
      <c r="J16" s="25">
        <f>ABS(J7-J5)</f>
        <v>1.3899999999999912E-2</v>
      </c>
      <c r="K16" s="26"/>
      <c r="M16" s="23"/>
      <c r="N16" s="24" t="s">
        <v>47</v>
      </c>
      <c r="O16" s="25">
        <f>O3-O6</f>
        <v>1.4499999999999957E-2</v>
      </c>
      <c r="P16" s="26"/>
      <c r="R16" s="23"/>
      <c r="S16" s="24"/>
      <c r="T16" s="25"/>
      <c r="U16" s="26"/>
      <c r="W16" s="23"/>
      <c r="X16" s="24"/>
      <c r="Y16" s="25"/>
      <c r="Z16" s="26"/>
    </row>
    <row r="19" spans="1:18">
      <c r="A19" s="4" t="s">
        <v>58</v>
      </c>
      <c r="B19" t="s">
        <v>55</v>
      </c>
      <c r="M19" t="s">
        <v>54</v>
      </c>
    </row>
    <row r="20" spans="1:18">
      <c r="O20" s="3"/>
    </row>
    <row r="21" spans="1:18">
      <c r="B21" t="s">
        <v>1</v>
      </c>
      <c r="C21" t="s">
        <v>49</v>
      </c>
      <c r="E21" t="s">
        <v>1</v>
      </c>
      <c r="F21" s="1">
        <v>44816</v>
      </c>
      <c r="G21" s="1">
        <v>44830</v>
      </c>
      <c r="H21" s="1">
        <v>44838</v>
      </c>
      <c r="I21" s="1">
        <v>44840</v>
      </c>
      <c r="J21" s="1">
        <v>44844</v>
      </c>
      <c r="K21" s="1">
        <v>44848</v>
      </c>
      <c r="M21" t="s">
        <v>1</v>
      </c>
      <c r="N21" t="s">
        <v>49</v>
      </c>
      <c r="O21" s="3"/>
      <c r="P21" t="s">
        <v>1</v>
      </c>
      <c r="Q21" s="1">
        <v>44838</v>
      </c>
    </row>
    <row r="22" spans="1:18">
      <c r="B22" s="1">
        <v>44816</v>
      </c>
      <c r="C22">
        <v>0.61580000000000001</v>
      </c>
      <c r="E22" t="s">
        <v>50</v>
      </c>
      <c r="F22">
        <v>0.61580000000000001</v>
      </c>
      <c r="G22">
        <v>0.67649999999999999</v>
      </c>
      <c r="H22">
        <v>0.71840000000000004</v>
      </c>
      <c r="I22">
        <v>0.71560000000000001</v>
      </c>
      <c r="J22">
        <v>0.72919999999999996</v>
      </c>
      <c r="K22" s="3">
        <v>0.68799999999999994</v>
      </c>
      <c r="M22" s="1">
        <v>44838</v>
      </c>
      <c r="N22" s="3">
        <f>(Q22+Q23)/2/5</f>
        <v>0.76637</v>
      </c>
      <c r="O22" s="3"/>
      <c r="P22" t="s">
        <v>56</v>
      </c>
      <c r="Q22">
        <v>3.8104</v>
      </c>
    </row>
    <row r="23" spans="1:18">
      <c r="B23" s="1">
        <v>44830</v>
      </c>
      <c r="C23">
        <v>0.67649999999999999</v>
      </c>
      <c r="H23">
        <v>0.70920000000000005</v>
      </c>
      <c r="J23">
        <v>0.6925</v>
      </c>
      <c r="O23" s="3"/>
      <c r="Q23">
        <v>3.8532999999999999</v>
      </c>
    </row>
    <row r="24" spans="1:18">
      <c r="B24" s="1">
        <v>44838</v>
      </c>
      <c r="C24">
        <f>AVERAGE(H22:H23)</f>
        <v>0.71379999999999999</v>
      </c>
      <c r="J24">
        <v>0.70430000000000004</v>
      </c>
      <c r="N24" s="3"/>
    </row>
    <row r="25" spans="1:18">
      <c r="B25" s="1">
        <v>44840</v>
      </c>
      <c r="C25" s="3">
        <v>0.71560000000000001</v>
      </c>
      <c r="J25">
        <v>0.70820000000000005</v>
      </c>
    </row>
    <row r="26" spans="1:18">
      <c r="B26" s="1">
        <v>44844</v>
      </c>
      <c r="C26" s="3">
        <f>AVERAGE(J22:J26)</f>
        <v>0.70950000000000002</v>
      </c>
      <c r="J26">
        <v>0.71330000000000005</v>
      </c>
    </row>
    <row r="27" spans="1:18">
      <c r="B27" s="1">
        <v>44848</v>
      </c>
      <c r="C27" s="3">
        <v>0.68799999999999994</v>
      </c>
    </row>
    <row r="28" spans="1:18">
      <c r="B28" s="1"/>
      <c r="C28" s="3"/>
    </row>
    <row r="29" spans="1:18">
      <c r="N29" s="3"/>
    </row>
    <row r="30" spans="1:18">
      <c r="A30" s="4" t="s">
        <v>76</v>
      </c>
      <c r="B30" s="16">
        <v>44844</v>
      </c>
      <c r="C30" s="17"/>
      <c r="D30" s="17" t="s">
        <v>29</v>
      </c>
      <c r="E30" s="18" t="s">
        <v>30</v>
      </c>
      <c r="G30" s="16">
        <v>44844</v>
      </c>
      <c r="H30" s="17"/>
      <c r="I30" s="17" t="s">
        <v>29</v>
      </c>
      <c r="J30" s="18" t="s">
        <v>30</v>
      </c>
      <c r="L30" t="s">
        <v>48</v>
      </c>
      <c r="O30" t="s">
        <v>77</v>
      </c>
      <c r="P30" s="1">
        <v>44853</v>
      </c>
    </row>
    <row r="31" spans="1:18">
      <c r="B31" s="19" t="s">
        <v>32</v>
      </c>
      <c r="D31">
        <v>5.0298999999999996</v>
      </c>
      <c r="E31" s="20">
        <f>D31/5</f>
        <v>1.0059799999999999</v>
      </c>
      <c r="G31" s="19" t="s">
        <v>32</v>
      </c>
      <c r="I31">
        <v>1.0077</v>
      </c>
      <c r="J31" s="20">
        <f>I31</f>
        <v>1.0077</v>
      </c>
      <c r="P31" t="s">
        <v>79</v>
      </c>
      <c r="Q31" t="s">
        <v>80</v>
      </c>
    </row>
    <row r="32" spans="1:18">
      <c r="B32" s="19" t="s">
        <v>33</v>
      </c>
      <c r="D32" s="27">
        <v>4.9846000000000004</v>
      </c>
      <c r="E32" s="20">
        <f t="shared" ref="E32:E35" si="7">D32/5</f>
        <v>0.99692000000000003</v>
      </c>
      <c r="G32" s="19" t="s">
        <v>34</v>
      </c>
      <c r="I32">
        <v>0.99509999999999998</v>
      </c>
      <c r="J32" s="20">
        <f t="shared" ref="J32:J35" si="8">I32</f>
        <v>0.99509999999999998</v>
      </c>
      <c r="L32">
        <v>4.0599999999999996</v>
      </c>
      <c r="O32">
        <v>624</v>
      </c>
      <c r="P32">
        <v>70.113799999999998</v>
      </c>
      <c r="Q32">
        <v>70.797399999999996</v>
      </c>
      <c r="R32">
        <f>Q32-P32</f>
        <v>0.68359999999999843</v>
      </c>
    </row>
    <row r="33" spans="1:18">
      <c r="B33" s="19" t="s">
        <v>51</v>
      </c>
      <c r="D33">
        <v>4.9969999999999999</v>
      </c>
      <c r="E33" s="20">
        <f t="shared" si="7"/>
        <v>0.99939999999999996</v>
      </c>
      <c r="G33" s="19" t="s">
        <v>51</v>
      </c>
      <c r="I33">
        <v>0.99829999999999997</v>
      </c>
      <c r="J33" s="20">
        <f t="shared" si="8"/>
        <v>0.99829999999999997</v>
      </c>
      <c r="L33">
        <v>4.07</v>
      </c>
      <c r="O33" t="s">
        <v>78</v>
      </c>
      <c r="P33">
        <v>70.111699999999999</v>
      </c>
      <c r="Q33">
        <v>70.795000000000002</v>
      </c>
      <c r="R33">
        <f>Q33-P33</f>
        <v>0.68330000000000268</v>
      </c>
    </row>
    <row r="34" spans="1:18">
      <c r="B34" s="19" t="s">
        <v>52</v>
      </c>
      <c r="D34">
        <v>5.0023999999999997</v>
      </c>
      <c r="E34" s="20">
        <f t="shared" si="7"/>
        <v>1.00048</v>
      </c>
      <c r="G34" s="19" t="s">
        <v>34</v>
      </c>
      <c r="I34">
        <v>0.99570000000000003</v>
      </c>
      <c r="J34" s="20">
        <f t="shared" si="8"/>
        <v>0.99570000000000003</v>
      </c>
      <c r="O34" s="1"/>
    </row>
    <row r="35" spans="1:18">
      <c r="B35" s="19"/>
      <c r="D35" s="3">
        <v>4.9912999999999998</v>
      </c>
      <c r="E35" s="20">
        <f t="shared" si="7"/>
        <v>0.99825999999999993</v>
      </c>
      <c r="G35" s="19"/>
      <c r="I35" s="3">
        <v>0.99629999999999996</v>
      </c>
      <c r="J35" s="20">
        <f t="shared" si="8"/>
        <v>0.99629999999999996</v>
      </c>
      <c r="P35">
        <f>P32-P33</f>
        <v>2.0999999999986585E-3</v>
      </c>
      <c r="Q35">
        <f>Q32-Q33</f>
        <v>2.3999999999944066E-3</v>
      </c>
    </row>
    <row r="36" spans="1:18">
      <c r="B36" s="19"/>
      <c r="E36" s="21"/>
      <c r="G36" s="19"/>
      <c r="J36" s="21"/>
    </row>
    <row r="37" spans="1:18">
      <c r="B37" s="19"/>
      <c r="E37" s="21"/>
      <c r="G37" s="19"/>
      <c r="J37" s="21"/>
    </row>
    <row r="38" spans="1:18">
      <c r="B38" s="19"/>
      <c r="E38" s="21"/>
      <c r="G38" s="19"/>
      <c r="J38" s="21"/>
    </row>
    <row r="39" spans="1:18">
      <c r="B39" s="19"/>
      <c r="E39" s="21"/>
      <c r="G39" s="19"/>
      <c r="J39" s="21"/>
    </row>
    <row r="40" spans="1:18">
      <c r="B40" s="19"/>
      <c r="C40" s="4"/>
      <c r="E40" s="21"/>
      <c r="G40" s="19"/>
      <c r="H40" s="4"/>
      <c r="J40" s="21"/>
    </row>
    <row r="41" spans="1:18">
      <c r="B41" s="22"/>
      <c r="E41" s="21"/>
      <c r="G41" s="22"/>
      <c r="J41" s="21"/>
    </row>
    <row r="42" spans="1:18">
      <c r="B42" s="19"/>
      <c r="C42" t="s">
        <v>45</v>
      </c>
      <c r="D42" s="3">
        <f>AVERAGE(D31:D40)</f>
        <v>5.0010399999999997</v>
      </c>
      <c r="E42" s="20">
        <f t="shared" ref="E42" si="9">D42/5</f>
        <v>1.000208</v>
      </c>
      <c r="G42" s="19"/>
      <c r="H42" t="s">
        <v>45</v>
      </c>
      <c r="I42" s="3">
        <f>AVERAGE(I31:I40)</f>
        <v>0.99862000000000006</v>
      </c>
      <c r="J42" s="20">
        <f>I42</f>
        <v>0.99862000000000006</v>
      </c>
    </row>
    <row r="43" spans="1:18">
      <c r="B43" s="19"/>
      <c r="C43" t="s">
        <v>46</v>
      </c>
      <c r="D43" s="3">
        <f>_xlfn.STDEV.S(D31:D40)</f>
        <v>1.7437115587160393E-2</v>
      </c>
      <c r="E43" s="3">
        <f>_xlfn.STDEV.S(E31:E40)</f>
        <v>3.48742311743208E-3</v>
      </c>
      <c r="G43" s="19"/>
      <c r="H43" t="s">
        <v>46</v>
      </c>
      <c r="I43" s="3">
        <f>_xlfn.STDEV.S(I31:I40)</f>
        <v>5.2165122447858023E-3</v>
      </c>
      <c r="J43" s="3">
        <f>_xlfn.STDEV.S(J31:J40)</f>
        <v>5.2165122447858023E-3</v>
      </c>
    </row>
    <row r="44" spans="1:18">
      <c r="B44" s="23"/>
      <c r="C44" s="24" t="s">
        <v>47</v>
      </c>
      <c r="D44" s="25">
        <f>D31-D34</f>
        <v>2.7499999999999858E-2</v>
      </c>
      <c r="E44" s="26"/>
      <c r="G44" s="23"/>
      <c r="H44" s="24" t="s">
        <v>47</v>
      </c>
      <c r="I44" s="25">
        <f>I31-I34</f>
        <v>1.2000000000000011E-2</v>
      </c>
      <c r="J44" s="26"/>
    </row>
    <row r="46" spans="1:18">
      <c r="A46" s="4"/>
    </row>
    <row r="47" spans="1:18">
      <c r="A47" s="4" t="s">
        <v>59</v>
      </c>
      <c r="B47" s="1">
        <v>44848</v>
      </c>
      <c r="D47" t="s">
        <v>60</v>
      </c>
      <c r="F47" t="s">
        <v>65</v>
      </c>
      <c r="H47" t="s">
        <v>66</v>
      </c>
      <c r="J47" t="s">
        <v>67</v>
      </c>
    </row>
    <row r="48" spans="1:18">
      <c r="C48" t="s">
        <v>61</v>
      </c>
      <c r="D48" s="3">
        <v>0.68300000000000005</v>
      </c>
      <c r="F48" s="3">
        <v>0.66990000000000005</v>
      </c>
      <c r="H48">
        <v>4.3052000000000001</v>
      </c>
      <c r="J48">
        <v>4.1466000000000003</v>
      </c>
    </row>
    <row r="49" spans="1:25">
      <c r="C49" t="s">
        <v>62</v>
      </c>
      <c r="D49" s="3">
        <v>0.67100000000000004</v>
      </c>
      <c r="E49" s="3">
        <f>D48-D49</f>
        <v>1.2000000000000011E-2</v>
      </c>
      <c r="F49" s="3">
        <v>0.65429999999999999</v>
      </c>
      <c r="G49" s="3">
        <f>F48-F49</f>
        <v>1.5600000000000058E-2</v>
      </c>
      <c r="H49">
        <v>4.2847</v>
      </c>
      <c r="I49" s="3">
        <f>H48-H49</f>
        <v>2.0500000000000185E-2</v>
      </c>
      <c r="J49" s="3">
        <v>4.1246999999999998</v>
      </c>
      <c r="K49" s="3">
        <f>J48-J49</f>
        <v>2.1900000000000475E-2</v>
      </c>
    </row>
    <row r="50" spans="1:25">
      <c r="C50" t="s">
        <v>63</v>
      </c>
      <c r="D50" s="3">
        <v>0.65910000000000002</v>
      </c>
      <c r="E50" s="3">
        <f t="shared" ref="E50:G51" si="10">D49-D50</f>
        <v>1.1900000000000022E-2</v>
      </c>
      <c r="F50" s="3">
        <v>0.64459999999999995</v>
      </c>
      <c r="G50" s="3">
        <f t="shared" si="10"/>
        <v>9.7000000000000419E-3</v>
      </c>
      <c r="H50">
        <v>4.2638999999999996</v>
      </c>
      <c r="I50" s="3">
        <f t="shared" ref="I50" si="11">H49-H50</f>
        <v>2.0800000000000374E-2</v>
      </c>
      <c r="J50" s="3">
        <v>4.1041999999999996</v>
      </c>
      <c r="K50" s="3">
        <f t="shared" ref="K50" si="12">J49-J50</f>
        <v>2.0500000000000185E-2</v>
      </c>
    </row>
    <row r="51" spans="1:25">
      <c r="C51" t="s">
        <v>64</v>
      </c>
      <c r="D51" s="3">
        <v>0.65010000000000001</v>
      </c>
      <c r="E51" s="3">
        <f t="shared" si="10"/>
        <v>9.000000000000008E-3</v>
      </c>
      <c r="F51" s="3">
        <v>0.63470000000000004</v>
      </c>
      <c r="G51" s="3">
        <f t="shared" si="10"/>
        <v>9.8999999999999089E-3</v>
      </c>
      <c r="H51">
        <v>4.2446999999999999</v>
      </c>
      <c r="I51" s="3">
        <f t="shared" ref="I51" si="13">H50-H51</f>
        <v>1.9199999999999662E-2</v>
      </c>
      <c r="J51" s="3">
        <v>4.0869999999999997</v>
      </c>
      <c r="K51" s="3">
        <f t="shared" ref="K51" si="14">J50-J51</f>
        <v>1.7199999999999882E-2</v>
      </c>
    </row>
    <row r="53" spans="1:25">
      <c r="A53" s="4" t="s">
        <v>68</v>
      </c>
      <c r="B53" s="1">
        <v>44851</v>
      </c>
      <c r="C53" s="28" t="s">
        <v>69</v>
      </c>
      <c r="D53" t="s">
        <v>33</v>
      </c>
      <c r="E53" t="s">
        <v>70</v>
      </c>
      <c r="F53" t="s">
        <v>100</v>
      </c>
      <c r="G53" t="s">
        <v>34</v>
      </c>
      <c r="H53" t="s">
        <v>100</v>
      </c>
      <c r="N53" s="28" t="s">
        <v>72</v>
      </c>
      <c r="O53" t="s">
        <v>33</v>
      </c>
      <c r="P53" t="s">
        <v>70</v>
      </c>
      <c r="Q53" t="s">
        <v>100</v>
      </c>
      <c r="R53" t="s">
        <v>34</v>
      </c>
      <c r="S53" t="s">
        <v>100</v>
      </c>
      <c r="V53" t="s">
        <v>101</v>
      </c>
    </row>
    <row r="54" spans="1:25">
      <c r="C54" s="28" t="s">
        <v>71</v>
      </c>
      <c r="D54">
        <v>4.1676000000000002</v>
      </c>
      <c r="E54" s="3">
        <f>D54/5</f>
        <v>0.83352000000000004</v>
      </c>
      <c r="F54" s="3">
        <f>E54-$C$55</f>
        <v>-5.5479999999999974E-2</v>
      </c>
      <c r="G54" s="3">
        <v>0.83819999999999995</v>
      </c>
      <c r="H54" s="3">
        <f>G54-$C$55</f>
        <v>-5.0800000000000067E-2</v>
      </c>
      <c r="N54" s="28" t="s">
        <v>71</v>
      </c>
      <c r="O54">
        <v>3.8378999999999999</v>
      </c>
      <c r="P54" s="3">
        <f>O54/5</f>
        <v>0.76757999999999993</v>
      </c>
      <c r="Q54" s="3">
        <f>P54-$N$55</f>
        <v>-2.4420000000000108E-2</v>
      </c>
      <c r="R54" s="3">
        <v>0.76880000000000004</v>
      </c>
      <c r="S54" s="3">
        <f>R54-$N$55</f>
        <v>-2.3199999999999998E-2</v>
      </c>
      <c r="V54" t="s">
        <v>102</v>
      </c>
      <c r="W54" t="s">
        <v>103</v>
      </c>
      <c r="X54" t="s">
        <v>69</v>
      </c>
      <c r="Y54" t="s">
        <v>104</v>
      </c>
    </row>
    <row r="55" spans="1:25">
      <c r="C55" s="28">
        <v>0.88900000000000001</v>
      </c>
      <c r="D55">
        <v>4.1763000000000003</v>
      </c>
      <c r="E55" s="3">
        <f t="shared" ref="E55:E56" si="15">D55/5</f>
        <v>0.83526000000000011</v>
      </c>
      <c r="F55" s="3">
        <f t="shared" ref="F55:H56" si="16">E55-$C$55</f>
        <v>-5.3739999999999899E-2</v>
      </c>
      <c r="G55" s="3">
        <v>0.83199999999999996</v>
      </c>
      <c r="H55" s="3">
        <f t="shared" si="16"/>
        <v>-5.7000000000000051E-2</v>
      </c>
      <c r="N55" s="28">
        <v>0.79200000000000004</v>
      </c>
      <c r="P55" s="3"/>
      <c r="Q55" s="3"/>
      <c r="R55" s="3">
        <v>0.7681</v>
      </c>
      <c r="S55" s="3">
        <f>R55-$N$55</f>
        <v>-2.3900000000000032E-2</v>
      </c>
      <c r="V55">
        <v>72.8</v>
      </c>
      <c r="W55" t="s">
        <v>106</v>
      </c>
      <c r="X55">
        <v>26.4</v>
      </c>
      <c r="Y55">
        <v>22.7</v>
      </c>
    </row>
    <row r="56" spans="1:25">
      <c r="D56">
        <v>4.1715999999999998</v>
      </c>
      <c r="E56" s="3">
        <f t="shared" si="15"/>
        <v>0.83431999999999995</v>
      </c>
      <c r="F56" s="3">
        <f t="shared" si="16"/>
        <v>-5.4680000000000062E-2</v>
      </c>
      <c r="G56" s="3">
        <v>0.83409999999999995</v>
      </c>
      <c r="H56" s="3">
        <f t="shared" si="16"/>
        <v>-5.490000000000006E-2</v>
      </c>
      <c r="O56" s="3"/>
      <c r="W56">
        <v>57.5</v>
      </c>
    </row>
    <row r="57" spans="1:25">
      <c r="W57" s="35" t="s">
        <v>105</v>
      </c>
    </row>
    <row r="58" spans="1:25">
      <c r="A58" s="4" t="s">
        <v>73</v>
      </c>
      <c r="B58" s="1">
        <v>44851</v>
      </c>
      <c r="C58" t="s">
        <v>74</v>
      </c>
      <c r="D58" t="s">
        <v>2</v>
      </c>
      <c r="F58" t="s">
        <v>75</v>
      </c>
    </row>
    <row r="59" spans="1:25">
      <c r="C59">
        <v>4</v>
      </c>
      <c r="D59" s="3">
        <v>0.6714</v>
      </c>
      <c r="F59" s="3">
        <f xml:space="preserve"> ((D59+D60)/2 - (D61+D62)/2) /2</f>
        <v>1.6649999999999998E-2</v>
      </c>
    </row>
    <row r="60" spans="1:25">
      <c r="C60">
        <v>4</v>
      </c>
      <c r="D60" s="3">
        <v>0.66749999999999998</v>
      </c>
    </row>
    <row r="61" spans="1:25">
      <c r="C61">
        <v>6</v>
      </c>
      <c r="D61" s="3">
        <v>0.63180000000000003</v>
      </c>
      <c r="G61">
        <v>3</v>
      </c>
      <c r="H61">
        <v>4</v>
      </c>
      <c r="I61">
        <v>5</v>
      </c>
    </row>
    <row r="62" spans="1:25">
      <c r="C62">
        <v>6</v>
      </c>
      <c r="D62" s="3">
        <v>0.64049999999999996</v>
      </c>
      <c r="G62">
        <f>G61*$F$59</f>
        <v>4.9949999999999994E-2</v>
      </c>
      <c r="H62">
        <f t="shared" ref="H62:I62" si="17">H61*$F$59</f>
        <v>6.6599999999999993E-2</v>
      </c>
      <c r="I62">
        <f t="shared" si="17"/>
        <v>8.3249999999999991E-2</v>
      </c>
    </row>
    <row r="64" spans="1:25">
      <c r="A64" s="4" t="s">
        <v>120</v>
      </c>
      <c r="B64" s="1">
        <v>44872</v>
      </c>
      <c r="C64" t="s">
        <v>2</v>
      </c>
      <c r="D64" t="s">
        <v>121</v>
      </c>
      <c r="E64" t="s">
        <v>122</v>
      </c>
    </row>
    <row r="65" spans="1:9">
      <c r="C65">
        <v>0.82269999999999999</v>
      </c>
      <c r="D65" s="37">
        <v>4.2</v>
      </c>
      <c r="E65">
        <v>12.6</v>
      </c>
    </row>
    <row r="66" spans="1:9">
      <c r="C66">
        <v>0.80959999999999999</v>
      </c>
      <c r="D66" s="37">
        <v>8</v>
      </c>
      <c r="E66">
        <v>20.100000000000001</v>
      </c>
    </row>
    <row r="67" spans="1:9">
      <c r="C67">
        <v>0.79490000000000005</v>
      </c>
      <c r="D67" s="37">
        <v>9.3000000000000007</v>
      </c>
      <c r="E67">
        <v>20.5</v>
      </c>
    </row>
    <row r="68" spans="1:9">
      <c r="C68">
        <v>0.8125</v>
      </c>
      <c r="D68" s="37">
        <v>10.3</v>
      </c>
      <c r="E68">
        <v>20.6</v>
      </c>
    </row>
    <row r="69" spans="1:9">
      <c r="C69">
        <v>0.80010000000000003</v>
      </c>
      <c r="D69" s="37">
        <v>10.5</v>
      </c>
      <c r="E69">
        <v>20.7</v>
      </c>
    </row>
    <row r="71" spans="1:9">
      <c r="A71" s="4" t="s">
        <v>134</v>
      </c>
      <c r="B71" s="1">
        <v>44881</v>
      </c>
      <c r="D71" t="s">
        <v>71</v>
      </c>
      <c r="E71" t="s">
        <v>135</v>
      </c>
      <c r="F71" t="s">
        <v>137</v>
      </c>
      <c r="I71" s="35" t="s">
        <v>136</v>
      </c>
    </row>
    <row r="72" spans="1:9">
      <c r="C72" t="s">
        <v>69</v>
      </c>
      <c r="D72" s="29">
        <v>164.75</v>
      </c>
      <c r="E72">
        <v>164.798</v>
      </c>
      <c r="F72" s="29">
        <f t="shared" ref="F72:F77" si="18">E72-D72</f>
        <v>4.8000000000001819E-2</v>
      </c>
    </row>
    <row r="73" spans="1:9">
      <c r="C73" t="s">
        <v>138</v>
      </c>
      <c r="D73">
        <v>122.38</v>
      </c>
      <c r="E73">
        <v>122.393</v>
      </c>
      <c r="F73" s="29">
        <f t="shared" si="18"/>
        <v>1.300000000000523E-2</v>
      </c>
    </row>
    <row r="74" spans="1:9">
      <c r="C74" t="s">
        <v>138</v>
      </c>
      <c r="D74">
        <v>122.38</v>
      </c>
      <c r="E74">
        <v>122.294</v>
      </c>
      <c r="F74" s="29">
        <f t="shared" si="18"/>
        <v>-8.5999999999998522E-2</v>
      </c>
    </row>
    <row r="75" spans="1:9">
      <c r="C75" t="s">
        <v>102</v>
      </c>
      <c r="D75">
        <v>273.14999999999998</v>
      </c>
      <c r="E75">
        <f>273.15+0.667</f>
        <v>273.81699999999995</v>
      </c>
      <c r="F75" s="29">
        <f t="shared" si="18"/>
        <v>0.66699999999997317</v>
      </c>
    </row>
    <row r="76" spans="1:9">
      <c r="C76" t="s">
        <v>102</v>
      </c>
      <c r="D76">
        <v>273.14999999999998</v>
      </c>
      <c r="E76">
        <f>273.15+0.566</f>
        <v>273.71599999999995</v>
      </c>
      <c r="F76" s="29">
        <f t="shared" si="18"/>
        <v>0.56599999999997408</v>
      </c>
    </row>
    <row r="77" spans="1:9">
      <c r="C77" t="s">
        <v>139</v>
      </c>
      <c r="D77">
        <v>176</v>
      </c>
      <c r="E77">
        <v>175.989</v>
      </c>
      <c r="F77" s="29">
        <f t="shared" si="18"/>
        <v>-1.099999999999568E-2</v>
      </c>
    </row>
    <row r="79" spans="1:9">
      <c r="A79" s="4" t="s">
        <v>140</v>
      </c>
      <c r="B79" s="1">
        <v>44881</v>
      </c>
      <c r="C79" t="s">
        <v>145</v>
      </c>
      <c r="D79" t="s">
        <v>141</v>
      </c>
      <c r="E79" t="s">
        <v>142</v>
      </c>
      <c r="F79" t="s">
        <v>2</v>
      </c>
      <c r="G79" t="s">
        <v>143</v>
      </c>
    </row>
    <row r="80" spans="1:9" ht="15" customHeight="1">
      <c r="C80">
        <v>-10</v>
      </c>
      <c r="E80">
        <v>-3.3</v>
      </c>
      <c r="F80">
        <v>0.88700000000000001</v>
      </c>
    </row>
    <row r="81" spans="3:25">
      <c r="C81">
        <v>-10</v>
      </c>
      <c r="E81">
        <v>5</v>
      </c>
      <c r="F81">
        <v>0.84940000000000004</v>
      </c>
      <c r="G81" s="48"/>
    </row>
    <row r="82" spans="3:25">
      <c r="C82">
        <v>-10</v>
      </c>
      <c r="D82">
        <v>-12</v>
      </c>
      <c r="E82">
        <v>-13</v>
      </c>
      <c r="F82">
        <v>0.81930000000000003</v>
      </c>
      <c r="G82" s="48"/>
    </row>
    <row r="83" spans="3:25">
      <c r="C83">
        <v>-10</v>
      </c>
      <c r="D83">
        <v>-12</v>
      </c>
      <c r="E83">
        <v>-10</v>
      </c>
      <c r="F83">
        <v>0.77629999999999999</v>
      </c>
      <c r="G83" s="48"/>
    </row>
    <row r="84" spans="3:25">
      <c r="C84" s="24">
        <v>-10</v>
      </c>
      <c r="D84" s="24"/>
      <c r="E84" s="24"/>
      <c r="F84" s="24">
        <v>0.79469999999999996</v>
      </c>
      <c r="G84" s="49" t="s">
        <v>144</v>
      </c>
    </row>
    <row r="85" spans="3:25">
      <c r="C85">
        <v>-10</v>
      </c>
      <c r="D85">
        <v>-8.1</v>
      </c>
      <c r="E85">
        <v>-10</v>
      </c>
      <c r="F85">
        <v>0.86260000000000003</v>
      </c>
    </row>
    <row r="86" spans="3:25">
      <c r="C86">
        <v>-10</v>
      </c>
      <c r="D86">
        <v>-3</v>
      </c>
      <c r="E86">
        <v>-4.0999999999999996</v>
      </c>
      <c r="F86">
        <v>0.87180000000000002</v>
      </c>
      <c r="Q86" t="s">
        <v>149</v>
      </c>
      <c r="R86" t="s">
        <v>155</v>
      </c>
      <c r="S86" t="s">
        <v>156</v>
      </c>
      <c r="T86" t="s">
        <v>157</v>
      </c>
    </row>
    <row r="87" spans="3:25">
      <c r="C87">
        <v>-10</v>
      </c>
      <c r="D87">
        <v>-4.3</v>
      </c>
      <c r="E87">
        <v>-6.4</v>
      </c>
      <c r="F87">
        <v>0.84550000000000003</v>
      </c>
      <c r="Q87" t="s">
        <v>152</v>
      </c>
      <c r="R87" s="51">
        <v>240.48</v>
      </c>
      <c r="S87" s="52">
        <v>240.77500000000001</v>
      </c>
      <c r="T87" s="52">
        <v>0.29500000000001592</v>
      </c>
      <c r="V87">
        <f>1/R87</f>
        <v>4.1583499667332009E-3</v>
      </c>
      <c r="W87">
        <f>1/T87</f>
        <v>3.3898305084743936</v>
      </c>
      <c r="Y87">
        <f>$X$112*R87/($X$113+R87)</f>
        <v>-0.51341555635334402</v>
      </c>
    </row>
    <row r="88" spans="3:25">
      <c r="C88" s="17">
        <v>0</v>
      </c>
      <c r="D88" s="17">
        <v>-6.8</v>
      </c>
      <c r="E88" s="17">
        <v>-5.2</v>
      </c>
      <c r="F88" s="17">
        <v>0.84919999999999995</v>
      </c>
      <c r="G88" s="17"/>
      <c r="Q88" t="s">
        <v>154</v>
      </c>
      <c r="R88" s="51">
        <v>252.29</v>
      </c>
      <c r="S88" s="52">
        <v>252.46</v>
      </c>
      <c r="T88" s="52">
        <v>0.17000000000001592</v>
      </c>
      <c r="V88">
        <f t="shared" ref="V88:V108" si="19">1/R88</f>
        <v>3.963692576003805E-3</v>
      </c>
      <c r="W88">
        <f t="shared" ref="W88:W108" si="20">1/T88</f>
        <v>5.8823529411759194</v>
      </c>
      <c r="Y88">
        <f t="shared" ref="Y88:Y107" si="21">X$112*R88/(X$113+R88)</f>
        <v>-0.3591432835609551</v>
      </c>
    </row>
    <row r="89" spans="3:25">
      <c r="C89">
        <v>0</v>
      </c>
      <c r="D89">
        <v>-2</v>
      </c>
      <c r="E89">
        <v>6</v>
      </c>
      <c r="F89">
        <v>0.8216</v>
      </c>
      <c r="Q89" t="s">
        <v>139</v>
      </c>
      <c r="R89">
        <v>176</v>
      </c>
      <c r="S89" s="11">
        <v>175.98400000000001</v>
      </c>
      <c r="T89" s="29">
        <f>S89-R89</f>
        <v>-1.5999999999991132E-2</v>
      </c>
      <c r="V89">
        <f t="shared" si="19"/>
        <v>5.681818181818182E-3</v>
      </c>
      <c r="W89">
        <f t="shared" si="20"/>
        <v>-62.500000000034639</v>
      </c>
      <c r="Y89">
        <f t="shared" si="21"/>
        <v>0.2173755005897513</v>
      </c>
    </row>
    <row r="90" spans="3:25">
      <c r="C90">
        <v>0</v>
      </c>
      <c r="D90">
        <v>-5.4</v>
      </c>
      <c r="E90">
        <v>-1.8</v>
      </c>
      <c r="F90">
        <v>0.86280000000000001</v>
      </c>
      <c r="Q90" t="s">
        <v>139</v>
      </c>
      <c r="R90">
        <v>176</v>
      </c>
      <c r="S90" s="11">
        <v>175.988</v>
      </c>
      <c r="T90" s="29">
        <f t="shared" ref="T90:T107" si="22">S90-R90</f>
        <v>-1.2000000000000455E-2</v>
      </c>
      <c r="V90">
        <f t="shared" si="19"/>
        <v>5.681818181818182E-3</v>
      </c>
      <c r="Y90">
        <f t="shared" si="21"/>
        <v>0.2173755005897513</v>
      </c>
    </row>
    <row r="91" spans="3:25">
      <c r="C91" s="17">
        <v>10</v>
      </c>
      <c r="D91" s="17">
        <v>4.5</v>
      </c>
      <c r="E91" s="17">
        <v>11</v>
      </c>
      <c r="F91" s="17">
        <v>0.83040000000000003</v>
      </c>
      <c r="G91" s="17"/>
      <c r="Q91" t="s">
        <v>139</v>
      </c>
      <c r="R91">
        <v>176</v>
      </c>
      <c r="S91" s="11">
        <v>175.85</v>
      </c>
      <c r="T91" s="29">
        <f t="shared" si="22"/>
        <v>-0.15000000000000568</v>
      </c>
      <c r="V91">
        <f t="shared" si="19"/>
        <v>5.681818181818182E-3</v>
      </c>
      <c r="W91">
        <f t="shared" si="20"/>
        <v>-6.6666666666664138</v>
      </c>
      <c r="Y91">
        <f t="shared" si="21"/>
        <v>0.2173755005897513</v>
      </c>
    </row>
    <row r="92" spans="3:25">
      <c r="C92" s="50">
        <v>10</v>
      </c>
      <c r="D92" s="50">
        <v>4.7</v>
      </c>
      <c r="E92" s="50">
        <v>12.3</v>
      </c>
      <c r="F92" s="50">
        <v>0.83260000000000001</v>
      </c>
      <c r="G92" s="50"/>
      <c r="Q92" t="s">
        <v>139</v>
      </c>
      <c r="R92">
        <v>176</v>
      </c>
      <c r="S92" s="11">
        <v>175.999</v>
      </c>
      <c r="T92" s="29">
        <f t="shared" si="22"/>
        <v>-1.0000000000047748E-3</v>
      </c>
      <c r="V92">
        <f t="shared" si="19"/>
        <v>5.681818181818182E-3</v>
      </c>
      <c r="Y92">
        <f t="shared" si="21"/>
        <v>0.2173755005897513</v>
      </c>
    </row>
    <row r="93" spans="3:25">
      <c r="C93" s="24">
        <v>10</v>
      </c>
      <c r="D93" s="24">
        <v>7</v>
      </c>
      <c r="E93" s="24">
        <v>13.6</v>
      </c>
      <c r="F93" s="24">
        <v>0.84419999999999995</v>
      </c>
      <c r="G93" s="24" t="s">
        <v>147</v>
      </c>
      <c r="Q93" t="s">
        <v>139</v>
      </c>
      <c r="R93">
        <v>176</v>
      </c>
      <c r="S93" s="11">
        <v>175.98</v>
      </c>
      <c r="T93" s="29">
        <f t="shared" si="22"/>
        <v>-2.0000000000010232E-2</v>
      </c>
      <c r="V93">
        <f t="shared" si="19"/>
        <v>5.681818181818182E-3</v>
      </c>
      <c r="W93">
        <f t="shared" si="20"/>
        <v>-49.99999999997442</v>
      </c>
      <c r="Y93">
        <f t="shared" si="21"/>
        <v>0.2173755005897513</v>
      </c>
    </row>
    <row r="94" spans="3:25">
      <c r="C94">
        <v>20</v>
      </c>
      <c r="D94">
        <v>18</v>
      </c>
      <c r="E94">
        <v>13.4</v>
      </c>
      <c r="F94">
        <v>0.74460000000000004</v>
      </c>
      <c r="Q94" t="s">
        <v>139</v>
      </c>
      <c r="R94">
        <v>176</v>
      </c>
      <c r="S94" s="11">
        <v>175.95500000000001</v>
      </c>
      <c r="T94" s="29">
        <f t="shared" si="22"/>
        <v>-4.4999999999987494E-2</v>
      </c>
      <c r="V94">
        <f t="shared" si="19"/>
        <v>5.681818181818182E-3</v>
      </c>
      <c r="Y94">
        <f t="shared" si="21"/>
        <v>0.2173755005897513</v>
      </c>
    </row>
    <row r="95" spans="3:25">
      <c r="C95">
        <v>20</v>
      </c>
      <c r="D95">
        <v>19.5</v>
      </c>
      <c r="E95">
        <v>14.8</v>
      </c>
      <c r="F95">
        <v>0.76659999999999995</v>
      </c>
      <c r="Q95" t="s">
        <v>139</v>
      </c>
      <c r="R95">
        <v>176</v>
      </c>
      <c r="S95" s="11">
        <v>176.054</v>
      </c>
      <c r="T95" s="29">
        <f t="shared" si="22"/>
        <v>5.4000000000002046E-2</v>
      </c>
      <c r="V95">
        <f t="shared" si="19"/>
        <v>5.681818181818182E-3</v>
      </c>
      <c r="W95">
        <f t="shared" si="20"/>
        <v>18.518518518517816</v>
      </c>
      <c r="Y95">
        <f t="shared" si="21"/>
        <v>0.2173755005897513</v>
      </c>
    </row>
    <row r="96" spans="3:25">
      <c r="C96" s="24">
        <v>20</v>
      </c>
      <c r="D96" s="24">
        <v>20.100000000000001</v>
      </c>
      <c r="E96" s="24">
        <v>16</v>
      </c>
      <c r="F96" s="24">
        <v>0.75629999999999997</v>
      </c>
      <c r="G96" s="24" t="s">
        <v>146</v>
      </c>
      <c r="Q96" t="s">
        <v>139</v>
      </c>
      <c r="R96">
        <v>176</v>
      </c>
      <c r="S96" s="11">
        <v>176.01300000000001</v>
      </c>
      <c r="T96" s="29">
        <f t="shared" si="22"/>
        <v>1.300000000000523E-2</v>
      </c>
      <c r="V96">
        <f t="shared" si="19"/>
        <v>5.681818181818182E-3</v>
      </c>
      <c r="W96">
        <f t="shared" si="20"/>
        <v>76.923076923045983</v>
      </c>
      <c r="Y96">
        <f t="shared" si="21"/>
        <v>0.2173755005897513</v>
      </c>
    </row>
    <row r="97" spans="1:25">
      <c r="Q97" t="s">
        <v>139</v>
      </c>
      <c r="R97">
        <v>176</v>
      </c>
      <c r="S97" s="11">
        <v>176.024</v>
      </c>
      <c r="T97" s="29">
        <f t="shared" si="22"/>
        <v>2.4000000000000909E-2</v>
      </c>
      <c r="V97">
        <f t="shared" si="19"/>
        <v>5.681818181818182E-3</v>
      </c>
      <c r="W97">
        <f t="shared" si="20"/>
        <v>41.666666666665087</v>
      </c>
      <c r="Y97">
        <f t="shared" si="21"/>
        <v>0.2173755005897513</v>
      </c>
    </row>
    <row r="98" spans="1:25">
      <c r="A98" s="4" t="s">
        <v>148</v>
      </c>
      <c r="B98" s="1">
        <v>44901</v>
      </c>
      <c r="C98" t="s">
        <v>149</v>
      </c>
      <c r="D98" t="s">
        <v>150</v>
      </c>
      <c r="E98" t="s">
        <v>71</v>
      </c>
      <c r="F98" t="s">
        <v>151</v>
      </c>
      <c r="G98" t="s">
        <v>153</v>
      </c>
      <c r="Q98" t="s">
        <v>139</v>
      </c>
      <c r="R98">
        <v>176</v>
      </c>
      <c r="S98" s="11">
        <v>175.983</v>
      </c>
      <c r="T98" s="29">
        <f t="shared" si="22"/>
        <v>-1.6999999999995907E-2</v>
      </c>
      <c r="V98">
        <f t="shared" si="19"/>
        <v>5.681818181818182E-3</v>
      </c>
      <c r="W98">
        <f t="shared" si="20"/>
        <v>-58.823529411778864</v>
      </c>
      <c r="Y98">
        <f t="shared" si="21"/>
        <v>0.2173755005897513</v>
      </c>
    </row>
    <row r="99" spans="1:25">
      <c r="C99" t="s">
        <v>152</v>
      </c>
      <c r="D99">
        <v>0.5</v>
      </c>
      <c r="E99">
        <v>240.48</v>
      </c>
      <c r="F99">
        <v>242.39500000000001</v>
      </c>
      <c r="G99">
        <f>F99-E99</f>
        <v>1.9150000000000205</v>
      </c>
      <c r="Q99" t="s">
        <v>139</v>
      </c>
      <c r="R99">
        <v>176</v>
      </c>
      <c r="S99" s="11">
        <v>175.999</v>
      </c>
      <c r="T99" s="29">
        <f t="shared" si="22"/>
        <v>-1.0000000000047748E-3</v>
      </c>
      <c r="V99">
        <f t="shared" si="19"/>
        <v>5.681818181818182E-3</v>
      </c>
      <c r="Y99">
        <f t="shared" si="21"/>
        <v>0.2173755005897513</v>
      </c>
    </row>
    <row r="100" spans="1:25">
      <c r="C100" s="51" t="s">
        <v>152</v>
      </c>
      <c r="D100" s="51">
        <v>0.1</v>
      </c>
      <c r="E100" s="51">
        <v>240.48</v>
      </c>
      <c r="F100" s="51">
        <v>240.77500000000001</v>
      </c>
      <c r="G100" s="51">
        <f>F100-E100</f>
        <v>0.29500000000001592</v>
      </c>
      <c r="Q100" t="s">
        <v>139</v>
      </c>
      <c r="R100">
        <v>176</v>
      </c>
      <c r="S100" s="11">
        <v>176.18</v>
      </c>
      <c r="T100" s="29">
        <f t="shared" si="22"/>
        <v>0.18000000000000682</v>
      </c>
      <c r="V100">
        <f t="shared" si="19"/>
        <v>5.681818181818182E-3</v>
      </c>
      <c r="W100">
        <f t="shared" si="20"/>
        <v>5.5555555555553449</v>
      </c>
      <c r="Y100">
        <f t="shared" si="21"/>
        <v>0.2173755005897513</v>
      </c>
    </row>
    <row r="101" spans="1:25">
      <c r="C101" t="s">
        <v>154</v>
      </c>
      <c r="D101">
        <v>0.25</v>
      </c>
      <c r="E101">
        <v>252.29</v>
      </c>
      <c r="F101">
        <v>253.35900000000001</v>
      </c>
      <c r="G101">
        <f t="shared" ref="G101:G104" si="23">F101-E101</f>
        <v>1.0690000000000168</v>
      </c>
      <c r="Q101" t="s">
        <v>139</v>
      </c>
      <c r="R101">
        <v>176</v>
      </c>
      <c r="S101" s="11">
        <v>176.00700000000001</v>
      </c>
      <c r="T101" s="29">
        <f t="shared" si="22"/>
        <v>7.0000000000050022E-3</v>
      </c>
      <c r="V101">
        <f t="shared" si="19"/>
        <v>5.681818181818182E-3</v>
      </c>
      <c r="Y101">
        <f t="shared" si="21"/>
        <v>0.2173755005897513</v>
      </c>
    </row>
    <row r="102" spans="1:25">
      <c r="C102" t="s">
        <v>154</v>
      </c>
      <c r="D102">
        <v>0.25</v>
      </c>
      <c r="E102">
        <v>252.29</v>
      </c>
      <c r="F102">
        <v>253.15899999999999</v>
      </c>
      <c r="G102">
        <f t="shared" si="23"/>
        <v>0.86899999999999977</v>
      </c>
      <c r="Q102" t="s">
        <v>139</v>
      </c>
      <c r="R102">
        <v>176</v>
      </c>
      <c r="S102">
        <v>175.989</v>
      </c>
      <c r="T102" s="29">
        <f t="shared" si="22"/>
        <v>-1.099999999999568E-2</v>
      </c>
      <c r="V102">
        <f t="shared" si="19"/>
        <v>5.681818181818182E-3</v>
      </c>
      <c r="Y102">
        <f t="shared" si="21"/>
        <v>0.2173755005897513</v>
      </c>
    </row>
    <row r="103" spans="1:25">
      <c r="C103" s="51" t="s">
        <v>154</v>
      </c>
      <c r="D103" s="51">
        <v>0.1</v>
      </c>
      <c r="E103" s="51">
        <v>252.29</v>
      </c>
      <c r="F103" s="51">
        <v>252.46</v>
      </c>
      <c r="G103" s="51">
        <f t="shared" si="23"/>
        <v>0.17000000000001592</v>
      </c>
      <c r="Q103" t="s">
        <v>69</v>
      </c>
      <c r="R103" s="29">
        <v>164.75</v>
      </c>
      <c r="S103">
        <v>164.798</v>
      </c>
      <c r="T103" s="29">
        <f t="shared" si="22"/>
        <v>4.8000000000001819E-2</v>
      </c>
      <c r="V103">
        <f t="shared" si="19"/>
        <v>6.0698027314112293E-3</v>
      </c>
      <c r="Y103">
        <f t="shared" si="21"/>
        <v>0.15954192320485647</v>
      </c>
    </row>
    <row r="104" spans="1:25">
      <c r="C104" t="s">
        <v>154</v>
      </c>
      <c r="D104">
        <v>0.5</v>
      </c>
      <c r="E104">
        <v>252.29</v>
      </c>
      <c r="F104">
        <v>254.46600000000001</v>
      </c>
      <c r="G104">
        <f t="shared" si="23"/>
        <v>2.1760000000000161</v>
      </c>
      <c r="Q104" t="s">
        <v>138</v>
      </c>
      <c r="R104">
        <v>122.38</v>
      </c>
      <c r="S104">
        <v>122.393</v>
      </c>
      <c r="T104" s="29">
        <f t="shared" si="22"/>
        <v>1.300000000000523E-2</v>
      </c>
      <c r="V104">
        <f t="shared" si="19"/>
        <v>8.1712698153293024E-3</v>
      </c>
      <c r="W104">
        <f t="shared" si="20"/>
        <v>76.923076923045983</v>
      </c>
      <c r="Y104">
        <f t="shared" si="21"/>
        <v>6.535803557459359E-2</v>
      </c>
    </row>
    <row r="105" spans="1:25">
      <c r="Q105" t="s">
        <v>138</v>
      </c>
      <c r="R105">
        <v>122.38</v>
      </c>
      <c r="S105">
        <v>122.294</v>
      </c>
      <c r="T105" s="29">
        <f t="shared" si="22"/>
        <v>-8.5999999999998522E-2</v>
      </c>
      <c r="V105">
        <f t="shared" si="19"/>
        <v>8.1712698153293024E-3</v>
      </c>
      <c r="W105">
        <f t="shared" si="20"/>
        <v>-11.627906976744386</v>
      </c>
      <c r="Y105">
        <f t="shared" si="21"/>
        <v>6.535803557459359E-2</v>
      </c>
    </row>
    <row r="106" spans="1:25">
      <c r="Q106" t="s">
        <v>102</v>
      </c>
      <c r="R106">
        <v>273.14999999999998</v>
      </c>
      <c r="S106">
        <f>273.15+0.667</f>
        <v>273.81699999999995</v>
      </c>
      <c r="T106" s="29">
        <f t="shared" si="22"/>
        <v>0.66699999999997317</v>
      </c>
      <c r="V106">
        <f t="shared" si="19"/>
        <v>3.6609921288669233E-3</v>
      </c>
      <c r="W106">
        <f t="shared" si="20"/>
        <v>1.499250374812654</v>
      </c>
      <c r="Y106">
        <f t="shared" si="21"/>
        <v>-0.24477096609836543</v>
      </c>
    </row>
    <row r="107" spans="1:25">
      <c r="Q107" t="s">
        <v>102</v>
      </c>
      <c r="R107">
        <v>273.14999999999998</v>
      </c>
      <c r="S107">
        <f>273.15+0.566</f>
        <v>273.71599999999995</v>
      </c>
      <c r="T107" s="29">
        <f t="shared" si="22"/>
        <v>0.56599999999997408</v>
      </c>
      <c r="V107">
        <f t="shared" si="19"/>
        <v>3.6609921288669233E-3</v>
      </c>
      <c r="W107">
        <f t="shared" si="20"/>
        <v>1.7667844522969007</v>
      </c>
      <c r="Y107">
        <f t="shared" si="21"/>
        <v>-0.24477096609836543</v>
      </c>
    </row>
    <row r="108" spans="1:25">
      <c r="Q108" t="s">
        <v>158</v>
      </c>
      <c r="R108">
        <v>429.74849999999998</v>
      </c>
      <c r="T108" s="29">
        <v>0.46</v>
      </c>
      <c r="V108">
        <f t="shared" si="19"/>
        <v>2.3269423860699922E-3</v>
      </c>
      <c r="W108">
        <f t="shared" si="20"/>
        <v>2.1739130434782608</v>
      </c>
      <c r="Y108">
        <f>X$112*R108/(X$113+R108)</f>
        <v>-0.10183942564580195</v>
      </c>
    </row>
    <row r="109" spans="1:25">
      <c r="M109">
        <v>100</v>
      </c>
      <c r="N109">
        <f>$X$112*M109/($X$113+M109)</f>
        <v>4.3177017658768697E-2</v>
      </c>
    </row>
    <row r="110" spans="1:25">
      <c r="M110">
        <v>110</v>
      </c>
      <c r="N110">
        <f t="shared" ref="N110:N144" si="24">$X$112*M110/($X$113+M110)</f>
        <v>5.1939761464136189E-2</v>
      </c>
    </row>
    <row r="111" spans="1:25">
      <c r="M111">
        <v>120</v>
      </c>
      <c r="N111">
        <f t="shared" si="24"/>
        <v>6.2512078161196305E-2</v>
      </c>
    </row>
    <row r="112" spans="1:25">
      <c r="M112">
        <v>130</v>
      </c>
      <c r="N112">
        <f t="shared" si="24"/>
        <v>7.5519045088854653E-2</v>
      </c>
      <c r="V112">
        <f>SLOPE(W87:W108,V87:V108)</f>
        <v>4298.1365389541133</v>
      </c>
      <c r="X112">
        <f>1/V113</f>
        <v>-5.0451806259772254E-2</v>
      </c>
    </row>
    <row r="113" spans="13:30">
      <c r="M113">
        <v>140</v>
      </c>
      <c r="N113">
        <f t="shared" si="24"/>
        <v>9.1911094167901289E-2</v>
      </c>
      <c r="V113">
        <f>INTERCEPT(W87:W108,V87:V108)</f>
        <v>-19.820895903133401</v>
      </c>
      <c r="X113">
        <f>X112*V112</f>
        <v>-216.84875194136097</v>
      </c>
    </row>
    <row r="114" spans="13:30">
      <c r="M114">
        <v>150</v>
      </c>
      <c r="N114">
        <f t="shared" si="24"/>
        <v>0.11320736317716458</v>
      </c>
    </row>
    <row r="115" spans="13:30">
      <c r="M115">
        <v>160</v>
      </c>
      <c r="N115">
        <f t="shared" si="24"/>
        <v>0.14199588778817979</v>
      </c>
    </row>
    <row r="116" spans="13:30">
      <c r="M116">
        <v>170</v>
      </c>
      <c r="N116">
        <f t="shared" si="24"/>
        <v>0.1830743981162313</v>
      </c>
    </row>
    <row r="117" spans="13:30">
      <c r="M117">
        <v>180</v>
      </c>
      <c r="N117">
        <f t="shared" si="24"/>
        <v>0.24644864882291034</v>
      </c>
    </row>
    <row r="118" spans="13:30">
      <c r="M118">
        <v>190</v>
      </c>
      <c r="N118">
        <f t="shared" si="24"/>
        <v>0.3570312396752256</v>
      </c>
      <c r="R118" s="40"/>
    </row>
    <row r="119" spans="13:30">
      <c r="M119">
        <v>200</v>
      </c>
      <c r="N119">
        <f t="shared" si="24"/>
        <v>0.59887885388022355</v>
      </c>
      <c r="R119" s="40"/>
      <c r="S119" s="29"/>
    </row>
    <row r="120" spans="13:30">
      <c r="M120">
        <v>210</v>
      </c>
      <c r="N120">
        <f t="shared" si="24"/>
        <v>1.5469795672650359</v>
      </c>
      <c r="R120" s="29"/>
      <c r="S120" s="29"/>
      <c r="AA120" t="s">
        <v>149</v>
      </c>
      <c r="AB120" t="s">
        <v>155</v>
      </c>
      <c r="AC120" t="s">
        <v>156</v>
      </c>
      <c r="AD120" t="s">
        <v>157</v>
      </c>
    </row>
    <row r="121" spans="13:30">
      <c r="M121">
        <v>220</v>
      </c>
      <c r="N121">
        <f t="shared" si="24"/>
        <v>-3.5222226783198862</v>
      </c>
      <c r="AA121" t="s">
        <v>152</v>
      </c>
      <c r="AB121" s="51">
        <v>240.48</v>
      </c>
      <c r="AC121" s="52">
        <v>240.77500000000001</v>
      </c>
      <c r="AD121" s="52">
        <v>0.29500000000001592</v>
      </c>
    </row>
    <row r="122" spans="13:30">
      <c r="M122">
        <v>230</v>
      </c>
      <c r="N122">
        <f t="shared" si="24"/>
        <v>-0.88234328696469466</v>
      </c>
      <c r="AA122" t="s">
        <v>154</v>
      </c>
      <c r="AB122" s="51">
        <v>252.29</v>
      </c>
      <c r="AC122" s="52">
        <v>252.46</v>
      </c>
      <c r="AD122" s="52">
        <v>0.17000000000001592</v>
      </c>
    </row>
    <row r="123" spans="13:30">
      <c r="M123">
        <v>240</v>
      </c>
      <c r="N123">
        <f t="shared" si="24"/>
        <v>-0.5230142872503587</v>
      </c>
      <c r="AA123" t="s">
        <v>139</v>
      </c>
      <c r="AB123">
        <v>176</v>
      </c>
      <c r="AC123" s="11">
        <v>175.98400000000001</v>
      </c>
      <c r="AD123" s="29">
        <f>AC123-AB123</f>
        <v>-1.5999999999991132E-2</v>
      </c>
    </row>
    <row r="124" spans="13:30">
      <c r="M124">
        <v>250</v>
      </c>
      <c r="N124">
        <f t="shared" si="24"/>
        <v>-0.38046686938099156</v>
      </c>
      <c r="AA124" t="s">
        <v>139</v>
      </c>
      <c r="AB124">
        <v>176</v>
      </c>
      <c r="AC124" s="11">
        <v>175.988</v>
      </c>
      <c r="AD124" s="29">
        <f t="shared" ref="AD124:AD141" si="25">AC124-AB124</f>
        <v>-1.2000000000000455E-2</v>
      </c>
    </row>
    <row r="125" spans="13:30">
      <c r="M125">
        <v>260</v>
      </c>
      <c r="N125">
        <f t="shared" si="24"/>
        <v>-0.30398818615200224</v>
      </c>
      <c r="AA125" t="s">
        <v>139</v>
      </c>
      <c r="AB125">
        <v>176</v>
      </c>
      <c r="AC125" s="11">
        <v>175.85</v>
      </c>
      <c r="AD125" s="29">
        <f t="shared" si="25"/>
        <v>-0.15000000000000568</v>
      </c>
    </row>
    <row r="126" spans="13:30">
      <c r="M126">
        <v>270</v>
      </c>
      <c r="N126">
        <f t="shared" si="24"/>
        <v>-0.25628725924008544</v>
      </c>
      <c r="AA126" t="s">
        <v>139</v>
      </c>
      <c r="AB126">
        <v>176</v>
      </c>
      <c r="AC126" s="11">
        <v>175.999</v>
      </c>
      <c r="AD126" s="29">
        <f t="shared" si="25"/>
        <v>-1.0000000000047748E-3</v>
      </c>
    </row>
    <row r="127" spans="13:30">
      <c r="M127">
        <v>280</v>
      </c>
      <c r="N127">
        <f t="shared" si="24"/>
        <v>-0.22369321568465406</v>
      </c>
      <c r="AA127" t="s">
        <v>139</v>
      </c>
      <c r="AB127">
        <v>176</v>
      </c>
      <c r="AC127" s="11">
        <v>175.98</v>
      </c>
      <c r="AD127" s="29">
        <f t="shared" si="25"/>
        <v>-2.0000000000010232E-2</v>
      </c>
    </row>
    <row r="128" spans="13:30">
      <c r="M128">
        <v>290</v>
      </c>
      <c r="N128">
        <f t="shared" si="24"/>
        <v>-0.20001058360078189</v>
      </c>
      <c r="AA128" t="s">
        <v>139</v>
      </c>
      <c r="AB128">
        <v>176</v>
      </c>
      <c r="AC128" s="11">
        <v>175.95500000000001</v>
      </c>
      <c r="AD128" s="29">
        <f t="shared" si="25"/>
        <v>-4.4999999999987494E-2</v>
      </c>
    </row>
    <row r="129" spans="13:30">
      <c r="M129">
        <v>300</v>
      </c>
      <c r="N129">
        <f t="shared" si="24"/>
        <v>-0.18202422971760993</v>
      </c>
      <c r="AA129" t="s">
        <v>139</v>
      </c>
      <c r="AB129">
        <v>176</v>
      </c>
      <c r="AC129" s="11">
        <v>176.054</v>
      </c>
      <c r="AD129" s="29">
        <f t="shared" si="25"/>
        <v>5.4000000000002046E-2</v>
      </c>
    </row>
    <row r="130" spans="13:30">
      <c r="M130">
        <v>310</v>
      </c>
      <c r="N130">
        <f t="shared" si="24"/>
        <v>-0.16789962846964679</v>
      </c>
      <c r="AA130" t="s">
        <v>139</v>
      </c>
      <c r="AB130">
        <v>176</v>
      </c>
      <c r="AC130" s="11">
        <v>176.01300000000001</v>
      </c>
      <c r="AD130" s="29">
        <f t="shared" si="25"/>
        <v>1.300000000000523E-2</v>
      </c>
    </row>
    <row r="131" spans="13:30">
      <c r="M131">
        <v>320</v>
      </c>
      <c r="N131">
        <f t="shared" si="24"/>
        <v>-0.15651364677574542</v>
      </c>
      <c r="AA131" t="s">
        <v>139</v>
      </c>
      <c r="AB131">
        <v>176</v>
      </c>
      <c r="AC131" s="11">
        <v>176.024</v>
      </c>
      <c r="AD131" s="29">
        <f t="shared" si="25"/>
        <v>2.4000000000000909E-2</v>
      </c>
    </row>
    <row r="132" spans="13:30">
      <c r="M132">
        <v>330</v>
      </c>
      <c r="N132">
        <f t="shared" si="24"/>
        <v>-0.14714018936049814</v>
      </c>
      <c r="AA132" t="s">
        <v>139</v>
      </c>
      <c r="AB132">
        <v>176</v>
      </c>
      <c r="AC132" s="11">
        <v>175.983</v>
      </c>
      <c r="AD132" s="29">
        <f t="shared" si="25"/>
        <v>-1.6999999999995907E-2</v>
      </c>
    </row>
    <row r="133" spans="13:30">
      <c r="M133">
        <v>340</v>
      </c>
      <c r="N133">
        <f t="shared" si="24"/>
        <v>-0.13928899949235427</v>
      </c>
      <c r="AA133" t="s">
        <v>139</v>
      </c>
      <c r="AB133">
        <v>176</v>
      </c>
      <c r="AC133" s="11">
        <v>175.999</v>
      </c>
      <c r="AD133" s="29">
        <f t="shared" si="25"/>
        <v>-1.0000000000047748E-3</v>
      </c>
    </row>
    <row r="134" spans="13:30">
      <c r="M134">
        <v>350</v>
      </c>
      <c r="N134">
        <f t="shared" si="24"/>
        <v>-0.13261709858809398</v>
      </c>
      <c r="AA134" t="s">
        <v>139</v>
      </c>
      <c r="AB134">
        <v>176</v>
      </c>
      <c r="AC134" s="11">
        <v>176.18</v>
      </c>
      <c r="AD134" s="29">
        <f t="shared" si="25"/>
        <v>0.18000000000000682</v>
      </c>
    </row>
    <row r="135" spans="13:30">
      <c r="M135">
        <v>360</v>
      </c>
      <c r="N135">
        <f t="shared" si="24"/>
        <v>-0.12687734476529361</v>
      </c>
      <c r="AA135" t="s">
        <v>139</v>
      </c>
      <c r="AB135">
        <v>176</v>
      </c>
      <c r="AC135" s="11">
        <v>176.00700000000001</v>
      </c>
      <c r="AD135" s="29">
        <f t="shared" si="25"/>
        <v>7.0000000000050022E-3</v>
      </c>
    </row>
    <row r="136" spans="13:30">
      <c r="M136">
        <v>370</v>
      </c>
      <c r="N136">
        <f t="shared" si="24"/>
        <v>-0.12188714458904305</v>
      </c>
      <c r="AA136" t="s">
        <v>139</v>
      </c>
      <c r="AB136">
        <v>176</v>
      </c>
      <c r="AC136">
        <v>175.989</v>
      </c>
      <c r="AD136" s="29">
        <f t="shared" si="25"/>
        <v>-1.099999999999568E-2</v>
      </c>
    </row>
    <row r="137" spans="13:30">
      <c r="M137">
        <v>380</v>
      </c>
      <c r="N137">
        <f t="shared" si="24"/>
        <v>-0.11750867129023042</v>
      </c>
      <c r="AA137" t="s">
        <v>69</v>
      </c>
      <c r="AB137" s="29">
        <v>164.75</v>
      </c>
      <c r="AC137">
        <v>164.798</v>
      </c>
      <c r="AD137" s="29">
        <f t="shared" si="25"/>
        <v>4.8000000000001819E-2</v>
      </c>
    </row>
    <row r="138" spans="13:30">
      <c r="M138">
        <v>390</v>
      </c>
      <c r="N138">
        <f t="shared" si="24"/>
        <v>-0.11363593772450128</v>
      </c>
      <c r="AA138" t="s">
        <v>138</v>
      </c>
      <c r="AB138">
        <v>122.38</v>
      </c>
      <c r="AC138">
        <v>122.393</v>
      </c>
      <c r="AD138" s="29">
        <f t="shared" si="25"/>
        <v>1.300000000000523E-2</v>
      </c>
    </row>
    <row r="139" spans="13:30">
      <c r="M139">
        <v>400</v>
      </c>
      <c r="N139">
        <f t="shared" si="24"/>
        <v>-0.11018610420523969</v>
      </c>
      <c r="AA139" t="s">
        <v>138</v>
      </c>
      <c r="AB139">
        <v>122.38</v>
      </c>
      <c r="AC139">
        <v>122.294</v>
      </c>
      <c r="AD139" s="29">
        <f t="shared" si="25"/>
        <v>-8.5999999999998522E-2</v>
      </c>
    </row>
    <row r="140" spans="13:30">
      <c r="M140">
        <v>410</v>
      </c>
      <c r="N140">
        <f t="shared" si="24"/>
        <v>-0.10709348644864447</v>
      </c>
      <c r="AA140" t="s">
        <v>102</v>
      </c>
      <c r="AB140">
        <v>273.14999999999998</v>
      </c>
      <c r="AC140">
        <f>273.15+0.667</f>
        <v>273.81699999999995</v>
      </c>
      <c r="AD140" s="29">
        <f t="shared" si="25"/>
        <v>0.66699999999997317</v>
      </c>
    </row>
    <row r="141" spans="13:30">
      <c r="M141">
        <v>420</v>
      </c>
      <c r="N141">
        <f t="shared" si="24"/>
        <v>-0.10430533325095785</v>
      </c>
      <c r="AA141" t="s">
        <v>102</v>
      </c>
      <c r="AB141">
        <v>273.14999999999998</v>
      </c>
      <c r="AC141">
        <f>273.15+0.566</f>
        <v>273.71599999999995</v>
      </c>
      <c r="AD141" s="29">
        <f t="shared" si="25"/>
        <v>0.56599999999997408</v>
      </c>
    </row>
    <row r="142" spans="13:30">
      <c r="M142">
        <v>430</v>
      </c>
      <c r="N142">
        <f t="shared" si="24"/>
        <v>-0.10177879270842392</v>
      </c>
      <c r="AA142" t="s">
        <v>158</v>
      </c>
      <c r="AB142">
        <v>429.74849999999998</v>
      </c>
      <c r="AD142" s="29">
        <v>0.46</v>
      </c>
    </row>
    <row r="143" spans="13:30">
      <c r="M143">
        <v>440</v>
      </c>
      <c r="N143">
        <f t="shared" si="24"/>
        <v>-9.9478694147686134E-2</v>
      </c>
    </row>
    <row r="144" spans="13:30">
      <c r="M144">
        <v>450</v>
      </c>
      <c r="N144">
        <f t="shared" si="24"/>
        <v>-9.737590086237706E-2</v>
      </c>
    </row>
  </sheetData>
  <phoneticPr fontId="8" type="noConversion"/>
  <hyperlinks>
    <hyperlink ref="W57" r:id="rId1" display="https://core.ac.uk/download/pdf/33353988.pdf" xr:uid="{92542056-016F-4DB0-B3A3-3D5D785A38AC}"/>
    <hyperlink ref="I71" r:id="rId2" display="https://materials.springer.com/googlecdn/assets/sm_lbs/504/sm_lbs_978-3-540-49122-4_4/sm_lbs_978-3-540-49122-4_4.pdf?trackRequired=true&amp;originUrl=/lb/docs/sm_lbs_978-3-540-49122-4_4&amp;componentId=Download%20Chapter" xr:uid="{9A78739D-0575-458C-A158-E8093028EFD5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A08A-D6B1-40B8-A297-EB1CE0D6E84E}">
  <dimension ref="B2:Q10"/>
  <sheetViews>
    <sheetView workbookViewId="0">
      <selection activeCell="L7" sqref="L7"/>
    </sheetView>
  </sheetViews>
  <sheetFormatPr defaultRowHeight="15"/>
  <sheetData>
    <row r="2" spans="2:17">
      <c r="B2" s="4" t="s">
        <v>97</v>
      </c>
      <c r="C2" s="4"/>
      <c r="K2" s="4" t="s">
        <v>107</v>
      </c>
    </row>
    <row r="3" spans="2:17">
      <c r="B3" t="s">
        <v>98</v>
      </c>
      <c r="C3" t="s">
        <v>99</v>
      </c>
      <c r="D3" t="s">
        <v>92</v>
      </c>
      <c r="E3" t="s">
        <v>93</v>
      </c>
      <c r="N3" t="s">
        <v>115</v>
      </c>
      <c r="P3" t="s">
        <v>116</v>
      </c>
    </row>
    <row r="4" spans="2:17">
      <c r="D4">
        <v>5</v>
      </c>
      <c r="K4" t="s">
        <v>9</v>
      </c>
      <c r="L4" t="s">
        <v>108</v>
      </c>
      <c r="M4" t="s">
        <v>109</v>
      </c>
      <c r="N4" t="s">
        <v>103</v>
      </c>
      <c r="O4" t="s">
        <v>102</v>
      </c>
      <c r="P4" t="s">
        <v>103</v>
      </c>
      <c r="Q4" t="s">
        <v>102</v>
      </c>
    </row>
    <row r="5" spans="2:17">
      <c r="B5">
        <v>1</v>
      </c>
      <c r="C5">
        <f>B5/100</f>
        <v>0.01</v>
      </c>
      <c r="D5" s="3">
        <f>(1000*C5/Values!$D$3)/(1-C5)</f>
        <v>0.59309553760848466</v>
      </c>
      <c r="E5" s="29">
        <f>D5*Values!$D$3</f>
        <v>10.101010101010102</v>
      </c>
      <c r="F5" s="3">
        <f>E5/17.031</f>
        <v>0.59309553760848466</v>
      </c>
      <c r="K5">
        <v>15</v>
      </c>
      <c r="L5">
        <f>K5/100</f>
        <v>0.15</v>
      </c>
      <c r="M5" s="34">
        <f>(L5)/(Values!$D$6*Values!$E$7-Values!$D$6*(L5))</f>
        <v>1.7766091637500669</v>
      </c>
      <c r="N5" s="34">
        <f>M5/(M5+1)</f>
        <v>0.63984848387901749</v>
      </c>
      <c r="O5" s="34">
        <f>1-N5</f>
        <v>0.36015151612098251</v>
      </c>
      <c r="P5" s="34">
        <f>5*N5</f>
        <v>3.1992424193950875</v>
      </c>
      <c r="Q5" s="34">
        <f>5-P5</f>
        <v>1.8007575806049125</v>
      </c>
    </row>
    <row r="6" spans="2:17">
      <c r="B6">
        <v>2</v>
      </c>
      <c r="C6">
        <f t="shared" ref="C6:C9" si="0">B6/100</f>
        <v>0.02</v>
      </c>
      <c r="D6" s="3">
        <f>(1000*C6/Values!$D$3)/(1-C6)</f>
        <v>1.1982950657804077</v>
      </c>
      <c r="E6" s="29">
        <f>D6*Values!$D$3</f>
        <v>20.408163265306122</v>
      </c>
      <c r="F6" s="3">
        <f t="shared" ref="F6:F9" si="1">E6/17.031</f>
        <v>1.1982950657804077</v>
      </c>
      <c r="K6">
        <v>6</v>
      </c>
      <c r="L6">
        <f t="shared" ref="L6:L10" si="2">K6/100</f>
        <v>0.06</v>
      </c>
      <c r="M6" s="34">
        <f>(L6)/(Values!$D$6*Values!$E$7-Values!$D$6*(L6))</f>
        <v>0.40462486217465632</v>
      </c>
      <c r="N6" s="34">
        <f t="shared" ref="N6:N10" si="3">M6/(M6+1)</f>
        <v>0.28806613998574077</v>
      </c>
      <c r="O6" s="34">
        <f t="shared" ref="O6:O10" si="4">1-N6</f>
        <v>0.71193386001425929</v>
      </c>
      <c r="P6" s="34">
        <f t="shared" ref="P6:P10" si="5">5*N6</f>
        <v>1.4403306999287038</v>
      </c>
      <c r="Q6" s="34">
        <f t="shared" ref="Q6:Q10" si="6">5-P6</f>
        <v>3.5596693000712962</v>
      </c>
    </row>
    <row r="7" spans="2:17">
      <c r="B7">
        <v>3</v>
      </c>
      <c r="C7">
        <f t="shared" si="0"/>
        <v>0.03</v>
      </c>
      <c r="D7" s="3">
        <f>(1000*C7/Values!$D$3)/(1-C7)</f>
        <v>1.8159729347393809</v>
      </c>
      <c r="E7" s="29">
        <f>D7*Values!$D$3</f>
        <v>30.927835051546396</v>
      </c>
      <c r="F7" s="3">
        <f t="shared" si="1"/>
        <v>1.8159729347393809</v>
      </c>
      <c r="K7">
        <v>4</v>
      </c>
      <c r="L7">
        <f t="shared" si="2"/>
        <v>0.04</v>
      </c>
      <c r="M7" s="34">
        <f>(L7)/(Values!$D$6*Values!$E$7-Values!$D$6*(L7))</f>
        <v>0.24619096417613734</v>
      </c>
      <c r="N7" s="34">
        <f t="shared" si="3"/>
        <v>0.19755476588525528</v>
      </c>
      <c r="O7" s="34">
        <f t="shared" si="4"/>
        <v>0.80244523411474478</v>
      </c>
      <c r="P7" s="34">
        <f t="shared" si="5"/>
        <v>0.98777382942627634</v>
      </c>
      <c r="Q7" s="34">
        <f t="shared" si="6"/>
        <v>4.0122261705737241</v>
      </c>
    </row>
    <row r="8" spans="2:17">
      <c r="B8">
        <v>4</v>
      </c>
      <c r="C8">
        <f t="shared" si="0"/>
        <v>0.04</v>
      </c>
      <c r="D8" s="3">
        <f>(1000*C8/Values!$D$3)/(1-C8)</f>
        <v>2.4465190926349991</v>
      </c>
      <c r="E8" s="29">
        <f>D8*Values!$D$3</f>
        <v>41.666666666666664</v>
      </c>
      <c r="F8" s="3">
        <f t="shared" si="1"/>
        <v>2.4465190926349991</v>
      </c>
      <c r="K8">
        <v>2</v>
      </c>
      <c r="L8">
        <f t="shared" si="2"/>
        <v>0.02</v>
      </c>
      <c r="M8" s="34">
        <f>(L8)/(Values!$D$6*Values!$E$7-Values!$D$6*(L8))</f>
        <v>0.11320829477175795</v>
      </c>
      <c r="N8" s="34">
        <f t="shared" si="3"/>
        <v>0.10169551853273709</v>
      </c>
      <c r="O8" s="34">
        <f t="shared" si="4"/>
        <v>0.89830448146726294</v>
      </c>
      <c r="P8" s="34">
        <f t="shared" si="5"/>
        <v>0.50847759266368542</v>
      </c>
      <c r="Q8" s="34">
        <f t="shared" si="6"/>
        <v>4.4915224073363147</v>
      </c>
    </row>
    <row r="9" spans="2:17">
      <c r="B9">
        <v>5</v>
      </c>
      <c r="C9">
        <f t="shared" si="0"/>
        <v>0.05</v>
      </c>
      <c r="D9" s="3">
        <f>(1000*C9/Values!$D$3)/(1-C9)</f>
        <v>3.0903399064863151</v>
      </c>
      <c r="E9" s="29">
        <f>D9*Values!$D$3</f>
        <v>52.631578947368425</v>
      </c>
      <c r="F9" s="3">
        <f t="shared" si="1"/>
        <v>3.0903399064863151</v>
      </c>
      <c r="L9">
        <f t="shared" si="2"/>
        <v>0</v>
      </c>
      <c r="M9" s="34">
        <f>(L9)/(Values!$D$6*Values!$E$7-Values!$D$6*(L9))</f>
        <v>0</v>
      </c>
      <c r="N9" s="34">
        <f t="shared" si="3"/>
        <v>0</v>
      </c>
      <c r="O9" s="34">
        <f t="shared" si="4"/>
        <v>1</v>
      </c>
      <c r="P9" s="34">
        <f t="shared" si="5"/>
        <v>0</v>
      </c>
      <c r="Q9" s="34">
        <f t="shared" si="6"/>
        <v>5</v>
      </c>
    </row>
    <row r="10" spans="2:17">
      <c r="L10">
        <f t="shared" si="2"/>
        <v>0</v>
      </c>
      <c r="M10" s="34">
        <f>(L10)/(Values!$D$6*Values!$E$7-Values!$D$6*(L10))</f>
        <v>0</v>
      </c>
      <c r="N10" s="34">
        <f t="shared" si="3"/>
        <v>0</v>
      </c>
      <c r="O10" s="34">
        <f t="shared" si="4"/>
        <v>1</v>
      </c>
      <c r="P10" s="34">
        <f t="shared" si="5"/>
        <v>0</v>
      </c>
      <c r="Q10" s="34">
        <f t="shared" si="6"/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EEF2-F5E1-4B8B-B513-928D66BC6C52}">
  <dimension ref="B2:P13"/>
  <sheetViews>
    <sheetView workbookViewId="0">
      <selection activeCell="D2" sqref="D2"/>
    </sheetView>
  </sheetViews>
  <sheetFormatPr defaultRowHeight="15"/>
  <cols>
    <col min="2" max="2" width="15.28515625" bestFit="1" customWidth="1"/>
    <col min="3" max="3" width="15.28515625" customWidth="1"/>
    <col min="4" max="4" width="10.140625" bestFit="1" customWidth="1"/>
    <col min="6" max="6" width="13.140625" bestFit="1" customWidth="1"/>
    <col min="7" max="7" width="12.7109375" bestFit="1" customWidth="1"/>
    <col min="8" max="9" width="13.42578125" bestFit="1" customWidth="1"/>
    <col min="10" max="10" width="12.28515625" bestFit="1" customWidth="1"/>
    <col min="13" max="14" width="12.28515625" bestFit="1" customWidth="1"/>
  </cols>
  <sheetData>
    <row r="2" spans="2:16">
      <c r="B2" t="s">
        <v>7</v>
      </c>
      <c r="C2" t="s">
        <v>95</v>
      </c>
      <c r="D2">
        <v>176</v>
      </c>
    </row>
    <row r="3" spans="2:16">
      <c r="B3" t="s">
        <v>94</v>
      </c>
      <c r="C3" t="s">
        <v>96</v>
      </c>
      <c r="D3">
        <v>17.030999999999999</v>
      </c>
    </row>
    <row r="4" spans="2:16">
      <c r="H4" s="30"/>
      <c r="I4" s="30" t="s">
        <v>81</v>
      </c>
      <c r="J4" s="30" t="s">
        <v>82</v>
      </c>
      <c r="K4" s="30" t="s">
        <v>83</v>
      </c>
      <c r="L4" s="30" t="s">
        <v>84</v>
      </c>
      <c r="M4" s="30" t="s">
        <v>87</v>
      </c>
      <c r="N4" s="30" t="s">
        <v>88</v>
      </c>
      <c r="O4" s="30"/>
      <c r="P4" s="30"/>
    </row>
    <row r="5" spans="2:16">
      <c r="B5" t="s">
        <v>110</v>
      </c>
      <c r="H5" s="30" t="s">
        <v>85</v>
      </c>
      <c r="I5" s="31">
        <v>3.3333299999999998E-3</v>
      </c>
      <c r="J5" s="31">
        <v>-1.11111111111111E-5</v>
      </c>
      <c r="K5" s="31">
        <v>-1431937.8363977</v>
      </c>
      <c r="L5" s="31">
        <v>-171015.33434668899</v>
      </c>
      <c r="M5" s="31">
        <f>K5*I5^2+L5*J5</f>
        <v>-14.010218201964113</v>
      </c>
      <c r="N5" s="30">
        <f>-M5*I$8</f>
        <v>4203.0654605892341</v>
      </c>
      <c r="O5" s="30"/>
      <c r="P5" s="31"/>
    </row>
    <row r="6" spans="2:16">
      <c r="B6" t="s">
        <v>111</v>
      </c>
      <c r="C6" t="s">
        <v>113</v>
      </c>
      <c r="D6">
        <v>0.70950000000000002</v>
      </c>
      <c r="H6" s="30" t="s">
        <v>86</v>
      </c>
      <c r="I6" s="31">
        <v>3.3333299999999998E-3</v>
      </c>
      <c r="J6" s="31">
        <v>-1.11111111111111E-5</v>
      </c>
      <c r="K6" s="31">
        <v>-1431829.3672520099</v>
      </c>
      <c r="L6" s="31">
        <v>-170965.37321895</v>
      </c>
      <c r="M6" s="31">
        <f>K6*I6^2+L6*J6</f>
        <v>-14.009568115286191</v>
      </c>
      <c r="N6" s="30">
        <f>-M6*I$8</f>
        <v>4202.8704345858578</v>
      </c>
      <c r="O6" s="30"/>
      <c r="P6" s="30"/>
    </row>
    <row r="7" spans="2:16">
      <c r="B7" t="s">
        <v>112</v>
      </c>
      <c r="C7" t="s">
        <v>114</v>
      </c>
      <c r="D7">
        <v>26.9</v>
      </c>
      <c r="E7">
        <f>D7/100</f>
        <v>0.26899999999999996</v>
      </c>
      <c r="H7" s="30"/>
      <c r="I7" s="30"/>
      <c r="J7" s="30"/>
      <c r="K7" s="30"/>
      <c r="L7" s="30"/>
      <c r="M7" s="30"/>
      <c r="N7" s="30"/>
      <c r="O7" s="30"/>
      <c r="P7" s="32">
        <f>L5*J5</f>
        <v>1.9001703816298758</v>
      </c>
    </row>
    <row r="8" spans="2:16">
      <c r="H8" s="30" t="s">
        <v>89</v>
      </c>
      <c r="I8" s="30">
        <v>300</v>
      </c>
      <c r="J8" s="30"/>
      <c r="K8" s="30"/>
      <c r="L8" s="30"/>
      <c r="M8" s="30"/>
      <c r="N8" s="30"/>
      <c r="O8" s="30"/>
      <c r="P8" s="30"/>
    </row>
    <row r="9" spans="2:16">
      <c r="B9" t="s">
        <v>118</v>
      </c>
      <c r="H9" s="30"/>
      <c r="I9" s="30"/>
      <c r="J9" s="30"/>
      <c r="K9" s="30"/>
      <c r="L9" s="33"/>
      <c r="M9" s="30"/>
      <c r="N9" s="30"/>
      <c r="O9" s="30"/>
      <c r="P9" s="30"/>
    </row>
    <row r="10" spans="2:16">
      <c r="B10" t="s">
        <v>111</v>
      </c>
      <c r="C10" t="s">
        <v>113</v>
      </c>
      <c r="D10">
        <v>0.78900000000000003</v>
      </c>
      <c r="H10" s="30"/>
      <c r="I10" s="30"/>
      <c r="J10" s="30"/>
      <c r="K10" s="30"/>
      <c r="L10" s="30"/>
      <c r="M10" s="30"/>
      <c r="N10" s="30"/>
      <c r="O10" s="30"/>
      <c r="P10" s="30"/>
    </row>
    <row r="11" spans="2:16">
      <c r="B11" t="s">
        <v>112</v>
      </c>
      <c r="C11" t="s">
        <v>114</v>
      </c>
      <c r="D11">
        <v>20</v>
      </c>
      <c r="E11">
        <f>D11/100</f>
        <v>0.2</v>
      </c>
      <c r="H11" s="30"/>
      <c r="I11" s="30"/>
      <c r="J11" s="30"/>
      <c r="K11" s="30"/>
      <c r="L11" s="30"/>
      <c r="M11" s="30"/>
      <c r="N11" s="30"/>
      <c r="O11" s="30"/>
      <c r="P11" s="30"/>
    </row>
    <row r="12" spans="2:16">
      <c r="H12" s="30"/>
      <c r="I12" s="30"/>
      <c r="J12" s="30"/>
      <c r="K12" s="30"/>
      <c r="L12" s="30"/>
      <c r="M12" s="30"/>
      <c r="N12" s="30"/>
      <c r="O12" s="30"/>
      <c r="P12" s="30"/>
    </row>
    <row r="13" spans="2:16">
      <c r="H13" s="30"/>
      <c r="I13" s="30"/>
      <c r="J13" s="30"/>
      <c r="K13" s="30"/>
      <c r="L13" s="30"/>
      <c r="M13" s="30"/>
      <c r="N13" s="30"/>
      <c r="O13" s="30">
        <f>N5/P13</f>
        <v>-739.88935824771647</v>
      </c>
      <c r="P13" s="30">
        <v>-5.68066754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888-F0BF-49D4-85D9-9242F6A71011}">
  <dimension ref="B2:AA37"/>
  <sheetViews>
    <sheetView workbookViewId="0">
      <selection activeCell="G33" sqref="G33"/>
    </sheetView>
  </sheetViews>
  <sheetFormatPr defaultRowHeight="15"/>
  <sheetData>
    <row r="2" spans="2:24">
      <c r="B2" s="4" t="s">
        <v>124</v>
      </c>
      <c r="D2" t="s">
        <v>125</v>
      </c>
      <c r="E2" s="40">
        <v>9.9999999999999995E-8</v>
      </c>
    </row>
    <row r="3" spans="2:24">
      <c r="D3" t="s">
        <v>29</v>
      </c>
      <c r="E3" s="40">
        <v>1E-4</v>
      </c>
    </row>
    <row r="4" spans="2:24">
      <c r="D4" t="s">
        <v>89</v>
      </c>
      <c r="E4" s="40">
        <v>1E-4</v>
      </c>
    </row>
    <row r="6" spans="2:24">
      <c r="C6" t="s">
        <v>126</v>
      </c>
      <c r="D6" s="40"/>
    </row>
    <row r="8" spans="2:24">
      <c r="B8" s="4" t="s">
        <v>127</v>
      </c>
      <c r="D8" t="s">
        <v>128</v>
      </c>
      <c r="F8" s="40">
        <v>9.9999999999999995E-8</v>
      </c>
      <c r="G8">
        <f>(Experiments!S12/100)</f>
        <v>3.7037037037037035E-2</v>
      </c>
    </row>
    <row r="13" spans="2:24">
      <c r="N13" t="s">
        <v>114</v>
      </c>
      <c r="O13" t="s">
        <v>129</v>
      </c>
      <c r="P13" t="s">
        <v>130</v>
      </c>
      <c r="T13" t="s">
        <v>121</v>
      </c>
      <c r="U13" t="s">
        <v>2</v>
      </c>
      <c r="V13" t="s">
        <v>131</v>
      </c>
      <c r="W13" t="s">
        <v>132</v>
      </c>
    </row>
    <row r="14" spans="2:24">
      <c r="N14" s="5">
        <v>2.5</v>
      </c>
      <c r="O14" s="6">
        <v>0.45</v>
      </c>
      <c r="P14" s="39">
        <f t="shared" ref="P14:P23" si="0">O14/N14*100</f>
        <v>18</v>
      </c>
      <c r="T14" s="37">
        <v>4.5</v>
      </c>
      <c r="U14">
        <v>0.82269999999999999</v>
      </c>
      <c r="V14" s="3">
        <f>X14/1000</f>
        <v>0.91303999999999996</v>
      </c>
      <c r="W14" s="3">
        <f>U14-V14</f>
        <v>-9.0339999999999976E-2</v>
      </c>
      <c r="X14">
        <v>913.04</v>
      </c>
    </row>
    <row r="15" spans="2:24">
      <c r="N15" s="5">
        <v>2.9</v>
      </c>
      <c r="O15" s="6">
        <v>0.4</v>
      </c>
      <c r="P15" s="39">
        <f t="shared" si="0"/>
        <v>13.793103448275861</v>
      </c>
      <c r="T15" s="37">
        <v>8</v>
      </c>
      <c r="U15">
        <v>0.80959999999999999</v>
      </c>
      <c r="V15" s="3">
        <f t="shared" ref="V15:V18" si="1">X15/1000</f>
        <v>0.91115999999999997</v>
      </c>
      <c r="W15" s="3">
        <f t="shared" ref="W15:W18" si="2">U15-V15</f>
        <v>-0.10155999999999998</v>
      </c>
      <c r="X15">
        <v>911.16</v>
      </c>
    </row>
    <row r="16" spans="2:24">
      <c r="N16" s="4">
        <v>2.9</v>
      </c>
      <c r="O16" s="36">
        <v>0.4</v>
      </c>
      <c r="P16" s="39">
        <f t="shared" si="0"/>
        <v>13.793103448275861</v>
      </c>
      <c r="T16" s="37">
        <v>9.3000000000000007</v>
      </c>
      <c r="U16">
        <v>0.79490000000000005</v>
      </c>
      <c r="V16" s="3">
        <f t="shared" si="1"/>
        <v>0.91044000000000003</v>
      </c>
      <c r="W16" s="3">
        <f t="shared" si="2"/>
        <v>-0.11553999999999998</v>
      </c>
      <c r="X16">
        <v>910.44</v>
      </c>
    </row>
    <row r="17" spans="14:27">
      <c r="N17" s="5">
        <v>4.9000000000000004</v>
      </c>
      <c r="O17" s="6">
        <v>0.5</v>
      </c>
      <c r="P17" s="39">
        <f t="shared" si="0"/>
        <v>10.204081632653059</v>
      </c>
      <c r="T17" s="37">
        <v>10.3</v>
      </c>
      <c r="U17">
        <v>0.8125</v>
      </c>
      <c r="V17" s="3">
        <f t="shared" si="1"/>
        <v>0.90988000000000002</v>
      </c>
      <c r="W17" s="3">
        <f t="shared" si="2"/>
        <v>-9.7380000000000022E-2</v>
      </c>
      <c r="X17">
        <v>909.88</v>
      </c>
    </row>
    <row r="18" spans="14:27">
      <c r="N18" s="4">
        <v>7.9</v>
      </c>
      <c r="O18" s="2">
        <v>0.3</v>
      </c>
      <c r="P18" s="39">
        <f t="shared" si="0"/>
        <v>3.7974683544303791</v>
      </c>
      <c r="T18" s="37">
        <v>10.5</v>
      </c>
      <c r="U18">
        <v>0.80010000000000003</v>
      </c>
      <c r="V18" s="3">
        <f t="shared" si="1"/>
        <v>0.90976999999999997</v>
      </c>
      <c r="W18" s="3">
        <f t="shared" si="2"/>
        <v>-0.10966999999999993</v>
      </c>
      <c r="X18">
        <v>909.77</v>
      </c>
    </row>
    <row r="19" spans="14:27">
      <c r="N19" s="5">
        <v>8.1</v>
      </c>
      <c r="O19" s="6">
        <v>0.3</v>
      </c>
      <c r="P19" s="39">
        <f t="shared" si="0"/>
        <v>3.7037037037037033</v>
      </c>
      <c r="T19" s="37">
        <v>21.1</v>
      </c>
      <c r="U19">
        <v>0.70950000000000002</v>
      </c>
      <c r="V19" s="3">
        <f t="shared" ref="V19:V28" si="3">X19/1000</f>
        <v>0.90344000000000002</v>
      </c>
      <c r="W19" s="3">
        <f t="shared" ref="W19" si="4">U19-V19</f>
        <v>-0.19394</v>
      </c>
      <c r="X19">
        <v>903.44</v>
      </c>
    </row>
    <row r="20" spans="14:27">
      <c r="N20" s="5">
        <v>9.6999999999999993</v>
      </c>
      <c r="O20" s="6">
        <v>0.3</v>
      </c>
      <c r="P20" s="39">
        <f t="shared" si="0"/>
        <v>3.0927835051546393</v>
      </c>
      <c r="T20" s="37">
        <v>21.1</v>
      </c>
      <c r="U20">
        <v>0.71840000000000004</v>
      </c>
      <c r="V20" s="3">
        <f t="shared" si="3"/>
        <v>0.90344000000000002</v>
      </c>
      <c r="W20" s="3">
        <f t="shared" ref="W20:W28" si="5">U20-V20</f>
        <v>-0.18503999999999998</v>
      </c>
      <c r="X20">
        <v>903.44</v>
      </c>
    </row>
    <row r="21" spans="14:27">
      <c r="N21" s="5">
        <v>14.2</v>
      </c>
      <c r="O21" s="6">
        <v>0.3</v>
      </c>
      <c r="P21" s="39">
        <f t="shared" si="0"/>
        <v>2.112676056338028</v>
      </c>
      <c r="T21" s="37">
        <v>21.1</v>
      </c>
      <c r="U21">
        <v>0.70920000000000005</v>
      </c>
      <c r="V21" s="3">
        <f t="shared" si="3"/>
        <v>0.90344000000000002</v>
      </c>
      <c r="W21" s="3">
        <f t="shared" si="5"/>
        <v>-0.19423999999999997</v>
      </c>
      <c r="X21">
        <v>903.44</v>
      </c>
    </row>
    <row r="22" spans="14:27">
      <c r="N22" s="5">
        <v>20</v>
      </c>
      <c r="O22" s="6">
        <v>0.2</v>
      </c>
      <c r="P22" s="39">
        <f t="shared" si="0"/>
        <v>1</v>
      </c>
      <c r="T22" s="37">
        <v>21.1</v>
      </c>
      <c r="U22">
        <v>0.71560000000000001</v>
      </c>
      <c r="V22" s="3">
        <f t="shared" si="3"/>
        <v>0.90344000000000002</v>
      </c>
      <c r="W22" s="3">
        <f t="shared" si="5"/>
        <v>-0.18784000000000001</v>
      </c>
      <c r="X22">
        <v>903.44</v>
      </c>
      <c r="AA22" s="3"/>
    </row>
    <row r="23" spans="14:27">
      <c r="N23" s="5">
        <v>26.9</v>
      </c>
      <c r="O23" s="6">
        <v>0.1</v>
      </c>
      <c r="P23" s="39">
        <f t="shared" si="0"/>
        <v>0.37174721189591081</v>
      </c>
      <c r="T23" s="37">
        <v>21.1</v>
      </c>
      <c r="U23">
        <v>0.72919999999999996</v>
      </c>
      <c r="V23" s="3">
        <f t="shared" si="3"/>
        <v>0.90344000000000002</v>
      </c>
      <c r="W23" s="3">
        <f t="shared" si="5"/>
        <v>-0.17424000000000006</v>
      </c>
      <c r="X23">
        <v>903.44</v>
      </c>
    </row>
    <row r="24" spans="14:27">
      <c r="N24" s="5" t="s">
        <v>26</v>
      </c>
      <c r="O24" s="6" t="s">
        <v>21</v>
      </c>
      <c r="P24" s="39"/>
      <c r="T24" s="37">
        <v>21.1</v>
      </c>
      <c r="U24">
        <v>0.6925</v>
      </c>
      <c r="V24" s="3">
        <f t="shared" si="3"/>
        <v>0.90344000000000002</v>
      </c>
      <c r="W24" s="3">
        <f t="shared" si="5"/>
        <v>-0.21094000000000002</v>
      </c>
      <c r="X24">
        <v>903.44</v>
      </c>
    </row>
    <row r="25" spans="14:27">
      <c r="N25" s="10" t="s">
        <v>119</v>
      </c>
      <c r="O25" s="2"/>
      <c r="P25" s="6"/>
      <c r="T25" s="37">
        <v>21.1</v>
      </c>
      <c r="U25">
        <v>0.70430000000000004</v>
      </c>
      <c r="V25" s="3">
        <f t="shared" si="3"/>
        <v>0.90344000000000002</v>
      </c>
      <c r="W25" s="3">
        <f t="shared" si="5"/>
        <v>-0.19913999999999998</v>
      </c>
      <c r="X25">
        <v>903.44</v>
      </c>
    </row>
    <row r="26" spans="14:27">
      <c r="N26" s="7"/>
      <c r="O26" s="6"/>
      <c r="P26" s="39"/>
      <c r="T26" s="37">
        <v>21.1</v>
      </c>
      <c r="U26">
        <v>0.70820000000000005</v>
      </c>
      <c r="V26" s="3">
        <f t="shared" si="3"/>
        <v>0.90344000000000002</v>
      </c>
      <c r="W26" s="3">
        <f t="shared" si="5"/>
        <v>-0.19523999999999997</v>
      </c>
      <c r="X26">
        <v>903.44</v>
      </c>
    </row>
    <row r="27" spans="14:27">
      <c r="N27" s="4"/>
      <c r="O27" s="2"/>
      <c r="P27" s="39"/>
      <c r="T27" s="37">
        <v>21.1</v>
      </c>
      <c r="U27">
        <v>0.71330000000000005</v>
      </c>
      <c r="V27" s="3">
        <f t="shared" si="3"/>
        <v>0.90344000000000002</v>
      </c>
      <c r="W27" s="3">
        <f t="shared" si="5"/>
        <v>-0.19013999999999998</v>
      </c>
      <c r="X27">
        <v>903.44</v>
      </c>
    </row>
    <row r="28" spans="14:27">
      <c r="T28" s="37">
        <v>21.1</v>
      </c>
      <c r="U28" s="3">
        <v>0.68799999999999994</v>
      </c>
      <c r="V28" s="3">
        <f t="shared" si="3"/>
        <v>0.90344000000000002</v>
      </c>
      <c r="W28" s="3">
        <f t="shared" si="5"/>
        <v>-0.21544000000000008</v>
      </c>
      <c r="X28">
        <v>903.44</v>
      </c>
    </row>
    <row r="34" spans="10:11">
      <c r="J34">
        <v>2.4</v>
      </c>
      <c r="K34">
        <f>273.15+J34</f>
        <v>275.54999999999995</v>
      </c>
    </row>
    <row r="35" spans="10:11">
      <c r="J35">
        <v>20.6</v>
      </c>
      <c r="K35">
        <f t="shared" ref="K35:K37" si="6">273.15+J35</f>
        <v>293.75</v>
      </c>
    </row>
    <row r="36" spans="10:11">
      <c r="J36">
        <v>41</v>
      </c>
      <c r="K36">
        <f t="shared" si="6"/>
        <v>314.14999999999998</v>
      </c>
    </row>
    <row r="37" spans="10:11">
      <c r="J37">
        <v>60.9</v>
      </c>
      <c r="K37">
        <f t="shared" si="6"/>
        <v>334.04999999999995</v>
      </c>
    </row>
  </sheetData>
  <sortState xmlns:xlrd2="http://schemas.microsoft.com/office/spreadsheetml/2017/richdata2" ref="N14:P27">
    <sortCondition ref="N14:N27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6DE0-23FC-4FD3-A5D0-5BD955D752FA}">
  <dimension ref="B1:O19"/>
  <sheetViews>
    <sheetView workbookViewId="0">
      <selection activeCell="O12" sqref="K1:O12"/>
    </sheetView>
  </sheetViews>
  <sheetFormatPr defaultRowHeight="15"/>
  <cols>
    <col min="2" max="2" width="11.5703125" bestFit="1" customWidth="1"/>
    <col min="3" max="3" width="10.5703125" bestFit="1" customWidth="1"/>
    <col min="4" max="4" width="9.5703125" bestFit="1" customWidth="1"/>
    <col min="5" max="7" width="10.5703125" bestFit="1" customWidth="1"/>
    <col min="8" max="8" width="9.5703125" bestFit="1" customWidth="1"/>
    <col min="9" max="9" width="11.5703125" bestFit="1" customWidth="1"/>
    <col min="10" max="10" width="10.5703125" bestFit="1" customWidth="1"/>
    <col min="11" max="11" width="9.5703125" bestFit="1" customWidth="1"/>
    <col min="12" max="12" width="10.5703125" bestFit="1" customWidth="1"/>
  </cols>
  <sheetData>
    <row r="1" spans="2:15">
      <c r="B1" s="71" t="s">
        <v>170</v>
      </c>
      <c r="C1" s="71"/>
      <c r="D1" s="71"/>
      <c r="E1" s="71"/>
      <c r="F1" s="71" t="s">
        <v>177</v>
      </c>
      <c r="G1" s="71"/>
      <c r="H1" s="71"/>
      <c r="I1" s="71"/>
      <c r="J1" s="71"/>
      <c r="K1" s="71" t="s">
        <v>176</v>
      </c>
      <c r="L1" s="71"/>
      <c r="M1" s="71"/>
      <c r="N1" s="71"/>
      <c r="O1" s="71"/>
    </row>
    <row r="2" spans="2:15">
      <c r="B2" t="s">
        <v>164</v>
      </c>
      <c r="C2" t="s">
        <v>9</v>
      </c>
      <c r="D2" t="s">
        <v>165</v>
      </c>
      <c r="E2" t="s">
        <v>169</v>
      </c>
      <c r="F2" s="19" t="s">
        <v>166</v>
      </c>
      <c r="G2" t="s">
        <v>167</v>
      </c>
      <c r="H2" s="4" t="s">
        <v>168</v>
      </c>
      <c r="I2" t="s">
        <v>165</v>
      </c>
      <c r="J2" t="s">
        <v>169</v>
      </c>
      <c r="K2" s="19" t="s">
        <v>166</v>
      </c>
      <c r="L2" t="s">
        <v>167</v>
      </c>
      <c r="M2" s="4" t="s">
        <v>168</v>
      </c>
      <c r="N2" t="s">
        <v>165</v>
      </c>
      <c r="O2" t="s">
        <v>169</v>
      </c>
    </row>
    <row r="3" spans="2:15">
      <c r="B3" s="37">
        <v>271</v>
      </c>
      <c r="C3" s="37">
        <v>2.5</v>
      </c>
      <c r="D3" s="37">
        <v>0.5</v>
      </c>
      <c r="E3" s="37">
        <v>20</v>
      </c>
      <c r="F3" s="61">
        <v>0.52930422700000024</v>
      </c>
      <c r="G3" s="37">
        <v>270.47069577299999</v>
      </c>
      <c r="H3" s="59">
        <v>2.9</v>
      </c>
      <c r="I3" s="37">
        <v>0.5</v>
      </c>
      <c r="J3" s="37">
        <v>17.241379310344829</v>
      </c>
      <c r="K3" s="61">
        <f>$L$16*TANH((B3+$L$17)*$L$18)+$L$19</f>
        <v>0.51311235202468075</v>
      </c>
      <c r="L3" s="37">
        <v>270.47069577299999</v>
      </c>
      <c r="M3" s="59">
        <v>2.9</v>
      </c>
      <c r="N3" s="37">
        <v>0.5</v>
      </c>
      <c r="O3" s="37">
        <v>17.241379310344829</v>
      </c>
    </row>
    <row r="4" spans="2:15">
      <c r="B4" s="62">
        <v>270.5</v>
      </c>
      <c r="C4" s="62">
        <v>2.9</v>
      </c>
      <c r="D4" s="62">
        <v>0.4</v>
      </c>
      <c r="E4" s="62">
        <v>13.793103448275861</v>
      </c>
      <c r="F4" s="63">
        <v>0.52478624225000059</v>
      </c>
      <c r="G4" s="62">
        <v>269.97521375775</v>
      </c>
      <c r="H4" s="64">
        <v>3.3</v>
      </c>
      <c r="I4" s="62">
        <v>0.4</v>
      </c>
      <c r="J4" s="62">
        <v>12.121212121212123</v>
      </c>
      <c r="K4" s="61">
        <f t="shared" ref="K4:K12" si="0">$L$16*TANH((B4+$L$17)*$L$18)+$L$19</f>
        <v>0.51049450058870094</v>
      </c>
      <c r="L4" s="62">
        <v>269.97521375775</v>
      </c>
      <c r="M4" s="64">
        <v>3.3</v>
      </c>
      <c r="N4" s="62">
        <v>0.4</v>
      </c>
      <c r="O4" s="62">
        <v>12.121212121212123</v>
      </c>
    </row>
    <row r="5" spans="2:15">
      <c r="B5" s="37">
        <v>267.8</v>
      </c>
      <c r="C5" s="37">
        <v>4.9000000000000004</v>
      </c>
      <c r="D5" s="37">
        <v>0.5</v>
      </c>
      <c r="E5" s="37">
        <v>10.204081632653059</v>
      </c>
      <c r="F5" s="61">
        <v>0.5007036119600009</v>
      </c>
      <c r="G5" s="37">
        <v>267.29929638804003</v>
      </c>
      <c r="H5" s="59">
        <v>5.2</v>
      </c>
      <c r="I5" s="37">
        <v>0.5</v>
      </c>
      <c r="J5" s="37">
        <v>9.615384615384615</v>
      </c>
      <c r="K5" s="61">
        <f t="shared" si="0"/>
        <v>0.49451526365920984</v>
      </c>
      <c r="L5" s="37">
        <v>267.29929638804003</v>
      </c>
      <c r="M5" s="59">
        <v>5.2</v>
      </c>
      <c r="N5" s="37">
        <v>0.5</v>
      </c>
      <c r="O5" s="37">
        <v>9.615384615384615</v>
      </c>
    </row>
    <row r="6" spans="2:15">
      <c r="B6" s="37">
        <v>267.7</v>
      </c>
      <c r="C6" s="37">
        <v>4.9000000000000004</v>
      </c>
      <c r="D6" s="37">
        <v>0.5</v>
      </c>
      <c r="E6" s="37">
        <v>10.204081632653059</v>
      </c>
      <c r="F6" s="61">
        <v>0.49982185441000027</v>
      </c>
      <c r="G6" s="37">
        <v>267.20017814558997</v>
      </c>
      <c r="H6" s="59">
        <v>5.2</v>
      </c>
      <c r="I6" s="37">
        <v>0.5</v>
      </c>
      <c r="J6" s="37">
        <v>9.615384615384615</v>
      </c>
      <c r="K6" s="61">
        <f t="shared" si="0"/>
        <v>0.49386052410329373</v>
      </c>
      <c r="L6" s="37">
        <v>267.20017814558997</v>
      </c>
      <c r="M6" s="59">
        <v>5.2</v>
      </c>
      <c r="N6" s="37">
        <v>0.5</v>
      </c>
      <c r="O6" s="37">
        <v>9.615384615384615</v>
      </c>
    </row>
    <row r="7" spans="2:15">
      <c r="B7" s="37">
        <v>262.8</v>
      </c>
      <c r="C7" s="37">
        <v>7.9</v>
      </c>
      <c r="D7" s="37">
        <v>0.3</v>
      </c>
      <c r="E7" s="37">
        <v>3.7974683544303791</v>
      </c>
      <c r="F7" s="61">
        <v>0.45750750996000045</v>
      </c>
      <c r="G7" s="37">
        <v>262.34249249004</v>
      </c>
      <c r="H7" s="59">
        <v>8.1999999999999993</v>
      </c>
      <c r="I7" s="37">
        <v>0.3</v>
      </c>
      <c r="J7" s="37">
        <v>3.6585365853658542</v>
      </c>
      <c r="K7" s="61">
        <f t="shared" si="0"/>
        <v>0.45573299577084042</v>
      </c>
      <c r="L7" s="37">
        <v>262.34249249004</v>
      </c>
      <c r="M7" s="59">
        <v>8.1999999999999993</v>
      </c>
      <c r="N7" s="37">
        <v>0.3</v>
      </c>
      <c r="O7" s="37">
        <v>3.6585365853658542</v>
      </c>
    </row>
    <row r="8" spans="2:15">
      <c r="B8" s="37">
        <v>262.5</v>
      </c>
      <c r="C8" s="37">
        <v>8.1</v>
      </c>
      <c r="D8" s="37">
        <v>0.3</v>
      </c>
      <c r="E8" s="37">
        <v>3.7037037037037033</v>
      </c>
      <c r="F8" s="61">
        <v>0.45497361825000027</v>
      </c>
      <c r="G8" s="37">
        <v>262.04502638175001</v>
      </c>
      <c r="H8" s="59">
        <v>8.4</v>
      </c>
      <c r="I8" s="37">
        <v>0.3</v>
      </c>
      <c r="J8" s="37">
        <v>3.5714285714285712</v>
      </c>
      <c r="K8" s="61">
        <f t="shared" si="0"/>
        <v>0.45299740443910563</v>
      </c>
      <c r="L8" s="37">
        <v>262.04502638175001</v>
      </c>
      <c r="M8" s="59">
        <v>8.4</v>
      </c>
      <c r="N8" s="37">
        <v>0.3</v>
      </c>
      <c r="O8" s="37">
        <v>3.5714285714285712</v>
      </c>
    </row>
    <row r="9" spans="2:15">
      <c r="B9" s="37">
        <v>259.60000000000002</v>
      </c>
      <c r="C9" s="37">
        <v>9.6999999999999993</v>
      </c>
      <c r="D9" s="37">
        <v>0.3</v>
      </c>
      <c r="E9" s="37">
        <v>3.0927835051546393</v>
      </c>
      <c r="F9" s="61">
        <v>0.4308171144400007</v>
      </c>
      <c r="G9" s="37">
        <v>259.16918288556002</v>
      </c>
      <c r="H9" s="59">
        <v>10</v>
      </c>
      <c r="I9" s="37">
        <v>0.2</v>
      </c>
      <c r="J9" s="37">
        <v>2</v>
      </c>
      <c r="K9" s="61">
        <f t="shared" si="0"/>
        <v>0.42411960193533627</v>
      </c>
      <c r="L9" s="37">
        <v>259.16918288556002</v>
      </c>
      <c r="M9" s="59">
        <v>10</v>
      </c>
      <c r="N9" s="37">
        <v>0.2</v>
      </c>
      <c r="O9" s="37">
        <v>2</v>
      </c>
    </row>
    <row r="10" spans="2:15">
      <c r="B10" s="37">
        <v>250.7</v>
      </c>
      <c r="C10" s="37">
        <v>14.2</v>
      </c>
      <c r="D10" s="37">
        <v>0.3</v>
      </c>
      <c r="E10" s="37">
        <v>2.112676056338028</v>
      </c>
      <c r="F10" s="61">
        <v>0.36050426021000026</v>
      </c>
      <c r="G10" s="37">
        <v>250.33949573978998</v>
      </c>
      <c r="H10" s="59">
        <v>14.4</v>
      </c>
      <c r="I10" s="37">
        <v>0.2</v>
      </c>
      <c r="J10" s="37">
        <v>1.3888888888888891</v>
      </c>
      <c r="K10" s="61">
        <f t="shared" si="0"/>
        <v>0.31221230869788436</v>
      </c>
      <c r="L10" s="37">
        <v>250.4</v>
      </c>
      <c r="M10" s="59">
        <v>14.3</v>
      </c>
      <c r="N10" s="37">
        <v>0.1</v>
      </c>
      <c r="O10" s="37">
        <f>0.1/14.3*100</f>
        <v>0.69930069930069927</v>
      </c>
    </row>
    <row r="11" spans="2:15">
      <c r="B11" s="37">
        <v>235.2</v>
      </c>
      <c r="C11" s="37">
        <v>20</v>
      </c>
      <c r="D11" s="37">
        <v>0.2</v>
      </c>
      <c r="E11" s="37">
        <v>1</v>
      </c>
      <c r="F11" s="61">
        <v>0.25181539115999996</v>
      </c>
      <c r="G11" s="37">
        <v>234.94818460883999</v>
      </c>
      <c r="H11" s="59">
        <v>20.100000000000001</v>
      </c>
      <c r="I11" s="37">
        <v>0.1</v>
      </c>
      <c r="J11" s="37">
        <v>0.49751243781094528</v>
      </c>
      <c r="K11" s="61">
        <f t="shared" si="0"/>
        <v>0.11951231266731205</v>
      </c>
      <c r="L11" s="37">
        <v>235.1</v>
      </c>
      <c r="M11" s="69">
        <v>20.07</v>
      </c>
      <c r="N11" s="29">
        <v>0.03</v>
      </c>
      <c r="O11" s="37">
        <f>N11/M11*100</f>
        <v>0.14947683109118085</v>
      </c>
    </row>
    <row r="12" spans="2:15">
      <c r="B12" s="37">
        <v>207.4</v>
      </c>
      <c r="C12" s="37">
        <v>26.9</v>
      </c>
      <c r="D12" s="37">
        <v>0.1</v>
      </c>
      <c r="E12" s="37">
        <v>0.37174721189591081</v>
      </c>
      <c r="F12" s="61">
        <v>0.10069157764000025</v>
      </c>
      <c r="G12" s="37">
        <v>207.29930842236001</v>
      </c>
      <c r="H12" s="59">
        <v>26.93</v>
      </c>
      <c r="I12" s="37">
        <v>4.0500000000001535E-2</v>
      </c>
      <c r="J12" s="37">
        <v>0.15038989974007255</v>
      </c>
      <c r="K12" s="68">
        <f t="shared" si="0"/>
        <v>1.0075961193558136E-2</v>
      </c>
      <c r="L12" s="37">
        <v>207.4</v>
      </c>
      <c r="M12" s="70">
        <v>26.911999999999999</v>
      </c>
      <c r="N12" s="34">
        <v>2E-3</v>
      </c>
      <c r="O12" s="34">
        <f>N12/M12*100</f>
        <v>7.4316290130796679E-3</v>
      </c>
    </row>
    <row r="13" spans="2:15">
      <c r="B13" s="65">
        <v>274.5</v>
      </c>
      <c r="C13" s="65" t="s">
        <v>26</v>
      </c>
      <c r="D13" s="17"/>
      <c r="E13" s="17"/>
      <c r="F13" s="17"/>
      <c r="G13" s="17"/>
      <c r="H13" s="17"/>
      <c r="I13" s="17"/>
      <c r="J13" s="17"/>
    </row>
    <row r="14" spans="2:15">
      <c r="B14" s="37">
        <v>273.47766999999999</v>
      </c>
      <c r="C14" s="37" t="s">
        <v>119</v>
      </c>
      <c r="D14" s="37"/>
      <c r="E14" s="37"/>
      <c r="F14" s="37"/>
      <c r="G14" s="37"/>
      <c r="H14" s="37"/>
      <c r="I14" s="37"/>
      <c r="J14" s="37"/>
      <c r="K14" s="37"/>
      <c r="L14" s="37"/>
    </row>
    <row r="15" spans="2:15">
      <c r="B15" s="37"/>
      <c r="C15" s="37"/>
      <c r="D15" s="37"/>
      <c r="E15" s="37"/>
      <c r="F15" s="37"/>
      <c r="G15" s="37"/>
      <c r="H15" s="37"/>
      <c r="I15" s="37"/>
      <c r="J15" s="37"/>
      <c r="K15" s="37" t="s">
        <v>178</v>
      </c>
      <c r="L15" s="37"/>
    </row>
    <row r="16" spans="2:15">
      <c r="B16" s="37"/>
      <c r="C16" s="37"/>
      <c r="D16" s="37"/>
      <c r="E16" s="37"/>
      <c r="F16" s="37"/>
      <c r="G16" s="37"/>
      <c r="H16" s="37"/>
      <c r="I16" s="37"/>
      <c r="J16" s="37"/>
      <c r="K16" s="37" t="s">
        <v>179</v>
      </c>
      <c r="L16" s="67">
        <v>0.28559000604717799</v>
      </c>
    </row>
    <row r="17" spans="4:12">
      <c r="D17" s="37"/>
      <c r="E17" s="37"/>
      <c r="F17" s="37"/>
      <c r="G17" s="37"/>
      <c r="H17" s="37"/>
      <c r="I17" s="37"/>
      <c r="J17" s="37"/>
      <c r="K17" s="37" t="s">
        <v>180</v>
      </c>
      <c r="L17" s="67">
        <v>-248.815400411187</v>
      </c>
    </row>
    <row r="18" spans="4:12">
      <c r="D18" s="37"/>
      <c r="E18" s="37"/>
      <c r="F18" s="37"/>
      <c r="G18" s="37"/>
      <c r="H18" s="37"/>
      <c r="I18" s="37"/>
      <c r="J18" s="37"/>
      <c r="K18" s="37" t="s">
        <v>181</v>
      </c>
      <c r="L18" s="67">
        <v>4.8958980621020901E-2</v>
      </c>
    </row>
    <row r="19" spans="4:12">
      <c r="K19" s="37" t="s">
        <v>182</v>
      </c>
      <c r="L19" s="67">
        <v>0.28593599329299602</v>
      </c>
    </row>
  </sheetData>
  <sortState xmlns:xlrd2="http://schemas.microsoft.com/office/spreadsheetml/2017/richdata2" ref="B3:L18">
    <sortCondition ref="J4:J18"/>
  </sortState>
  <mergeCells count="3">
    <mergeCell ref="B1:E1"/>
    <mergeCell ref="F1:J1"/>
    <mergeCell ref="K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Experiments</vt:lpstr>
      <vt:lpstr>Mass</vt:lpstr>
      <vt:lpstr>Conversions</vt:lpstr>
      <vt:lpstr>Values</vt:lpstr>
      <vt:lpstr>Errors</vt:lpstr>
      <vt:lpstr>Final wt%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 Hong</cp:lastModifiedBy>
  <dcterms:created xsi:type="dcterms:W3CDTF">2015-06-05T18:17:20Z</dcterms:created>
  <dcterms:modified xsi:type="dcterms:W3CDTF">2023-01-11T23:58:54Z</dcterms:modified>
</cp:coreProperties>
</file>