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"/>
    </mc:Choice>
  </mc:AlternateContent>
  <xr:revisionPtr revIDLastSave="1260" documentId="11_F25DC773A252ABDACC104851E9D85E525BDE58E4" xr6:coauthVersionLast="47" xr6:coauthVersionMax="47" xr10:uidLastSave="{BD1E816C-F448-4995-AEB0-B801199CB6D3}"/>
  <bookViews>
    <workbookView xWindow="-3000" yWindow="-20130" windowWidth="28800" windowHeight="15345" xr2:uid="{00000000-000D-0000-FFFF-FFFF00000000}"/>
  </bookViews>
  <sheets>
    <sheet name="Sheet1" sheetId="1" r:id="rId1"/>
    <sheet name="Measurement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I32" i="1"/>
  <c r="J32" i="1" s="1"/>
  <c r="L10" i="1"/>
  <c r="L2" i="1"/>
  <c r="L12" i="1"/>
  <c r="H12" i="1"/>
  <c r="I12" i="1"/>
  <c r="J12" i="1"/>
  <c r="L11" i="1"/>
  <c r="I31" i="1"/>
  <c r="J31" i="1" s="1"/>
  <c r="K31" i="1" s="1"/>
  <c r="H11" i="1"/>
  <c r="L6" i="1"/>
  <c r="I11" i="1"/>
  <c r="J11" i="1"/>
  <c r="L9" i="1"/>
  <c r="I10" i="1"/>
  <c r="J10" i="1"/>
  <c r="L32" i="1" l="1"/>
  <c r="M32" i="1" s="1"/>
  <c r="K32" i="1"/>
  <c r="L31" i="1"/>
  <c r="M31" i="1" s="1"/>
  <c r="AD11" i="2"/>
  <c r="AD3" i="2"/>
  <c r="AD4" i="2"/>
  <c r="AD5" i="2"/>
  <c r="AD6" i="2"/>
  <c r="AD7" i="2"/>
  <c r="AD10" i="2"/>
  <c r="AC11" i="2"/>
  <c r="Z11" i="2"/>
  <c r="Y11" i="2"/>
  <c r="Z7" i="2"/>
  <c r="Z6" i="2"/>
  <c r="Z5" i="2"/>
  <c r="Z4" i="2"/>
  <c r="Z3" i="2"/>
  <c r="U16" i="2"/>
  <c r="U15" i="2"/>
  <c r="V14" i="2"/>
  <c r="U14" i="2"/>
  <c r="V12" i="2"/>
  <c r="V11" i="2"/>
  <c r="V10" i="2"/>
  <c r="V9" i="2"/>
  <c r="V8" i="2"/>
  <c r="V16" i="2" s="1"/>
  <c r="V7" i="2"/>
  <c r="V6" i="2"/>
  <c r="V5" i="2"/>
  <c r="V15" i="2" s="1"/>
  <c r="V4" i="2"/>
  <c r="V3" i="2"/>
  <c r="E34" i="1"/>
  <c r="E33" i="1"/>
  <c r="X50" i="2"/>
  <c r="V50" i="2"/>
  <c r="U50" i="2"/>
  <c r="W50" i="2"/>
  <c r="T50" i="2"/>
  <c r="V51" i="2"/>
  <c r="X51" i="2"/>
  <c r="T40" i="2"/>
  <c r="T41" i="2" s="1"/>
  <c r="AA34" i="2"/>
  <c r="AA33" i="2"/>
  <c r="AA32" i="2"/>
  <c r="AA31" i="2"/>
  <c r="AA30" i="2"/>
  <c r="AA38" i="2" s="1"/>
  <c r="V34" i="2"/>
  <c r="V38" i="2" s="1"/>
  <c r="V33" i="2"/>
  <c r="V32" i="2"/>
  <c r="V31" i="2"/>
  <c r="V30" i="2"/>
  <c r="J30" i="1"/>
  <c r="K15" i="2"/>
  <c r="J41" i="2"/>
  <c r="J31" i="2"/>
  <c r="J32" i="2"/>
  <c r="J33" i="2"/>
  <c r="J34" i="2"/>
  <c r="J30" i="2"/>
  <c r="J42" i="2" s="1"/>
  <c r="I43" i="2"/>
  <c r="I42" i="2"/>
  <c r="I41" i="2"/>
  <c r="D43" i="2"/>
  <c r="D42" i="2"/>
  <c r="D41" i="2"/>
  <c r="E41" i="2" s="1"/>
  <c r="E34" i="2"/>
  <c r="E33" i="2"/>
  <c r="E32" i="2"/>
  <c r="E31" i="2"/>
  <c r="E30" i="2"/>
  <c r="E42" i="2" s="1"/>
  <c r="O16" i="2"/>
  <c r="P4" i="2"/>
  <c r="P5" i="2"/>
  <c r="P6" i="2"/>
  <c r="P7" i="2"/>
  <c r="P3" i="2"/>
  <c r="P15" i="2" s="1"/>
  <c r="O15" i="2"/>
  <c r="O14" i="2"/>
  <c r="P14" i="2" s="1"/>
  <c r="K14" i="2"/>
  <c r="C26" i="2"/>
  <c r="C24" i="2"/>
  <c r="K4" i="2"/>
  <c r="K5" i="2"/>
  <c r="K6" i="2"/>
  <c r="K7" i="2"/>
  <c r="K3" i="2"/>
  <c r="J16" i="2"/>
  <c r="J15" i="2"/>
  <c r="J14" i="2"/>
  <c r="F4" i="2"/>
  <c r="F5" i="2"/>
  <c r="F6" i="2"/>
  <c r="F7" i="2"/>
  <c r="F8" i="2"/>
  <c r="F9" i="2"/>
  <c r="F10" i="2"/>
  <c r="F11" i="2"/>
  <c r="F12" i="2"/>
  <c r="F3" i="2"/>
  <c r="F15" i="2" s="1"/>
  <c r="G16" i="1"/>
  <c r="G17" i="1"/>
  <c r="G18" i="1"/>
  <c r="G19" i="1"/>
  <c r="G20" i="1"/>
  <c r="E16" i="2"/>
  <c r="E15" i="2"/>
  <c r="E14" i="2"/>
  <c r="F14" i="2" s="1"/>
  <c r="J9" i="1"/>
  <c r="I9" i="1"/>
  <c r="H8" i="1"/>
  <c r="C25" i="1"/>
  <c r="L8" i="1"/>
  <c r="L3" i="1"/>
  <c r="I8" i="1"/>
  <c r="J8" i="1"/>
  <c r="H9" i="1" l="1"/>
  <c r="H10" i="1"/>
  <c r="K30" i="1"/>
  <c r="L30" i="1"/>
  <c r="M30" i="1" s="1"/>
  <c r="B8" i="1"/>
  <c r="K8" i="1" s="1"/>
  <c r="C18" i="1" l="1"/>
  <c r="E32" i="1"/>
  <c r="P2" i="1" l="1"/>
  <c r="E31" i="1"/>
  <c r="E16" i="1"/>
  <c r="J3" i="1"/>
  <c r="K3" i="1" s="1"/>
  <c r="J4" i="1"/>
  <c r="K4" i="1" s="1"/>
  <c r="J5" i="1"/>
  <c r="K5" i="1" s="1"/>
  <c r="J6" i="1"/>
  <c r="K6" i="1" s="1"/>
  <c r="J2" i="1"/>
  <c r="K2" i="1" s="1"/>
  <c r="I2" i="1"/>
  <c r="I3" i="1"/>
  <c r="I4" i="1"/>
  <c r="I5" i="1"/>
  <c r="I6" i="1"/>
  <c r="H3" i="1"/>
  <c r="H4" i="1"/>
  <c r="H5" i="1"/>
  <c r="H6" i="1"/>
  <c r="H2" i="1"/>
  <c r="C19" i="1"/>
  <c r="M2" i="1" s="1"/>
  <c r="O2" i="1" s="1"/>
  <c r="N3" i="1"/>
  <c r="L4" i="1"/>
  <c r="N4" i="1" s="1"/>
  <c r="L5" i="1"/>
  <c r="N5" i="1" s="1"/>
  <c r="N6" i="1"/>
  <c r="N2" i="1"/>
  <c r="AD2" i="1"/>
  <c r="AA18" i="1" s="1"/>
  <c r="AB18" i="1" s="1"/>
  <c r="B31" i="1"/>
  <c r="AC3" i="1"/>
  <c r="AB3" i="1"/>
  <c r="AC4" i="1"/>
  <c r="AB4" i="1"/>
  <c r="AB16" i="1"/>
  <c r="AC16" i="1" s="1"/>
  <c r="AC21" i="1" s="1"/>
  <c r="AD16" i="1"/>
  <c r="AC20" i="1" s="1"/>
  <c r="B33" i="1"/>
  <c r="AA2" i="1"/>
  <c r="B32" i="1"/>
  <c r="P6" i="1" l="1"/>
  <c r="P5" i="1"/>
  <c r="P4" i="1"/>
  <c r="P3" i="1"/>
  <c r="M6" i="1"/>
  <c r="M3" i="1"/>
  <c r="M4" i="1"/>
  <c r="M5" i="1"/>
  <c r="AB21" i="1"/>
  <c r="AB20" i="1"/>
  <c r="Q2" i="1" l="1"/>
  <c r="O5" i="1"/>
  <c r="Q5" i="1"/>
  <c r="Q6" i="1"/>
  <c r="O6" i="1"/>
  <c r="Q4" i="1"/>
  <c r="O4" i="1"/>
  <c r="O3" i="1"/>
  <c r="Q3" i="1"/>
  <c r="AD9" i="2" l="1"/>
  <c r="AC9" i="2"/>
  <c r="AC10" i="2"/>
  <c r="Y10" i="2"/>
  <c r="Y9" i="2"/>
  <c r="Z9" i="2"/>
  <c r="Z10" i="2"/>
</calcChain>
</file>

<file path=xl/sharedStrings.xml><?xml version="1.0" encoding="utf-8"?>
<sst xmlns="http://schemas.openxmlformats.org/spreadsheetml/2006/main" count="147" uniqueCount="81">
  <si>
    <t>rho_NH4OH</t>
  </si>
  <si>
    <t>rho_samp</t>
  </si>
  <si>
    <t>rho_measured</t>
  </si>
  <si>
    <t>MOLALITY TO WEIGHT PCT</t>
  </si>
  <si>
    <t>wt%</t>
  </si>
  <si>
    <t>m</t>
  </si>
  <si>
    <t>newBottle_rho</t>
  </si>
  <si>
    <t>wt% of bottle</t>
  </si>
  <si>
    <t>balance</t>
  </si>
  <si>
    <t>0.1mg</t>
  </si>
  <si>
    <t>pipette</t>
  </si>
  <si>
    <t>SF rho2x</t>
  </si>
  <si>
    <t>18.35wt%</t>
  </si>
  <si>
    <t>25.09wt%</t>
  </si>
  <si>
    <t>21.01wt%</t>
  </si>
  <si>
    <t>6.93wt%</t>
  </si>
  <si>
    <t>4.86wt%</t>
  </si>
  <si>
    <t>V_NH3</t>
  </si>
  <si>
    <t>V_NH3_sd</t>
  </si>
  <si>
    <t>V_H2O</t>
  </si>
  <si>
    <t>V_H2O_sc</t>
  </si>
  <si>
    <t>M_samp</t>
  </si>
  <si>
    <t>X_NH4OH_old</t>
  </si>
  <si>
    <t>rho_NH4OH_old</t>
  </si>
  <si>
    <t>X_NH3</t>
  </si>
  <si>
    <t>X_NH3_sd</t>
  </si>
  <si>
    <t>M_samp_sd</t>
  </si>
  <si>
    <t>sd</t>
  </si>
  <si>
    <t>?</t>
  </si>
  <si>
    <t>sd_rel</t>
  </si>
  <si>
    <t>m_NH3</t>
  </si>
  <si>
    <t>m_NH3_sd</t>
  </si>
  <si>
    <t>wt%_NH3</t>
  </si>
  <si>
    <t>wt%_NH3_sd</t>
  </si>
  <si>
    <t>M_check</t>
  </si>
  <si>
    <t>rho_NH4OH_check</t>
  </si>
  <si>
    <t>rho_samp_sd</t>
  </si>
  <si>
    <t>M_samp_.25</t>
  </si>
  <si>
    <t>-</t>
  </si>
  <si>
    <t xml:space="preserve"> </t>
  </si>
  <si>
    <t>mean</t>
  </si>
  <si>
    <t>range</t>
  </si>
  <si>
    <t>10 times</t>
  </si>
  <si>
    <t>2.84 wt%</t>
  </si>
  <si>
    <t>no change of tips</t>
  </si>
  <si>
    <t>4.288 ml H2O</t>
  </si>
  <si>
    <t>0.712 ml NH4OH</t>
  </si>
  <si>
    <t>5 times</t>
  </si>
  <si>
    <t>5 ml</t>
  </si>
  <si>
    <t>0.858 ml H2o</t>
  </si>
  <si>
    <t>0.142 ml NH4OH</t>
  </si>
  <si>
    <t>change tips</t>
  </si>
  <si>
    <t>rho = 0.7092</t>
  </si>
  <si>
    <t>DESIRED WT</t>
  </si>
  <si>
    <t>rho = 0.7156</t>
  </si>
  <si>
    <t>mass</t>
  </si>
  <si>
    <t>rho</t>
  </si>
  <si>
    <t>Date</t>
  </si>
  <si>
    <t>NH4OH rho measurements, all 1 ml</t>
  </si>
  <si>
    <t>Mean rho</t>
  </si>
  <si>
    <t>Raw rho</t>
  </si>
  <si>
    <t>rho = 0.7095</t>
  </si>
  <si>
    <t>0 wt %</t>
  </si>
  <si>
    <t>5 ml H2O</t>
  </si>
  <si>
    <t>1 ml</t>
  </si>
  <si>
    <t>Calibrated masses</t>
  </si>
  <si>
    <t>RATIO</t>
  </si>
  <si>
    <t>5ml</t>
  </si>
  <si>
    <t>1ml h2o</t>
  </si>
  <si>
    <t>1ml nh</t>
  </si>
  <si>
    <t>5ml h2o</t>
  </si>
  <si>
    <t>V (ml)</t>
  </si>
  <si>
    <t>m (g)</t>
  </si>
  <si>
    <t>rho (g/ml)</t>
  </si>
  <si>
    <t>Density (g/ml)</t>
  </si>
  <si>
    <t>Mean</t>
  </si>
  <si>
    <t>x_samp</t>
  </si>
  <si>
    <t>rho_h2o</t>
  </si>
  <si>
    <t>rho_sol</t>
  </si>
  <si>
    <t>x_sol</t>
  </si>
  <si>
    <t>THF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</si>
</sst>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"/>
    <numFmt numFmtId="166" formatCode="0.0"/>
    <numFmt numFmtId="167" formatCode="0.0000000000000000"/>
    <numFmt numFmtId="168" formatCode="0.000000000000000"/>
    <numFmt numFmtId="169" formatCode="_-* #,##0.000_-;\-* #,##0.000_-;_-* &quot;-&quot;??_-;_-@_-"/>
  </numFmts>
  <fonts count="4">
    <font>
      <sz val="11"/>
      <color theme="1"/>
      <name val="Calibri"/>
      <family val="2"/>
      <scheme val="minor"/>
    </font>
    <font>
      <sz val="9.8000000000000007"/>
      <color rgb="FF6897BB"/>
      <name val="JetBrains Mono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6" fontId="0" fillId="0" borderId="0" xfId="0" applyNumberFormat="1"/>
    <xf numFmtId="168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5" xfId="0" applyNumberFormat="1" applyBorder="1"/>
    <xf numFmtId="0" fontId="0" fillId="0" borderId="4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" fontId="0" fillId="0" borderId="1" xfId="0" applyNumberFormat="1" applyBorder="1"/>
    <xf numFmtId="0" fontId="2" fillId="0" borderId="0" xfId="0" applyFont="1" applyBorder="1"/>
    <xf numFmtId="0" fontId="1" fillId="0" borderId="4" xfId="0" applyFont="1" applyBorder="1" applyAlignment="1">
      <alignment vertical="center"/>
    </xf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164" fontId="0" fillId="0" borderId="5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/>
    <xf numFmtId="169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Density</a:t>
            </a:r>
            <a:r>
              <a:rPr lang="en-SG" baseline="0"/>
              <a:t> over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Sheet1!$B$21:$B$23</c:f>
              <c:numCache>
                <c:formatCode>d\-mmm</c:formatCode>
                <c:ptCount val="3"/>
                <c:pt idx="0">
                  <c:v>44816</c:v>
                </c:pt>
                <c:pt idx="1">
                  <c:v>44830</c:v>
                </c:pt>
                <c:pt idx="2">
                  <c:v>44838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0.61580000000000001</c:v>
                </c:pt>
                <c:pt idx="1">
                  <c:v>0.67649999999999999</c:v>
                </c:pt>
                <c:pt idx="2">
                  <c:v>0.71840000000000004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0-4963-A154-97D7FFC0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95407"/>
        <c:axId val="1114710383"/>
      </c:scatterChart>
      <c:valAx>
        <c:axId val="11146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0383"/>
        <c:crosses val="autoZero"/>
        <c:crossBetween val="midCat"/>
      </c:valAx>
      <c:valAx>
        <c:axId val="11147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91109</xdr:colOff>
      <xdr:row>28</xdr:row>
      <xdr:rowOff>61291</xdr:rowOff>
    </xdr:from>
    <xdr:to>
      <xdr:col>31</xdr:col>
      <xdr:colOff>463827</xdr:colOff>
      <xdr:row>42</xdr:row>
      <xdr:rowOff>137491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44B7E-D81A-17C5-E1A0-82E5E9870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tabSelected="1" topLeftCell="A10" zoomScale="115" zoomScaleNormal="115" workbookViewId="0">
      <selection activeCell="I30" sqref="I30"/>
    </sheetView>
  </sheetViews>
  <sheetFormatPr defaultRowHeight="15"/>
  <cols>
    <col min="7" max="7" width="8.7109375" bestFit="1" customWidth="1"/>
    <col min="9" max="9" width="9.28515625" customWidth="1"/>
    <col min="10" max="11" width="9.5703125" bestFit="1" customWidth="1"/>
    <col min="12" max="12" width="9.5703125" customWidth="1"/>
    <col min="13" max="13" width="10.85546875" customWidth="1"/>
    <col min="14" max="14" width="10.7109375" bestFit="1" customWidth="1"/>
    <col min="20" max="21" width="9.5703125" bestFit="1" customWidth="1"/>
    <col min="28" max="28" width="7.85546875" bestFit="1" customWidth="1"/>
  </cols>
  <sheetData>
    <row r="1" spans="1:30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26</v>
      </c>
      <c r="G1" t="s">
        <v>37</v>
      </c>
      <c r="H1" t="s">
        <v>34</v>
      </c>
      <c r="I1" t="s">
        <v>35</v>
      </c>
      <c r="J1" t="s">
        <v>1</v>
      </c>
      <c r="K1" t="s">
        <v>36</v>
      </c>
      <c r="L1" s="2" t="s">
        <v>24</v>
      </c>
      <c r="M1" s="1" t="s">
        <v>25</v>
      </c>
      <c r="N1" t="s">
        <v>32</v>
      </c>
      <c r="O1" t="s">
        <v>33</v>
      </c>
      <c r="P1" t="s">
        <v>30</v>
      </c>
      <c r="Q1" t="s">
        <v>31</v>
      </c>
      <c r="T1" t="s">
        <v>11</v>
      </c>
      <c r="W1" t="s">
        <v>7</v>
      </c>
      <c r="Y1" t="s">
        <v>6</v>
      </c>
      <c r="Z1" t="s">
        <v>0</v>
      </c>
      <c r="AA1" t="s">
        <v>2</v>
      </c>
    </row>
    <row r="2" spans="1:30">
      <c r="A2">
        <v>0.44</v>
      </c>
      <c r="B2">
        <v>5.0000000000000001E-3</v>
      </c>
      <c r="C2">
        <v>4.5599999999999996</v>
      </c>
      <c r="D2">
        <v>0.03</v>
      </c>
      <c r="E2">
        <v>4.8872999999999998</v>
      </c>
      <c r="F2">
        <v>1E-3</v>
      </c>
      <c r="G2">
        <v>4.8388999999999998</v>
      </c>
      <c r="H2" s="4">
        <f>A2*C$17+C2*1</f>
        <v>4.9071599999999993</v>
      </c>
      <c r="I2" s="5">
        <f>(E2-C2)/A2</f>
        <v>0.74386363636363673</v>
      </c>
      <c r="J2" s="5">
        <f t="shared" ref="J2:J12" si="0">E2/5</f>
        <v>0.97746</v>
      </c>
      <c r="K2" s="5">
        <f>(F2/E2)+(D2+B2)/(C2+A2)*J2</f>
        <v>7.046831953430319E-3</v>
      </c>
      <c r="L2" s="6">
        <f>$C$17*A2*$B$17/E2</f>
        <v>1.4206617150573938E-2</v>
      </c>
      <c r="M2" s="4">
        <f>(C$19+B2/A2+F2/E2)*L2</f>
        <v>2.6759122974864938E-4</v>
      </c>
      <c r="N2" s="1">
        <f t="shared" ref="N2:O6" si="1">L2*100</f>
        <v>1.4206617150573939</v>
      </c>
      <c r="O2" s="1">
        <f>M2*100</f>
        <v>2.6759122974864939E-2</v>
      </c>
      <c r="P2" s="1">
        <f>(1000*L2/17.031)/(1-L2)</f>
        <v>0.84618364956366565</v>
      </c>
      <c r="Q2" s="1">
        <f>((1000*(L2+M2)/17.031)/(1-(L2+M2)) - (1000*(L2-M2)/17.031)/(1-(L2-M2)))</f>
        <v>3.2336272564859048E-2</v>
      </c>
      <c r="T2" t="s">
        <v>16</v>
      </c>
      <c r="U2" s="1"/>
      <c r="Y2">
        <v>0.61580000000000001</v>
      </c>
      <c r="Z2">
        <v>0.9</v>
      </c>
      <c r="AA2" s="4">
        <f>AVERAGE(AA3:AA4)</f>
        <v>0.78885000000000005</v>
      </c>
      <c r="AB2">
        <v>0.78879999999999995</v>
      </c>
      <c r="AC2">
        <v>0.78900000000000003</v>
      </c>
      <c r="AD2">
        <f>0.001/AC2</f>
        <v>1.2674271229404308E-3</v>
      </c>
    </row>
    <row r="3" spans="1:30">
      <c r="A3">
        <v>0.87</v>
      </c>
      <c r="B3">
        <v>6.0000000000000001E-3</v>
      </c>
      <c r="C3">
        <v>4.13</v>
      </c>
      <c r="D3">
        <v>0.03</v>
      </c>
      <c r="E3">
        <v>4.8402000000000003</v>
      </c>
      <c r="F3">
        <v>1E-3</v>
      </c>
      <c r="G3">
        <v>4.7458999999999998</v>
      </c>
      <c r="H3" s="4">
        <f>A3*C$17+C3*1</f>
        <v>4.8164299999999995</v>
      </c>
      <c r="I3" s="5">
        <f>(E3-C3)/A3</f>
        <v>0.81632183908046019</v>
      </c>
      <c r="J3" s="5">
        <f t="shared" si="0"/>
        <v>0.96804000000000001</v>
      </c>
      <c r="K3" s="5">
        <f>(F3/E3)+(D3+B3)/(C3+A3)*J3</f>
        <v>7.1764910329325231E-3</v>
      </c>
      <c r="L3" s="6">
        <f>$C$17*A3*$B$17/E3</f>
        <v>2.8363703979174412E-2</v>
      </c>
      <c r="M3" s="4">
        <f>(C$19+B3/A3+F3/E3)*L3</f>
        <v>4.0760293045311648E-4</v>
      </c>
      <c r="N3" s="1">
        <f t="shared" si="1"/>
        <v>2.8363703979174413</v>
      </c>
      <c r="O3" s="1">
        <f t="shared" si="1"/>
        <v>4.0760293045311646E-2</v>
      </c>
      <c r="P3" s="1">
        <f>(1000*L3/17.031)/(1-L3)</f>
        <v>1.7140325516553616</v>
      </c>
      <c r="Q3" s="1">
        <f t="shared" ref="Q3:Q6" si="2">((1000*(L3+M3)/17.031)/(1-(L3+M3)) - (1000*(L3-M3)/17.031)/(1-(L3-M3)))</f>
        <v>5.0701377797758518E-2</v>
      </c>
      <c r="T3" t="s">
        <v>15</v>
      </c>
      <c r="U3" s="1"/>
      <c r="AA3">
        <v>0.79669999999999996</v>
      </c>
      <c r="AB3">
        <f>AA3-AB9</f>
        <v>0.79569999999999996</v>
      </c>
      <c r="AC3">
        <f>AA3+AB9</f>
        <v>0.79769999999999996</v>
      </c>
    </row>
    <row r="4" spans="1:30">
      <c r="A4">
        <v>1.5</v>
      </c>
      <c r="B4" s="1">
        <v>0.01</v>
      </c>
      <c r="C4">
        <v>3.5</v>
      </c>
      <c r="D4">
        <v>0.02</v>
      </c>
      <c r="E4">
        <v>4.6292999999999997</v>
      </c>
      <c r="F4">
        <v>1E-3</v>
      </c>
      <c r="G4">
        <v>4.5983000000000001</v>
      </c>
      <c r="H4" s="4">
        <f>A4*C$17+C4*1</f>
        <v>4.6835000000000004</v>
      </c>
      <c r="I4" s="5">
        <f>(E4-C4)/A4</f>
        <v>0.75286666666666646</v>
      </c>
      <c r="J4" s="5">
        <f t="shared" si="0"/>
        <v>0.92585999999999991</v>
      </c>
      <c r="K4" s="5">
        <f>(F4/E4)+(D4+B4)/(C4+A4)*J4</f>
        <v>5.7711753802950766E-3</v>
      </c>
      <c r="L4" s="6">
        <f>$C$17*A4*$B$17/E4</f>
        <v>5.1130840515844739E-2</v>
      </c>
      <c r="M4" s="4">
        <f>(C$19+B4/A4+F4/E4)*L4</f>
        <v>7.2350697524806032E-4</v>
      </c>
      <c r="N4" s="1">
        <f t="shared" si="1"/>
        <v>5.1130840515844742</v>
      </c>
      <c r="O4" s="1">
        <f t="shared" si="1"/>
        <v>7.2350697524806037E-2</v>
      </c>
      <c r="P4" s="1">
        <f>(1000*L4/17.031)/(1-L4)</f>
        <v>3.1639998318628844</v>
      </c>
      <c r="Q4" s="1">
        <f t="shared" si="2"/>
        <v>9.4367002271332101E-2</v>
      </c>
      <c r="T4" t="s">
        <v>12</v>
      </c>
      <c r="U4" s="1"/>
      <c r="AA4">
        <v>0.78100000000000003</v>
      </c>
      <c r="AB4">
        <f>AA4-AB9</f>
        <v>0.78</v>
      </c>
      <c r="AC4">
        <f>AA4+AB9</f>
        <v>0.78200000000000003</v>
      </c>
    </row>
    <row r="5" spans="1:30">
      <c r="A5">
        <v>2</v>
      </c>
      <c r="B5">
        <v>0.01</v>
      </c>
      <c r="C5">
        <v>3</v>
      </c>
      <c r="D5">
        <v>0.02</v>
      </c>
      <c r="E5">
        <v>4.5853000000000002</v>
      </c>
      <c r="F5">
        <v>1E-3</v>
      </c>
      <c r="G5">
        <v>4.55</v>
      </c>
      <c r="H5" s="4">
        <f>A5*C$17+C5*1</f>
        <v>4.5780000000000003</v>
      </c>
      <c r="I5" s="5">
        <f>(E5-C5)/A5</f>
        <v>0.79265000000000008</v>
      </c>
      <c r="J5" s="5">
        <f t="shared" si="0"/>
        <v>0.91705999999999999</v>
      </c>
      <c r="K5" s="5">
        <f>(F5/E5)+(D5+B5)/(C5+A5)*J5</f>
        <v>5.7204482385012981E-3</v>
      </c>
      <c r="L5" s="6">
        <f>$C$17*A5*$B$17/E5</f>
        <v>6.8828648071009538E-2</v>
      </c>
      <c r="M5" s="4">
        <f>(C$19+B5/A5+F5/E5)*L5</f>
        <v>8.5936114279785611E-4</v>
      </c>
      <c r="N5" s="1">
        <f t="shared" si="1"/>
        <v>6.8828648071009537</v>
      </c>
      <c r="O5" s="1">
        <f t="shared" si="1"/>
        <v>8.5936114279785605E-2</v>
      </c>
      <c r="P5" s="7">
        <f>(1000*L5/17.031)/(1-L5)</f>
        <v>4.3400974811472794</v>
      </c>
      <c r="Q5" s="7">
        <f t="shared" si="2"/>
        <v>0.11638760108247581</v>
      </c>
      <c r="T5" t="s">
        <v>14</v>
      </c>
      <c r="U5" s="1"/>
    </row>
    <row r="6" spans="1:30">
      <c r="A6">
        <v>2.5</v>
      </c>
      <c r="B6">
        <v>0.02</v>
      </c>
      <c r="C6">
        <v>2.5</v>
      </c>
      <c r="D6">
        <v>0.02</v>
      </c>
      <c r="E6">
        <v>4.5202</v>
      </c>
      <c r="F6">
        <v>1E-3</v>
      </c>
      <c r="G6">
        <v>4.3986999999999998</v>
      </c>
      <c r="H6" s="4">
        <f>A6*C$17+C6*1</f>
        <v>4.4725000000000001</v>
      </c>
      <c r="I6" s="5">
        <f>(E6-C6)/A6</f>
        <v>0.80808000000000002</v>
      </c>
      <c r="J6" s="5">
        <f t="shared" si="0"/>
        <v>0.90403999999999995</v>
      </c>
      <c r="K6" s="5">
        <f>(F6/E6)+(D6+B6)/(C6+A6)*J6</f>
        <v>7.4535491491526922E-3</v>
      </c>
      <c r="L6" s="6">
        <f>$C$17*A6*$B$17/E6</f>
        <v>8.727489934073715E-2</v>
      </c>
      <c r="M6" s="5">
        <f>(C$19+B6/A6+F6/E6)*L6</f>
        <v>1.3517709170702045E-3</v>
      </c>
      <c r="N6" s="7">
        <f t="shared" si="1"/>
        <v>8.7274899340737147</v>
      </c>
      <c r="O6" s="7">
        <f t="shared" si="1"/>
        <v>0.13517709170702044</v>
      </c>
      <c r="P6" s="7">
        <f>(1000*L6/17.031)/(1-L6)</f>
        <v>5.6144757905490401</v>
      </c>
      <c r="Q6" s="7">
        <f t="shared" si="2"/>
        <v>0.19055217468797903</v>
      </c>
      <c r="T6" t="s">
        <v>13</v>
      </c>
      <c r="U6" s="1"/>
    </row>
    <row r="7" spans="1:30">
      <c r="H7" s="4"/>
      <c r="I7" s="5"/>
      <c r="J7" s="5"/>
      <c r="K7" s="5"/>
      <c r="L7" s="6"/>
      <c r="M7" s="5"/>
      <c r="N7" s="7"/>
      <c r="O7" s="7"/>
      <c r="P7" s="7"/>
      <c r="Q7" s="7"/>
      <c r="U7" s="1"/>
    </row>
    <row r="8" spans="1:30">
      <c r="A8">
        <v>4.0839999999999996</v>
      </c>
      <c r="B8">
        <f>0.006*5</f>
        <v>0.03</v>
      </c>
      <c r="C8">
        <v>0.91600000000000004</v>
      </c>
      <c r="D8">
        <v>6.0000000000000001E-3</v>
      </c>
      <c r="E8">
        <v>3.7107000000000001</v>
      </c>
      <c r="F8">
        <v>1E-3</v>
      </c>
      <c r="G8" t="s">
        <v>38</v>
      </c>
      <c r="H8" s="4">
        <f>A8*C$22+C8*1</f>
        <v>3.6788259999999995</v>
      </c>
      <c r="I8" s="5">
        <f>(E8-C8)/A8</f>
        <v>0.68430460333006871</v>
      </c>
      <c r="J8" s="5">
        <f t="shared" si="0"/>
        <v>0.74214000000000002</v>
      </c>
      <c r="K8" s="5">
        <f>(F8/E8)+(D8+B8)/(C8+A8)*J8</f>
        <v>5.6128989316301505E-3</v>
      </c>
      <c r="L8" s="6">
        <f>$C$22*A8*$A$21/E8</f>
        <v>0.20028571266876866</v>
      </c>
      <c r="M8" s="5"/>
      <c r="N8" s="7"/>
      <c r="O8" s="7"/>
      <c r="P8" s="7"/>
      <c r="Q8" s="7"/>
      <c r="U8" s="1"/>
    </row>
    <row r="9" spans="1:30">
      <c r="A9">
        <v>0.71199999999999997</v>
      </c>
      <c r="C9">
        <v>4.2880000000000003</v>
      </c>
      <c r="E9">
        <v>4.7648000000000001</v>
      </c>
      <c r="H9" s="4">
        <f>A9*C$25+C9*1</f>
        <v>4.7962256000000005</v>
      </c>
      <c r="I9" s="5">
        <f>(E9-C9)/A9</f>
        <v>0.66966292134831451</v>
      </c>
      <c r="J9" s="1">
        <f t="shared" si="0"/>
        <v>0.95296000000000003</v>
      </c>
      <c r="K9" s="1"/>
      <c r="L9" s="6">
        <f>$C$24*A9*A21/E9</f>
        <v>2.8507315648085965E-2</v>
      </c>
      <c r="T9" s="30"/>
      <c r="U9" s="1"/>
      <c r="Z9" t="s">
        <v>8</v>
      </c>
      <c r="AA9" t="s">
        <v>9</v>
      </c>
      <c r="AB9">
        <v>1E-3</v>
      </c>
    </row>
    <row r="10" spans="1:30" ht="14.25" customHeight="1">
      <c r="A10">
        <v>3.1989999999999998</v>
      </c>
      <c r="C10">
        <v>1.8009999999999999</v>
      </c>
      <c r="E10">
        <v>3.8153000000000001</v>
      </c>
      <c r="H10" s="4">
        <f>A10*C$25+C10*1</f>
        <v>4.0844461999999995</v>
      </c>
      <c r="I10" s="5">
        <f>(E10-C10)/A10</f>
        <v>0.62966552047514868</v>
      </c>
      <c r="J10" s="1">
        <f t="shared" si="0"/>
        <v>0.76306000000000007</v>
      </c>
      <c r="K10" s="1"/>
      <c r="L10" s="6">
        <f>$C$26*A10*A$21/E10</f>
        <v>0.16002588118889732</v>
      </c>
      <c r="T10" s="30"/>
      <c r="U10" s="1"/>
    </row>
    <row r="11" spans="1:30" ht="14.25" customHeight="1">
      <c r="A11">
        <v>2.077</v>
      </c>
      <c r="C11" s="31">
        <v>2.923</v>
      </c>
      <c r="E11">
        <v>4.1943000000000001</v>
      </c>
      <c r="H11" s="4">
        <f>A11*C$26+C11*1</f>
        <v>4.3966314999999998</v>
      </c>
      <c r="I11" s="5">
        <f>(E11-C11)/A11</f>
        <v>0.61208473760231108</v>
      </c>
      <c r="J11" s="1">
        <f t="shared" si="0"/>
        <v>0.83886000000000005</v>
      </c>
      <c r="K11" s="1"/>
      <c r="L11" s="6">
        <f>$C$26*A11*A$21/E11</f>
        <v>9.4510853658536592E-2</v>
      </c>
      <c r="T11" s="30"/>
      <c r="U11" s="1"/>
    </row>
    <row r="12" spans="1:30" ht="14.25" customHeight="1">
      <c r="A12">
        <v>0.98799999999999999</v>
      </c>
      <c r="C12" s="31">
        <v>4.0119999999999996</v>
      </c>
      <c r="E12">
        <v>4.6844000000000001</v>
      </c>
      <c r="H12" s="4">
        <f>A12*C$26+C12*1</f>
        <v>4.7129859999999999</v>
      </c>
      <c r="I12" s="5">
        <f>(E12-C12)/A12</f>
        <v>0.68056680161943373</v>
      </c>
      <c r="J12" s="1">
        <f t="shared" si="0"/>
        <v>0.93688000000000005</v>
      </c>
      <c r="K12" s="1"/>
      <c r="L12" s="6">
        <f>$C$26*A12*A$21/E12</f>
        <v>4.0253871146785074E-2</v>
      </c>
      <c r="T12" s="30"/>
      <c r="U12" s="1"/>
    </row>
    <row r="13" spans="1:30" ht="14.25" customHeight="1">
      <c r="C13" s="31"/>
      <c r="H13" s="4"/>
      <c r="I13" s="5"/>
      <c r="J13" s="1"/>
      <c r="K13" s="1"/>
      <c r="L13" s="6"/>
      <c r="T13" s="30"/>
      <c r="U13" s="1"/>
    </row>
    <row r="14" spans="1:30" ht="14.25" customHeight="1">
      <c r="C14" s="31"/>
      <c r="H14" s="4"/>
      <c r="I14" s="5"/>
      <c r="J14" s="1"/>
      <c r="K14" s="1"/>
      <c r="L14" s="6"/>
      <c r="T14" s="30"/>
      <c r="U14" s="1"/>
    </row>
    <row r="15" spans="1:30">
      <c r="H15" s="4"/>
      <c r="J15" s="1"/>
      <c r="K15" s="1"/>
      <c r="L15" s="6"/>
      <c r="T15" s="30"/>
      <c r="U15" s="1"/>
    </row>
    <row r="16" spans="1:30">
      <c r="B16" t="s">
        <v>22</v>
      </c>
      <c r="C16" t="s">
        <v>23</v>
      </c>
      <c r="E16">
        <f>3.7778/5</f>
        <v>0.75556000000000001</v>
      </c>
      <c r="G16">
        <f>E2-G2</f>
        <v>4.8399999999999999E-2</v>
      </c>
      <c r="J16" s="1"/>
      <c r="K16" s="1"/>
      <c r="L16" s="6"/>
      <c r="T16" s="30"/>
      <c r="U16" s="1"/>
      <c r="Z16" t="s">
        <v>10</v>
      </c>
      <c r="AA16" s="3">
        <v>6.0000000000000001E-3</v>
      </c>
      <c r="AB16">
        <f>1000*AA16</f>
        <v>6</v>
      </c>
      <c r="AC16">
        <f>1000-AB16</f>
        <v>994</v>
      </c>
      <c r="AD16">
        <f>1000+AB16</f>
        <v>1006</v>
      </c>
    </row>
    <row r="17" spans="1:29">
      <c r="B17">
        <v>0.2</v>
      </c>
      <c r="C17">
        <v>0.78900000000000003</v>
      </c>
      <c r="F17" t="s">
        <v>39</v>
      </c>
      <c r="G17">
        <f>E3-G3</f>
        <v>9.4300000000000495E-2</v>
      </c>
      <c r="L17" s="5"/>
      <c r="T17" s="30"/>
      <c r="U17" s="1"/>
    </row>
    <row r="18" spans="1:29">
      <c r="A18" t="s">
        <v>27</v>
      </c>
      <c r="B18" t="s">
        <v>28</v>
      </c>
      <c r="C18" s="5">
        <f>(F2/C17+0.006/1)*C17</f>
        <v>5.7340000000000004E-3</v>
      </c>
      <c r="G18">
        <f>E4-G4</f>
        <v>3.0999999999999694E-2</v>
      </c>
      <c r="L18" s="5"/>
      <c r="T18" s="1"/>
      <c r="U18" s="1"/>
      <c r="AA18" s="3">
        <f>AD2+AA16</f>
        <v>7.2674271229404312E-3</v>
      </c>
      <c r="AB18" s="5">
        <f>AA18*AC2</f>
        <v>5.7340000000000004E-3</v>
      </c>
    </row>
    <row r="19" spans="1:29">
      <c r="A19" t="s">
        <v>29</v>
      </c>
      <c r="C19">
        <f>C18/C17</f>
        <v>7.2674271229404312E-3</v>
      </c>
      <c r="G19">
        <f>E5-G5</f>
        <v>3.5300000000000331E-2</v>
      </c>
      <c r="L19" s="5"/>
      <c r="T19" s="1"/>
      <c r="U19" s="1"/>
      <c r="AB19">
        <v>0.78900000000000003</v>
      </c>
    </row>
    <row r="20" spans="1:29">
      <c r="G20">
        <f>E6-G6</f>
        <v>0.12150000000000016</v>
      </c>
      <c r="L20" s="5"/>
      <c r="T20" s="1"/>
      <c r="U20" s="1"/>
      <c r="AB20" s="5">
        <f>AB19-AB18</f>
        <v>0.78326600000000002</v>
      </c>
      <c r="AC20">
        <f>AB2/AD16*1000</f>
        <v>0.78409542743538763</v>
      </c>
    </row>
    <row r="21" spans="1:29">
      <c r="A21">
        <v>0.26900000000000002</v>
      </c>
      <c r="B21" s="9">
        <v>44816</v>
      </c>
      <c r="C21">
        <v>0.61580000000000001</v>
      </c>
      <c r="L21" s="5"/>
      <c r="T21" s="1"/>
      <c r="U21" s="1"/>
      <c r="AB21" s="5">
        <f>AB19+AB18</f>
        <v>0.79473400000000005</v>
      </c>
      <c r="AC21">
        <f>AC2/AC16*1000</f>
        <v>0.79376257545271633</v>
      </c>
    </row>
    <row r="22" spans="1:29">
      <c r="B22" s="9">
        <v>44830</v>
      </c>
      <c r="C22">
        <v>0.67649999999999999</v>
      </c>
      <c r="L22" s="5"/>
    </row>
    <row r="23" spans="1:29">
      <c r="B23" s="9">
        <v>44838</v>
      </c>
      <c r="C23">
        <v>0.71840000000000004</v>
      </c>
      <c r="L23" s="5"/>
    </row>
    <row r="24" spans="1:29">
      <c r="C24">
        <v>0.70920000000000005</v>
      </c>
      <c r="D24" s="9">
        <v>44838</v>
      </c>
      <c r="J24" s="5"/>
      <c r="K24" s="5"/>
      <c r="L24" s="5"/>
      <c r="M24" s="4"/>
    </row>
    <row r="25" spans="1:29">
      <c r="C25">
        <f>AVERAGE(C23,C24)</f>
        <v>0.71379999999999999</v>
      </c>
      <c r="M25" s="10"/>
    </row>
    <row r="26" spans="1:29">
      <c r="C26">
        <v>0.70950000000000002</v>
      </c>
      <c r="M26" s="8"/>
    </row>
    <row r="28" spans="1:29">
      <c r="P28" t="s">
        <v>80</v>
      </c>
    </row>
    <row r="29" spans="1:29">
      <c r="A29" t="s">
        <v>3</v>
      </c>
      <c r="H29" t="s">
        <v>53</v>
      </c>
      <c r="I29" t="s">
        <v>66</v>
      </c>
      <c r="J29" t="s">
        <v>69</v>
      </c>
      <c r="K29" t="s">
        <v>68</v>
      </c>
      <c r="L29" t="s">
        <v>67</v>
      </c>
      <c r="M29" t="s">
        <v>70</v>
      </c>
      <c r="O29" t="s">
        <v>76</v>
      </c>
      <c r="P29">
        <v>0.26900000000000002</v>
      </c>
    </row>
    <row r="30" spans="1:29">
      <c r="A30" t="s">
        <v>5</v>
      </c>
      <c r="B30" t="s">
        <v>4</v>
      </c>
      <c r="D30" t="s">
        <v>4</v>
      </c>
      <c r="E30" t="s">
        <v>5</v>
      </c>
      <c r="H30">
        <v>15</v>
      </c>
      <c r="I30">
        <f>0.15/(0.7095*0.269-0.7095*0.15)</f>
        <v>1.7766091637500665</v>
      </c>
      <c r="J30" s="5">
        <f>I30/(I30+1)</f>
        <v>0.63984848387901738</v>
      </c>
      <c r="K30" s="5">
        <f>1-J30</f>
        <v>0.36015151612098262</v>
      </c>
      <c r="L30" s="5">
        <f>J30*5</f>
        <v>3.199242419395087</v>
      </c>
      <c r="M30" s="5">
        <f>5-L30</f>
        <v>1.800757580604913</v>
      </c>
      <c r="O30" t="s">
        <v>77</v>
      </c>
      <c r="P30">
        <v>1</v>
      </c>
    </row>
    <row r="31" spans="1:29">
      <c r="A31">
        <v>5</v>
      </c>
      <c r="B31">
        <f>(17.031*A31)/(1000+17.031*A31)</f>
        <v>7.8472660587657991E-2</v>
      </c>
      <c r="D31">
        <v>0.65</v>
      </c>
      <c r="E31">
        <f>(1000*D31/17.031)/(1-D31)</f>
        <v>109.04485098601711</v>
      </c>
      <c r="H31">
        <v>6</v>
      </c>
      <c r="I31">
        <f>(H31/100)/(0.7095*0.269-0.7095*(H31/100))</f>
        <v>0.40462486217465626</v>
      </c>
      <c r="J31" s="5">
        <f>I31/(I31+1)</f>
        <v>0.28806613998574071</v>
      </c>
      <c r="K31" s="5">
        <f>1-J31</f>
        <v>0.71193386001425929</v>
      </c>
      <c r="L31" s="5">
        <f>J31*5</f>
        <v>1.4403306999287036</v>
      </c>
      <c r="M31" s="5">
        <f>5-L31</f>
        <v>3.5596693000712962</v>
      </c>
      <c r="O31" t="s">
        <v>78</v>
      </c>
    </row>
    <row r="32" spans="1:29">
      <c r="A32">
        <v>22</v>
      </c>
      <c r="B32">
        <f>(17.031*A32)/(1000+17.031*A32)</f>
        <v>0.27255903547147625</v>
      </c>
      <c r="C32" s="1"/>
      <c r="D32" s="1">
        <v>0.33333000000000002</v>
      </c>
      <c r="E32">
        <f>(1000*D32/17.031)/(1-D32)</f>
        <v>29.357788740385175</v>
      </c>
      <c r="H32">
        <v>8.4</v>
      </c>
      <c r="I32">
        <f>(H32/100)/(0.7095*0.269-0.7095*(H32/100))</f>
        <v>0.63996343066110517</v>
      </c>
      <c r="J32" s="5">
        <f>I32/(I32+1)</f>
        <v>0.39023030556426608</v>
      </c>
      <c r="K32" s="5">
        <f>1-J32</f>
        <v>0.60976969443573392</v>
      </c>
      <c r="L32" s="5">
        <f>J32*5</f>
        <v>1.9511515278213305</v>
      </c>
      <c r="M32" s="5">
        <f>5-L32</f>
        <v>3.0488484721786695</v>
      </c>
      <c r="O32" t="s">
        <v>79</v>
      </c>
      <c r="P32">
        <v>0.99</v>
      </c>
    </row>
    <row r="33" spans="1:5">
      <c r="A33">
        <v>2.9</v>
      </c>
      <c r="B33">
        <f>(17.031*A33)/(1000+17.031*A33)</f>
        <v>4.7065347207934823E-2</v>
      </c>
      <c r="C33" s="1"/>
      <c r="D33" s="1">
        <v>0.26960000000000001</v>
      </c>
      <c r="E33">
        <f>(1000*D33/17.031)/(1-D33)</f>
        <v>21.672997175500409</v>
      </c>
    </row>
    <row r="34" spans="1:5">
      <c r="B34" s="5"/>
      <c r="C34" s="1"/>
      <c r="D34" s="1">
        <v>0.26900000000000002</v>
      </c>
      <c r="E34">
        <f>(1000*D34/17.031)/(1-D34)</f>
        <v>21.607014038374221</v>
      </c>
    </row>
    <row r="35" spans="1:5">
      <c r="B35" s="5"/>
      <c r="C35" s="1"/>
      <c r="D35" s="1"/>
      <c r="E35" s="1"/>
    </row>
    <row r="36" spans="1:5">
      <c r="B36" s="5"/>
      <c r="C36" s="1"/>
      <c r="D36" s="1"/>
      <c r="E36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A075-2BBC-474D-927B-BF24D5C4F304}">
  <dimension ref="B2:AD51"/>
  <sheetViews>
    <sheetView workbookViewId="0">
      <selection activeCell="C41" sqref="C41"/>
    </sheetView>
  </sheetViews>
  <sheetFormatPr defaultRowHeight="15"/>
  <sheetData>
    <row r="2" spans="2:30">
      <c r="B2" s="22">
        <v>44838</v>
      </c>
      <c r="C2" s="11"/>
      <c r="D2" s="11"/>
      <c r="E2" s="11" t="s">
        <v>55</v>
      </c>
      <c r="F2" s="12" t="s">
        <v>56</v>
      </c>
      <c r="H2" s="22">
        <v>44840</v>
      </c>
      <c r="I2" s="11"/>
      <c r="J2" s="11" t="s">
        <v>55</v>
      </c>
      <c r="K2" s="12" t="s">
        <v>56</v>
      </c>
      <c r="M2" s="22">
        <v>44844</v>
      </c>
      <c r="N2" s="11"/>
      <c r="O2" s="11" t="s">
        <v>55</v>
      </c>
      <c r="P2" s="12" t="s">
        <v>56</v>
      </c>
      <c r="T2" s="26" t="s">
        <v>71</v>
      </c>
      <c r="U2" s="26" t="s">
        <v>72</v>
      </c>
      <c r="V2" s="26" t="s">
        <v>73</v>
      </c>
      <c r="X2" s="26" t="s">
        <v>71</v>
      </c>
      <c r="Y2" s="26" t="s">
        <v>72</v>
      </c>
      <c r="Z2" s="26" t="s">
        <v>73</v>
      </c>
      <c r="AB2" s="26" t="s">
        <v>71</v>
      </c>
      <c r="AC2" s="26" t="s">
        <v>72</v>
      </c>
      <c r="AD2" s="26" t="s">
        <v>73</v>
      </c>
    </row>
    <row r="3" spans="2:30">
      <c r="B3" s="15" t="s">
        <v>42</v>
      </c>
      <c r="C3" s="13"/>
      <c r="D3" s="13"/>
      <c r="E3" s="13">
        <v>4.7912999999999997</v>
      </c>
      <c r="F3" s="14">
        <f>E3/5</f>
        <v>0.95825999999999989</v>
      </c>
      <c r="H3" s="15" t="s">
        <v>47</v>
      </c>
      <c r="I3" s="13"/>
      <c r="J3" s="13">
        <v>0.91249999999999998</v>
      </c>
      <c r="K3" s="17">
        <f>J3</f>
        <v>0.91249999999999998</v>
      </c>
      <c r="M3" s="15" t="s">
        <v>47</v>
      </c>
      <c r="N3" s="13"/>
      <c r="O3" s="13">
        <v>4.7382999999999997</v>
      </c>
      <c r="P3" s="14">
        <f>O3/5</f>
        <v>0.94765999999999995</v>
      </c>
      <c r="T3" s="13">
        <v>5</v>
      </c>
      <c r="U3" s="13">
        <v>4.7912999999999997</v>
      </c>
      <c r="V3" s="14">
        <f>U3/5</f>
        <v>0.95825999999999989</v>
      </c>
      <c r="X3" s="13">
        <v>5</v>
      </c>
      <c r="Y3" s="13">
        <v>4.7382999999999997</v>
      </c>
      <c r="Z3" s="14">
        <f>Y3/5</f>
        <v>0.94765999999999995</v>
      </c>
      <c r="AB3" s="13">
        <v>1</v>
      </c>
      <c r="AC3" s="13">
        <v>0.91249999999999998</v>
      </c>
      <c r="AD3" s="17">
        <f>AC3</f>
        <v>0.91249999999999998</v>
      </c>
    </row>
    <row r="4" spans="2:30">
      <c r="B4" s="15" t="s">
        <v>48</v>
      </c>
      <c r="C4" s="13"/>
      <c r="D4" s="13"/>
      <c r="E4" s="13">
        <v>4.7610000000000001</v>
      </c>
      <c r="F4" s="14">
        <f t="shared" ref="F4:F14" si="0">E4/5</f>
        <v>0.95220000000000005</v>
      </c>
      <c r="H4" s="15" t="s">
        <v>64</v>
      </c>
      <c r="I4" s="13"/>
      <c r="J4" s="13">
        <v>0.90959999999999996</v>
      </c>
      <c r="K4" s="17">
        <f t="shared" ref="K4:K7" si="1">J4</f>
        <v>0.90959999999999996</v>
      </c>
      <c r="M4" s="15" t="s">
        <v>48</v>
      </c>
      <c r="N4" s="13"/>
      <c r="O4" s="13">
        <v>4.7298999999999998</v>
      </c>
      <c r="P4" s="14">
        <f t="shared" ref="P4:P7" si="2">O4/5</f>
        <v>0.94597999999999993</v>
      </c>
      <c r="T4" s="13">
        <v>5</v>
      </c>
      <c r="U4" s="13">
        <v>4.7610000000000001</v>
      </c>
      <c r="V4" s="14">
        <f t="shared" ref="V4:V12" si="3">U4/5</f>
        <v>0.95220000000000005</v>
      </c>
      <c r="X4" s="13">
        <v>5</v>
      </c>
      <c r="Y4" s="13">
        <v>4.7298999999999998</v>
      </c>
      <c r="Z4" s="14">
        <f t="shared" ref="Z4:Z7" si="4">Y4/5</f>
        <v>0.94597999999999993</v>
      </c>
      <c r="AB4" s="13">
        <v>1</v>
      </c>
      <c r="AC4" s="13">
        <v>0.90959999999999996</v>
      </c>
      <c r="AD4" s="17">
        <f t="shared" ref="AD4:AD7" si="5">AC4</f>
        <v>0.90959999999999996</v>
      </c>
    </row>
    <row r="5" spans="2:30">
      <c r="B5" s="15" t="s">
        <v>43</v>
      </c>
      <c r="C5" s="13"/>
      <c r="D5" s="13"/>
      <c r="E5" s="13">
        <v>4.7588999999999997</v>
      </c>
      <c r="F5" s="14">
        <f t="shared" si="0"/>
        <v>0.95177999999999996</v>
      </c>
      <c r="H5" s="15" t="s">
        <v>43</v>
      </c>
      <c r="I5" s="13"/>
      <c r="J5" s="13">
        <v>0.92279999999999995</v>
      </c>
      <c r="K5" s="17">
        <f t="shared" si="1"/>
        <v>0.92279999999999995</v>
      </c>
      <c r="M5" s="15" t="s">
        <v>43</v>
      </c>
      <c r="N5" s="13"/>
      <c r="O5" s="13">
        <v>4.7347000000000001</v>
      </c>
      <c r="P5" s="14">
        <f t="shared" si="2"/>
        <v>0.94694</v>
      </c>
      <c r="T5" s="13">
        <v>5</v>
      </c>
      <c r="U5" s="13">
        <v>4.7588999999999997</v>
      </c>
      <c r="V5" s="14">
        <f t="shared" si="3"/>
        <v>0.95177999999999996</v>
      </c>
      <c r="X5" s="13">
        <v>5</v>
      </c>
      <c r="Y5" s="13">
        <v>4.7347000000000001</v>
      </c>
      <c r="Z5" s="14">
        <f t="shared" si="4"/>
        <v>0.94694</v>
      </c>
      <c r="AB5" s="13">
        <v>1</v>
      </c>
      <c r="AC5" s="13">
        <v>0.92279999999999995</v>
      </c>
      <c r="AD5" s="17">
        <f t="shared" si="5"/>
        <v>0.92279999999999995</v>
      </c>
    </row>
    <row r="6" spans="2:30">
      <c r="B6" s="15" t="s">
        <v>45</v>
      </c>
      <c r="C6" s="13"/>
      <c r="D6" s="13"/>
      <c r="E6" s="13">
        <v>4.7480000000000002</v>
      </c>
      <c r="F6" s="14">
        <f t="shared" si="0"/>
        <v>0.9496</v>
      </c>
      <c r="H6" s="15" t="s">
        <v>49</v>
      </c>
      <c r="I6" s="13"/>
      <c r="J6" s="13">
        <v>0.91120000000000001</v>
      </c>
      <c r="K6" s="17">
        <f t="shared" si="1"/>
        <v>0.91120000000000001</v>
      </c>
      <c r="M6" s="15" t="s">
        <v>45</v>
      </c>
      <c r="N6" s="13"/>
      <c r="O6" s="13">
        <v>4.7237999999999998</v>
      </c>
      <c r="P6" s="14">
        <f t="shared" si="2"/>
        <v>0.94475999999999993</v>
      </c>
      <c r="T6" s="13">
        <v>5</v>
      </c>
      <c r="U6" s="13">
        <v>4.7480000000000002</v>
      </c>
      <c r="V6" s="14">
        <f t="shared" si="3"/>
        <v>0.9496</v>
      </c>
      <c r="X6" s="13">
        <v>5</v>
      </c>
      <c r="Y6" s="13">
        <v>4.7237999999999998</v>
      </c>
      <c r="Z6" s="14">
        <f t="shared" si="4"/>
        <v>0.94475999999999993</v>
      </c>
      <c r="AB6" s="13">
        <v>1</v>
      </c>
      <c r="AC6" s="13">
        <v>0.91120000000000001</v>
      </c>
      <c r="AD6" s="17">
        <f t="shared" si="5"/>
        <v>0.91120000000000001</v>
      </c>
    </row>
    <row r="7" spans="2:30">
      <c r="B7" s="15" t="s">
        <v>46</v>
      </c>
      <c r="C7" s="13"/>
      <c r="D7" s="13"/>
      <c r="E7" s="13">
        <v>4.7548000000000004</v>
      </c>
      <c r="F7" s="14">
        <f t="shared" si="0"/>
        <v>0.95096000000000003</v>
      </c>
      <c r="H7" s="15" t="s">
        <v>50</v>
      </c>
      <c r="I7" s="13"/>
      <c r="J7" s="13">
        <v>0.90890000000000004</v>
      </c>
      <c r="K7" s="17">
        <f t="shared" si="1"/>
        <v>0.90890000000000004</v>
      </c>
      <c r="M7" s="15" t="s">
        <v>46</v>
      </c>
      <c r="N7" s="13"/>
      <c r="O7" s="16">
        <v>4.7370000000000001</v>
      </c>
      <c r="P7" s="14">
        <f t="shared" si="2"/>
        <v>0.94740000000000002</v>
      </c>
      <c r="T7" s="13">
        <v>5</v>
      </c>
      <c r="U7" s="13">
        <v>4.7548000000000004</v>
      </c>
      <c r="V7" s="14">
        <f t="shared" si="3"/>
        <v>0.95096000000000003</v>
      </c>
      <c r="X7" s="13">
        <v>5</v>
      </c>
      <c r="Y7" s="16">
        <v>4.7370000000000001</v>
      </c>
      <c r="Z7" s="14">
        <f t="shared" si="4"/>
        <v>0.94740000000000002</v>
      </c>
      <c r="AB7" s="13">
        <v>1</v>
      </c>
      <c r="AC7" s="13">
        <v>0.90890000000000004</v>
      </c>
      <c r="AD7" s="17">
        <f t="shared" si="5"/>
        <v>0.90890000000000004</v>
      </c>
    </row>
    <row r="8" spans="2:30">
      <c r="B8" s="15" t="s">
        <v>44</v>
      </c>
      <c r="C8" s="13"/>
      <c r="D8" s="13"/>
      <c r="E8" s="16">
        <v>4.7477</v>
      </c>
      <c r="F8" s="14">
        <f t="shared" si="0"/>
        <v>0.94954000000000005</v>
      </c>
      <c r="H8" s="15" t="s">
        <v>51</v>
      </c>
      <c r="I8" s="13"/>
      <c r="J8" s="13"/>
      <c r="K8" s="17"/>
      <c r="M8" s="15" t="s">
        <v>51</v>
      </c>
      <c r="N8" s="13"/>
      <c r="O8" s="13"/>
      <c r="P8" s="17"/>
      <c r="T8" s="13">
        <v>5</v>
      </c>
      <c r="U8" s="16">
        <v>4.7477</v>
      </c>
      <c r="V8" s="14">
        <f t="shared" si="3"/>
        <v>0.94954000000000005</v>
      </c>
      <c r="X8" s="13"/>
      <c r="Y8" s="13"/>
      <c r="Z8" s="17"/>
      <c r="AB8" s="13"/>
      <c r="AC8" s="13"/>
      <c r="AD8" s="17"/>
    </row>
    <row r="9" spans="2:30">
      <c r="B9" s="15" t="s">
        <v>52</v>
      </c>
      <c r="C9" s="13"/>
      <c r="D9" s="13"/>
      <c r="E9" s="16">
        <v>4.7644000000000002</v>
      </c>
      <c r="F9" s="14">
        <f t="shared" si="0"/>
        <v>0.95288000000000006</v>
      </c>
      <c r="H9" s="15" t="s">
        <v>54</v>
      </c>
      <c r="I9" s="13"/>
      <c r="J9" s="13"/>
      <c r="K9" s="17"/>
      <c r="M9" s="15" t="s">
        <v>61</v>
      </c>
      <c r="N9" s="13"/>
      <c r="O9" s="13"/>
      <c r="P9" s="17"/>
      <c r="T9" s="13">
        <v>5</v>
      </c>
      <c r="U9" s="16">
        <v>4.7644000000000002</v>
      </c>
      <c r="V9" s="14">
        <f t="shared" si="3"/>
        <v>0.95288000000000006</v>
      </c>
      <c r="W9" s="13" t="s">
        <v>40</v>
      </c>
      <c r="Y9" s="16">
        <f ca="1">AVERAGE(Y3:Y12)</f>
        <v>4.7327399999999997</v>
      </c>
      <c r="Z9" s="14">
        <f ca="1">Y9/5</f>
        <v>0.94654799999999994</v>
      </c>
      <c r="AA9" s="13" t="s">
        <v>40</v>
      </c>
      <c r="AC9" s="16">
        <f ca="1">AVERAGE(AC3:AC12)</f>
        <v>0.91299999999999992</v>
      </c>
      <c r="AD9" s="14">
        <f ca="1">AC9</f>
        <v>0.91299999999999992</v>
      </c>
    </row>
    <row r="10" spans="2:30">
      <c r="B10" s="15"/>
      <c r="C10" s="13"/>
      <c r="D10" s="13"/>
      <c r="E10" s="16">
        <v>4.7721999999999998</v>
      </c>
      <c r="F10" s="14">
        <f t="shared" si="0"/>
        <v>0.95443999999999996</v>
      </c>
      <c r="H10" s="15"/>
      <c r="I10" s="13"/>
      <c r="J10" s="13"/>
      <c r="K10" s="17"/>
      <c r="M10" s="15"/>
      <c r="N10" s="13"/>
      <c r="O10" s="13"/>
      <c r="P10" s="17"/>
      <c r="T10" s="13">
        <v>5</v>
      </c>
      <c r="U10" s="16">
        <v>4.7721999999999998</v>
      </c>
      <c r="V10" s="14">
        <f t="shared" si="3"/>
        <v>0.95443999999999996</v>
      </c>
      <c r="W10" s="13" t="s">
        <v>27</v>
      </c>
      <c r="Y10" s="16">
        <f ca="1">_xlfn.STDEV.S(Y3:Y12)</f>
        <v>5.9348967977548633E-3</v>
      </c>
      <c r="Z10" s="16">
        <f ca="1">_xlfn.STDEV.S(Z3:Z12)</f>
        <v>1.1869793595509818E-3</v>
      </c>
      <c r="AA10" s="13" t="s">
        <v>27</v>
      </c>
      <c r="AC10" s="16">
        <f ca="1">_xlfn.STDEV.S(AC3:AC12)</f>
        <v>5.6546441090487513E-3</v>
      </c>
      <c r="AD10" s="16">
        <f>_xlfn.STDEV.S(AD3:AD7)</f>
        <v>5.6546441090487513E-3</v>
      </c>
    </row>
    <row r="11" spans="2:30">
      <c r="B11" s="15"/>
      <c r="C11" s="13"/>
      <c r="D11" s="13"/>
      <c r="E11" s="16">
        <v>4.7735000000000003</v>
      </c>
      <c r="F11" s="14">
        <f t="shared" si="0"/>
        <v>0.9547000000000001</v>
      </c>
      <c r="H11" s="15"/>
      <c r="I11" s="13"/>
      <c r="J11" s="13"/>
      <c r="K11" s="17"/>
      <c r="M11" s="15"/>
      <c r="N11" s="13"/>
      <c r="O11" s="13"/>
      <c r="P11" s="17"/>
      <c r="T11" s="13">
        <v>5</v>
      </c>
      <c r="U11" s="16">
        <v>4.7735000000000003</v>
      </c>
      <c r="V11" s="14">
        <f t="shared" si="3"/>
        <v>0.9547000000000001</v>
      </c>
      <c r="W11" s="19" t="s">
        <v>41</v>
      </c>
      <c r="Y11" s="20">
        <f>Y3-Y6</f>
        <v>1.4499999999999957E-2</v>
      </c>
      <c r="Z11" s="20">
        <f>Z3-Z6</f>
        <v>2.9000000000000137E-3</v>
      </c>
      <c r="AA11" s="19" t="s">
        <v>41</v>
      </c>
      <c r="AC11" s="20">
        <f>ABS(AC7-AC5)</f>
        <v>1.3899999999999912E-2</v>
      </c>
      <c r="AD11" s="20">
        <f>ABS(AD7-AD5)</f>
        <v>1.3899999999999912E-2</v>
      </c>
    </row>
    <row r="12" spans="2:30">
      <c r="B12" s="15"/>
      <c r="C12" s="13"/>
      <c r="D12" s="13"/>
      <c r="E12" s="16">
        <v>4.7760999999999996</v>
      </c>
      <c r="F12" s="14">
        <f t="shared" si="0"/>
        <v>0.95521999999999996</v>
      </c>
      <c r="H12" s="15"/>
      <c r="I12" s="13"/>
      <c r="J12" s="13"/>
      <c r="K12" s="17"/>
      <c r="M12" s="15"/>
      <c r="N12" s="23"/>
      <c r="O12" s="13"/>
      <c r="P12" s="17"/>
      <c r="T12" s="13">
        <v>5</v>
      </c>
      <c r="U12" s="16">
        <v>4.7760999999999996</v>
      </c>
      <c r="V12" s="14">
        <f t="shared" si="3"/>
        <v>0.95521999999999996</v>
      </c>
      <c r="X12" s="23"/>
      <c r="Y12" s="13"/>
      <c r="Z12" s="17"/>
      <c r="AB12" s="13"/>
      <c r="AC12" s="13"/>
      <c r="AD12" s="17"/>
    </row>
    <row r="13" spans="2:30">
      <c r="B13" s="15"/>
      <c r="C13" s="13"/>
      <c r="D13" s="13"/>
      <c r="E13" s="13"/>
      <c r="F13" s="14"/>
      <c r="H13" s="15"/>
      <c r="I13" s="13"/>
      <c r="J13" s="13"/>
      <c r="K13" s="17"/>
      <c r="M13" s="24"/>
      <c r="N13" s="13"/>
      <c r="O13" s="13"/>
      <c r="P13" s="17"/>
      <c r="T13" s="13"/>
      <c r="U13" s="13"/>
      <c r="V13" s="14"/>
      <c r="X13" s="13"/>
      <c r="Y13" s="13"/>
      <c r="Z13" s="17"/>
      <c r="AB13" s="13"/>
      <c r="AC13" s="13"/>
      <c r="AD13" s="17"/>
    </row>
    <row r="14" spans="2:30">
      <c r="B14" s="15"/>
      <c r="C14" s="13"/>
      <c r="D14" s="13" t="s">
        <v>40</v>
      </c>
      <c r="E14" s="16">
        <f>AVERAGE(E3:E12)</f>
        <v>4.7647899999999996</v>
      </c>
      <c r="F14" s="14">
        <f t="shared" si="0"/>
        <v>0.95295799999999997</v>
      </c>
      <c r="H14" s="15"/>
      <c r="I14" s="13" t="s">
        <v>40</v>
      </c>
      <c r="J14" s="16">
        <f>AVERAGE(J3:J12)</f>
        <v>0.91299999999999992</v>
      </c>
      <c r="K14" s="14">
        <f>J14</f>
        <v>0.91299999999999992</v>
      </c>
      <c r="M14" s="15"/>
      <c r="N14" s="13" t="s">
        <v>40</v>
      </c>
      <c r="O14" s="16">
        <f>AVERAGE(O3:O12)</f>
        <v>4.7327399999999997</v>
      </c>
      <c r="P14" s="14">
        <f t="shared" ref="P14" si="6">O14/5</f>
        <v>0.94654799999999994</v>
      </c>
      <c r="S14" s="13" t="s">
        <v>40</v>
      </c>
      <c r="U14" s="16">
        <f>AVERAGE(U3:U12)</f>
        <v>4.7647899999999996</v>
      </c>
      <c r="V14" s="14">
        <f t="shared" ref="V14" si="7">U14/5</f>
        <v>0.95295799999999997</v>
      </c>
    </row>
    <row r="15" spans="2:30">
      <c r="B15" s="15"/>
      <c r="C15" s="13"/>
      <c r="D15" s="13" t="s">
        <v>27</v>
      </c>
      <c r="E15" s="16">
        <f>_xlfn.STDEV.S(E3:E12)</f>
        <v>1.368067980767022E-2</v>
      </c>
      <c r="F15" s="16">
        <f>_xlfn.STDEV.S(F3:F12)</f>
        <v>2.7361359615340436E-3</v>
      </c>
      <c r="H15" s="15"/>
      <c r="I15" s="13" t="s">
        <v>27</v>
      </c>
      <c r="J15" s="16">
        <f>_xlfn.STDEV.S(J3:J12)</f>
        <v>5.6546441090487513E-3</v>
      </c>
      <c r="K15" s="16">
        <f>_xlfn.STDEV.S(K3:K7)</f>
        <v>5.6546441090487513E-3</v>
      </c>
      <c r="M15" s="15"/>
      <c r="N15" s="13" t="s">
        <v>27</v>
      </c>
      <c r="O15" s="16">
        <f>_xlfn.STDEV.S(O3:O12)</f>
        <v>5.9348967977548633E-3</v>
      </c>
      <c r="P15" s="16">
        <f>_xlfn.STDEV.S(P3:P12)</f>
        <v>1.1869793595509818E-3</v>
      </c>
      <c r="S15" s="13" t="s">
        <v>27</v>
      </c>
      <c r="U15" s="16">
        <f>_xlfn.STDEV.S(U3:U12)</f>
        <v>1.368067980767022E-2</v>
      </c>
      <c r="V15" s="16">
        <f>_xlfn.STDEV.S(V3:V12)</f>
        <v>2.7361359615340436E-3</v>
      </c>
    </row>
    <row r="16" spans="2:30">
      <c r="B16" s="18"/>
      <c r="C16" s="19"/>
      <c r="D16" s="19" t="s">
        <v>41</v>
      </c>
      <c r="E16" s="20">
        <f>E3-E8</f>
        <v>4.3599999999999639E-2</v>
      </c>
      <c r="F16" s="21"/>
      <c r="H16" s="18"/>
      <c r="I16" s="19" t="s">
        <v>41</v>
      </c>
      <c r="J16" s="20">
        <f>ABS(J7-J5)</f>
        <v>1.3899999999999912E-2</v>
      </c>
      <c r="K16" s="21"/>
      <c r="M16" s="18"/>
      <c r="N16" s="19" t="s">
        <v>41</v>
      </c>
      <c r="O16" s="20">
        <f>O3-O6</f>
        <v>1.4499999999999957E-2</v>
      </c>
      <c r="P16" s="21"/>
      <c r="S16" s="19" t="s">
        <v>41</v>
      </c>
      <c r="U16" s="20">
        <f>U3-U8</f>
        <v>4.3599999999999639E-2</v>
      </c>
      <c r="V16" s="20">
        <f>V3-V8</f>
        <v>8.719999999999839E-3</v>
      </c>
    </row>
    <row r="19" spans="2:27">
      <c r="B19" t="s">
        <v>58</v>
      </c>
      <c r="L19" t="s">
        <v>65</v>
      </c>
    </row>
    <row r="20" spans="2:27">
      <c r="N20" s="4"/>
    </row>
    <row r="21" spans="2:27">
      <c r="B21" t="s">
        <v>57</v>
      </c>
      <c r="C21" t="s">
        <v>59</v>
      </c>
      <c r="E21" t="s">
        <v>57</v>
      </c>
      <c r="F21" s="9">
        <v>44816</v>
      </c>
      <c r="G21" s="9">
        <v>44830</v>
      </c>
      <c r="H21" s="9">
        <v>44838</v>
      </c>
      <c r="I21" s="9">
        <v>44840</v>
      </c>
      <c r="J21" s="9">
        <v>44844</v>
      </c>
      <c r="L21" s="9">
        <v>4.0599999999999996</v>
      </c>
      <c r="N21" s="4"/>
    </row>
    <row r="22" spans="2:27">
      <c r="B22" s="9">
        <v>44816</v>
      </c>
      <c r="C22">
        <v>0.61580000000000001</v>
      </c>
      <c r="E22" t="s">
        <v>60</v>
      </c>
      <c r="F22">
        <v>0.61580000000000001</v>
      </c>
      <c r="G22">
        <v>0.67649999999999999</v>
      </c>
      <c r="H22">
        <v>0.71840000000000004</v>
      </c>
      <c r="I22">
        <v>0.71560000000000001</v>
      </c>
      <c r="J22">
        <v>0.72919999999999996</v>
      </c>
      <c r="L22">
        <v>4.07</v>
      </c>
      <c r="N22" s="4"/>
    </row>
    <row r="23" spans="2:27">
      <c r="B23" s="9">
        <v>44830</v>
      </c>
      <c r="C23">
        <v>0.67649999999999999</v>
      </c>
      <c r="H23">
        <v>0.70920000000000005</v>
      </c>
      <c r="J23">
        <v>0.6925</v>
      </c>
      <c r="N23" s="4"/>
    </row>
    <row r="24" spans="2:27">
      <c r="B24" s="9">
        <v>44838</v>
      </c>
      <c r="C24">
        <f>AVERAGE(H22:H23)</f>
        <v>0.71379999999999999</v>
      </c>
      <c r="J24">
        <v>0.70430000000000004</v>
      </c>
      <c r="N24" s="4"/>
    </row>
    <row r="25" spans="2:27">
      <c r="B25" s="9">
        <v>44840</v>
      </c>
      <c r="C25">
        <v>0.71560000000000001</v>
      </c>
      <c r="J25">
        <v>0.70820000000000005</v>
      </c>
    </row>
    <row r="26" spans="2:27">
      <c r="B26" s="9">
        <v>44844</v>
      </c>
      <c r="C26">
        <f>AVERAGE(J22:J26)</f>
        <v>0.70950000000000002</v>
      </c>
      <c r="J26">
        <v>0.71330000000000005</v>
      </c>
    </row>
    <row r="28" spans="2:27">
      <c r="N28" s="4"/>
    </row>
    <row r="29" spans="2:27">
      <c r="B29" s="22">
        <v>44844</v>
      </c>
      <c r="C29" s="11"/>
      <c r="D29" s="11" t="s">
        <v>55</v>
      </c>
      <c r="E29" s="12" t="s">
        <v>56</v>
      </c>
      <c r="G29" s="22">
        <v>44844</v>
      </c>
      <c r="H29" s="11"/>
      <c r="I29" s="11" t="s">
        <v>55</v>
      </c>
      <c r="J29" s="12" t="s">
        <v>56</v>
      </c>
      <c r="T29" s="26" t="s">
        <v>71</v>
      </c>
      <c r="U29" s="26" t="s">
        <v>72</v>
      </c>
      <c r="V29" s="26" t="s">
        <v>73</v>
      </c>
      <c r="Y29" s="26" t="s">
        <v>71</v>
      </c>
      <c r="Z29" s="26" t="s">
        <v>72</v>
      </c>
      <c r="AA29" s="26" t="s">
        <v>73</v>
      </c>
    </row>
    <row r="30" spans="2:27">
      <c r="B30" s="15" t="s">
        <v>47</v>
      </c>
      <c r="C30" s="13"/>
      <c r="D30" s="13">
        <v>5.0298999999999996</v>
      </c>
      <c r="E30" s="14">
        <f>D30/5</f>
        <v>1.0059799999999999</v>
      </c>
      <c r="G30" s="15" t="s">
        <v>47</v>
      </c>
      <c r="H30" s="13"/>
      <c r="I30" s="13">
        <v>1.0077</v>
      </c>
      <c r="J30" s="14">
        <f>I30</f>
        <v>1.0077</v>
      </c>
      <c r="T30" s="26">
        <v>5</v>
      </c>
      <c r="U30" s="27">
        <v>5.0298999999999996</v>
      </c>
      <c r="V30" s="28">
        <f>U30/5</f>
        <v>1.0059799999999999</v>
      </c>
      <c r="Y30" s="26">
        <v>1</v>
      </c>
      <c r="Z30" s="27">
        <v>1.0077</v>
      </c>
      <c r="AA30" s="28">
        <f>Z30</f>
        <v>1.0077</v>
      </c>
    </row>
    <row r="31" spans="2:27">
      <c r="B31" s="15" t="s">
        <v>48</v>
      </c>
      <c r="C31" s="13"/>
      <c r="D31" s="25">
        <v>4.9846000000000004</v>
      </c>
      <c r="E31" s="14">
        <f t="shared" ref="E31:E34" si="8">D31/5</f>
        <v>0.99692000000000003</v>
      </c>
      <c r="G31" s="15" t="s">
        <v>64</v>
      </c>
      <c r="H31" s="13"/>
      <c r="I31" s="13">
        <v>0.99509999999999998</v>
      </c>
      <c r="J31" s="14">
        <f t="shared" ref="J31:J34" si="9">I31</f>
        <v>0.99509999999999998</v>
      </c>
      <c r="T31" s="26">
        <v>5</v>
      </c>
      <c r="U31" s="27">
        <v>4.9846000000000004</v>
      </c>
      <c r="V31" s="28">
        <f t="shared" ref="V31:V34" si="10">U31/5</f>
        <v>0.99692000000000003</v>
      </c>
      <c r="Y31" s="26">
        <v>1</v>
      </c>
      <c r="Z31" s="27">
        <v>0.99509999999999998</v>
      </c>
      <c r="AA31" s="28">
        <f t="shared" ref="AA31:AA34" si="11">Z31</f>
        <v>0.99509999999999998</v>
      </c>
    </row>
    <row r="32" spans="2:27">
      <c r="B32" s="15" t="s">
        <v>62</v>
      </c>
      <c r="C32" s="13"/>
      <c r="D32" s="13">
        <v>4.9969999999999999</v>
      </c>
      <c r="E32" s="14">
        <f t="shared" si="8"/>
        <v>0.99939999999999996</v>
      </c>
      <c r="G32" s="15" t="s">
        <v>62</v>
      </c>
      <c r="H32" s="13"/>
      <c r="I32" s="13">
        <v>0.99829999999999997</v>
      </c>
      <c r="J32" s="14">
        <f t="shared" si="9"/>
        <v>0.99829999999999997</v>
      </c>
      <c r="T32" s="26">
        <v>5</v>
      </c>
      <c r="U32" s="27">
        <v>4.9969999999999999</v>
      </c>
      <c r="V32" s="28">
        <f t="shared" si="10"/>
        <v>0.99939999999999996</v>
      </c>
      <c r="Y32" s="26">
        <v>1</v>
      </c>
      <c r="Z32" s="27">
        <v>0.99829999999999997</v>
      </c>
      <c r="AA32" s="28">
        <f t="shared" si="11"/>
        <v>0.99829999999999997</v>
      </c>
    </row>
    <row r="33" spans="2:27">
      <c r="B33" s="15" t="s">
        <v>63</v>
      </c>
      <c r="C33" s="13"/>
      <c r="D33" s="13">
        <v>5.0023999999999997</v>
      </c>
      <c r="E33" s="14">
        <f t="shared" si="8"/>
        <v>1.00048</v>
      </c>
      <c r="G33" s="15" t="s">
        <v>64</v>
      </c>
      <c r="H33" s="13"/>
      <c r="I33" s="13">
        <v>0.99570000000000003</v>
      </c>
      <c r="J33" s="14">
        <f t="shared" si="9"/>
        <v>0.99570000000000003</v>
      </c>
      <c r="O33" s="9"/>
      <c r="T33" s="26">
        <v>5</v>
      </c>
      <c r="U33" s="27">
        <v>5.0023999999999997</v>
      </c>
      <c r="V33" s="28">
        <f t="shared" si="10"/>
        <v>1.00048</v>
      </c>
      <c r="Y33" s="26">
        <v>1</v>
      </c>
      <c r="Z33" s="27">
        <v>0.99570000000000003</v>
      </c>
      <c r="AA33" s="28">
        <f t="shared" si="11"/>
        <v>0.99570000000000003</v>
      </c>
    </row>
    <row r="34" spans="2:27">
      <c r="B34" s="15"/>
      <c r="C34" s="13"/>
      <c r="D34" s="16">
        <v>4.9912999999999998</v>
      </c>
      <c r="E34" s="14">
        <f t="shared" si="8"/>
        <v>0.99825999999999993</v>
      </c>
      <c r="G34" s="15"/>
      <c r="H34" s="13"/>
      <c r="I34" s="16">
        <v>0.99629999999999996</v>
      </c>
      <c r="J34" s="14">
        <f t="shared" si="9"/>
        <v>0.99629999999999996</v>
      </c>
      <c r="T34" s="26">
        <v>5</v>
      </c>
      <c r="U34" s="29">
        <v>4.9912999999999998</v>
      </c>
      <c r="V34" s="28">
        <f t="shared" si="10"/>
        <v>0.99825999999999993</v>
      </c>
      <c r="Y34" s="26">
        <v>1</v>
      </c>
      <c r="Z34" s="29">
        <v>0.99629999999999996</v>
      </c>
      <c r="AA34" s="28">
        <f t="shared" si="11"/>
        <v>0.99629999999999996</v>
      </c>
    </row>
    <row r="35" spans="2:27">
      <c r="B35" s="15"/>
      <c r="C35" s="13"/>
      <c r="D35" s="13"/>
      <c r="E35" s="17"/>
      <c r="G35" s="15"/>
      <c r="H35" s="13"/>
      <c r="I35" s="13"/>
      <c r="J35" s="17"/>
    </row>
    <row r="36" spans="2:27">
      <c r="B36" s="15"/>
      <c r="C36" s="13"/>
      <c r="D36" s="13"/>
      <c r="E36" s="17"/>
      <c r="G36" s="15"/>
      <c r="H36" s="13"/>
      <c r="I36" s="13"/>
      <c r="J36" s="17"/>
      <c r="S36" t="s">
        <v>40</v>
      </c>
      <c r="U36" s="4">
        <v>5.0010399999999997</v>
      </c>
      <c r="V36" s="4">
        <v>1.000208</v>
      </c>
      <c r="X36" t="s">
        <v>40</v>
      </c>
      <c r="Z36">
        <v>0.99862000000000006</v>
      </c>
      <c r="AA36">
        <v>0.99862000000000006</v>
      </c>
    </row>
    <row r="37" spans="2:27">
      <c r="B37" s="15"/>
      <c r="C37" s="13"/>
      <c r="D37" s="13"/>
      <c r="E37" s="17"/>
      <c r="G37" s="15"/>
      <c r="H37" s="13"/>
      <c r="I37" s="13"/>
      <c r="J37" s="17"/>
      <c r="S37" t="s">
        <v>27</v>
      </c>
      <c r="U37" s="4">
        <v>1.7437115587160393E-2</v>
      </c>
      <c r="V37" s="4">
        <v>3.48742311743208E-3</v>
      </c>
      <c r="X37" t="s">
        <v>27</v>
      </c>
      <c r="Z37">
        <v>5.2165122447858023E-3</v>
      </c>
      <c r="AA37">
        <v>5.2165122447858023E-3</v>
      </c>
    </row>
    <row r="38" spans="2:27">
      <c r="B38" s="15"/>
      <c r="C38" s="13"/>
      <c r="D38" s="13"/>
      <c r="E38" s="17"/>
      <c r="G38" s="15"/>
      <c r="H38" s="13"/>
      <c r="I38" s="13"/>
      <c r="J38" s="17"/>
      <c r="S38" t="s">
        <v>41</v>
      </c>
      <c r="U38" s="4">
        <v>2.7499999999999858E-2</v>
      </c>
      <c r="V38" s="4">
        <f>V30-V34</f>
        <v>7.7199999999999491E-3</v>
      </c>
      <c r="X38" t="s">
        <v>41</v>
      </c>
      <c r="Z38">
        <v>1.2000000000000011E-2</v>
      </c>
      <c r="AA38" s="4">
        <f>AA30-AA31</f>
        <v>1.2600000000000056E-2</v>
      </c>
    </row>
    <row r="39" spans="2:27">
      <c r="B39" s="15"/>
      <c r="C39" s="23"/>
      <c r="D39" s="13"/>
      <c r="E39" s="17"/>
      <c r="G39" s="15"/>
      <c r="H39" s="23"/>
      <c r="I39" s="13"/>
      <c r="J39" s="17"/>
    </row>
    <row r="40" spans="2:27">
      <c r="B40" s="24"/>
      <c r="C40" s="13"/>
      <c r="D40" s="13"/>
      <c r="E40" s="17"/>
      <c r="G40" s="24"/>
      <c r="H40" s="13"/>
      <c r="I40" s="13"/>
      <c r="J40" s="17"/>
      <c r="T40">
        <f>0.006*1</f>
        <v>6.0000000000000001E-3</v>
      </c>
    </row>
    <row r="41" spans="2:27">
      <c r="B41" s="15"/>
      <c r="C41" s="13" t="s">
        <v>40</v>
      </c>
      <c r="D41" s="16">
        <f>AVERAGE(D30:D39)</f>
        <v>5.0010399999999997</v>
      </c>
      <c r="E41" s="14">
        <f t="shared" ref="E41" si="12">D41/5</f>
        <v>1.000208</v>
      </c>
      <c r="G41" s="15"/>
      <c r="H41" s="13" t="s">
        <v>40</v>
      </c>
      <c r="I41" s="16">
        <f>AVERAGE(I30:I39)</f>
        <v>0.99862000000000006</v>
      </c>
      <c r="J41" s="14">
        <f>I41</f>
        <v>0.99862000000000006</v>
      </c>
      <c r="T41">
        <f>T40*5</f>
        <v>0.03</v>
      </c>
    </row>
    <row r="42" spans="2:27">
      <c r="B42" s="15"/>
      <c r="C42" s="13" t="s">
        <v>27</v>
      </c>
      <c r="D42" s="16">
        <f>_xlfn.STDEV.S(D30:D39)</f>
        <v>1.7437115587160393E-2</v>
      </c>
      <c r="E42" s="16">
        <f>_xlfn.STDEV.S(E30:E39)</f>
        <v>3.48742311743208E-3</v>
      </c>
      <c r="G42" s="15"/>
      <c r="H42" s="13" t="s">
        <v>27</v>
      </c>
      <c r="I42" s="16">
        <f>_xlfn.STDEV.S(I30:I39)</f>
        <v>5.2165122447858023E-3</v>
      </c>
      <c r="J42" s="16">
        <f>_xlfn.STDEV.S(J30:J39)</f>
        <v>5.2165122447858023E-3</v>
      </c>
    </row>
    <row r="43" spans="2:27">
      <c r="B43" s="18"/>
      <c r="C43" s="19" t="s">
        <v>41</v>
      </c>
      <c r="D43" s="20">
        <f>D30-D33</f>
        <v>2.7499999999999858E-2</v>
      </c>
      <c r="E43" s="21"/>
      <c r="G43" s="18"/>
      <c r="H43" s="19" t="s">
        <v>41</v>
      </c>
      <c r="I43" s="20">
        <f>I30-I33</f>
        <v>1.2000000000000011E-2</v>
      </c>
      <c r="J43" s="21"/>
    </row>
    <row r="44" spans="2:27">
      <c r="S44" t="s">
        <v>57</v>
      </c>
      <c r="T44" s="9">
        <v>44816</v>
      </c>
      <c r="U44" s="9">
        <v>44830</v>
      </c>
      <c r="V44" s="9">
        <v>44838</v>
      </c>
      <c r="W44" s="9">
        <v>44840</v>
      </c>
      <c r="X44" s="9">
        <v>44844</v>
      </c>
    </row>
    <row r="45" spans="2:27">
      <c r="S45" s="32" t="s">
        <v>74</v>
      </c>
      <c r="T45">
        <v>0.61580000000000001</v>
      </c>
      <c r="U45">
        <v>0.67649999999999999</v>
      </c>
      <c r="V45">
        <v>0.71840000000000004</v>
      </c>
      <c r="W45">
        <v>0.71560000000000001</v>
      </c>
      <c r="X45">
        <v>0.72919999999999996</v>
      </c>
    </row>
    <row r="46" spans="2:27">
      <c r="S46" s="32"/>
      <c r="V46">
        <v>0.70920000000000005</v>
      </c>
      <c r="X46">
        <v>0.6925</v>
      </c>
    </row>
    <row r="47" spans="2:27">
      <c r="S47" s="32"/>
      <c r="X47">
        <v>0.70430000000000004</v>
      </c>
    </row>
    <row r="48" spans="2:27">
      <c r="S48" s="32"/>
      <c r="X48">
        <v>0.70820000000000005</v>
      </c>
    </row>
    <row r="49" spans="19:24">
      <c r="S49" s="32"/>
      <c r="X49">
        <v>0.71330000000000005</v>
      </c>
    </row>
    <row r="50" spans="19:24">
      <c r="S50" t="s">
        <v>75</v>
      </c>
      <c r="T50">
        <f>AVERAGE(T45)</f>
        <v>0.61580000000000001</v>
      </c>
      <c r="U50">
        <f t="shared" ref="U50:W50" si="13">AVERAGE(U45)</f>
        <v>0.67649999999999999</v>
      </c>
      <c r="V50">
        <f>AVERAGE(V45:V46)</f>
        <v>0.71379999999999999</v>
      </c>
      <c r="W50">
        <f t="shared" si="13"/>
        <v>0.71560000000000001</v>
      </c>
      <c r="X50">
        <f>AVERAGE(X45:X49)</f>
        <v>0.70950000000000002</v>
      </c>
    </row>
    <row r="51" spans="19:24">
      <c r="S51" t="s">
        <v>27</v>
      </c>
      <c r="V51" s="4">
        <f>_xlfn.STDEV.P(V45:V49)</f>
        <v>4.599999999999993E-3</v>
      </c>
      <c r="X51" s="4">
        <f>_xlfn.STDEV.P(X45:X49)</f>
        <v>1.2002166471100107E-2</v>
      </c>
    </row>
  </sheetData>
  <mergeCells count="1">
    <mergeCell ref="S45:S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Measurement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2023-01-11T23:58:53Z</dcterms:modified>
</cp:coreProperties>
</file>