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SUS\Documents\NP MOT Stuff\POLY\Y2\Y2S2\IRP4\Project\Chua Li Ting_Shakthikumaran_IRP4 Final Project\"/>
    </mc:Choice>
  </mc:AlternateContent>
  <xr:revisionPtr revIDLastSave="0" documentId="13_ncr:1_{F7F68F80-EA9A-4911-9DA4-04DA3BA9A5D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1. Engineering" sheetId="4" r:id="rId1"/>
    <sheet name="2_HFO Tank dimensions" sheetId="5" r:id="rId2"/>
    <sheet name="3_Mass of FO" sheetId="2" r:id="rId3"/>
    <sheet name="4_Thermal Insulation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E33" i="2" s="1"/>
  <c r="E34" i="2" s="1"/>
  <c r="E30" i="2"/>
  <c r="E10" i="2"/>
  <c r="E15" i="4"/>
  <c r="E11" i="2" s="1"/>
  <c r="E13" i="4"/>
  <c r="E5" i="4"/>
  <c r="E7" i="4" s="1"/>
  <c r="E16" i="4" s="1"/>
  <c r="E13" i="2"/>
  <c r="E23" i="4" l="1"/>
  <c r="N21" i="7"/>
  <c r="N18" i="7"/>
  <c r="N17" i="7"/>
  <c r="N20" i="7" s="1"/>
  <c r="L17" i="7"/>
  <c r="O5" i="7"/>
  <c r="Q21" i="7" s="1"/>
  <c r="L5" i="7"/>
  <c r="L22" i="7" s="1"/>
  <c r="E9" i="7"/>
  <c r="E19" i="7" s="1"/>
  <c r="E22" i="7"/>
  <c r="O17" i="7" s="1"/>
  <c r="E20" i="7"/>
  <c r="E6" i="7"/>
  <c r="Q17" i="7" s="1"/>
  <c r="E4" i="7"/>
  <c r="N5" i="7" s="1"/>
  <c r="P22" i="7" s="1"/>
  <c r="O22" i="7" l="1"/>
  <c r="O21" i="7"/>
  <c r="O20" i="7"/>
  <c r="O19" i="7"/>
  <c r="O18" i="7"/>
  <c r="N22" i="7"/>
  <c r="P17" i="7"/>
  <c r="N19" i="7"/>
  <c r="E10" i="7"/>
  <c r="M17" i="7" s="1"/>
  <c r="L7" i="7"/>
  <c r="L9" i="7"/>
  <c r="N7" i="7"/>
  <c r="N9" i="7"/>
  <c r="O7" i="7"/>
  <c r="O9" i="7"/>
  <c r="Q18" i="7"/>
  <c r="L19" i="7"/>
  <c r="P19" i="7"/>
  <c r="Q20" i="7"/>
  <c r="L21" i="7"/>
  <c r="P21" i="7"/>
  <c r="Q22" i="7"/>
  <c r="L6" i="7"/>
  <c r="L8" i="7"/>
  <c r="L10" i="7"/>
  <c r="N6" i="7"/>
  <c r="N8" i="7"/>
  <c r="N10" i="7"/>
  <c r="O6" i="7"/>
  <c r="O8" i="7"/>
  <c r="O10" i="7"/>
  <c r="L18" i="7"/>
  <c r="P18" i="7"/>
  <c r="Q19" i="7"/>
  <c r="L20" i="7"/>
  <c r="P20" i="7"/>
  <c r="E7" i="7"/>
  <c r="E23" i="2"/>
  <c r="E21" i="4"/>
  <c r="E22" i="4" s="1"/>
  <c r="C12" i="5"/>
  <c r="C29" i="5" s="1"/>
  <c r="C11" i="5"/>
  <c r="C28" i="5" s="1"/>
  <c r="E24" i="4" l="1"/>
  <c r="M5" i="7"/>
  <c r="M19" i="7" s="1"/>
  <c r="C13" i="5"/>
  <c r="C30" i="5" s="1"/>
  <c r="I10" i="7" s="1"/>
  <c r="D8" i="5"/>
  <c r="D25" i="5" s="1"/>
  <c r="J5" i="7" s="1"/>
  <c r="J17" i="7" s="1"/>
  <c r="D9" i="5"/>
  <c r="D26" i="5" s="1"/>
  <c r="J6" i="7" s="1"/>
  <c r="J18" i="7" s="1"/>
  <c r="C8" i="5"/>
  <c r="C25" i="5" s="1"/>
  <c r="I5" i="7" s="1"/>
  <c r="C9" i="5"/>
  <c r="C26" i="5" s="1"/>
  <c r="I6" i="7" s="1"/>
  <c r="C10" i="5"/>
  <c r="C27" i="5" s="1"/>
  <c r="I7" i="7" s="1"/>
  <c r="I8" i="7"/>
  <c r="I9" i="7"/>
  <c r="M21" i="7"/>
  <c r="M6" i="7"/>
  <c r="M9" i="7"/>
  <c r="J12" i="5"/>
  <c r="I11" i="5"/>
  <c r="E9" i="2" l="1"/>
  <c r="E12" i="2" s="1"/>
  <c r="E28" i="4"/>
  <c r="E27" i="4"/>
  <c r="E34" i="4"/>
  <c r="E30" i="4"/>
  <c r="E26" i="4"/>
  <c r="E32" i="4"/>
  <c r="I9" i="5"/>
  <c r="M20" i="7"/>
  <c r="M10" i="7"/>
  <c r="M7" i="7"/>
  <c r="M18" i="7"/>
  <c r="M22" i="7"/>
  <c r="M8" i="7"/>
  <c r="I8" i="5"/>
  <c r="I10" i="5"/>
  <c r="J13" i="5"/>
  <c r="I13" i="5"/>
  <c r="G8" i="5"/>
  <c r="O8" i="5" s="1"/>
  <c r="J8" i="5"/>
  <c r="J11" i="5"/>
  <c r="J9" i="5"/>
  <c r="F26" i="5"/>
  <c r="F25" i="5"/>
  <c r="G9" i="5"/>
  <c r="G26" i="5"/>
  <c r="G25" i="5"/>
  <c r="I22" i="7"/>
  <c r="I20" i="7"/>
  <c r="K6" i="7"/>
  <c r="P6" i="7" s="1"/>
  <c r="I18" i="7"/>
  <c r="K18" i="7" s="1"/>
  <c r="R18" i="7" s="1"/>
  <c r="I21" i="7"/>
  <c r="I19" i="7"/>
  <c r="I17" i="7"/>
  <c r="K17" i="7" s="1"/>
  <c r="R17" i="7" s="1"/>
  <c r="K5" i="7"/>
  <c r="P5" i="7" s="1"/>
  <c r="N33" i="7"/>
  <c r="M33" i="7"/>
  <c r="N32" i="7"/>
  <c r="M32" i="7"/>
  <c r="E14" i="2" l="1"/>
  <c r="E16" i="2" s="1"/>
  <c r="E24" i="2"/>
  <c r="E26" i="2" s="1"/>
  <c r="E18" i="2"/>
  <c r="D12" i="5"/>
  <c r="D29" i="5" s="1"/>
  <c r="D10" i="5"/>
  <c r="D27" i="5" s="1"/>
  <c r="D11" i="5"/>
  <c r="D28" i="5" s="1"/>
  <c r="D13" i="5"/>
  <c r="D30" i="5" s="1"/>
  <c r="N8" i="5"/>
  <c r="N9" i="5"/>
  <c r="M8" i="5"/>
  <c r="M9" i="5"/>
  <c r="G11" i="5" l="1"/>
  <c r="M11" i="5" s="1"/>
  <c r="K12" i="5"/>
  <c r="G10" i="5"/>
  <c r="N10" i="5" s="1"/>
  <c r="G12" i="5"/>
  <c r="N12" i="5" s="1"/>
  <c r="K9" i="5"/>
  <c r="O9" i="5" s="1"/>
  <c r="K11" i="5"/>
  <c r="K10" i="5"/>
  <c r="K13" i="5"/>
  <c r="G13" i="5"/>
  <c r="N13" i="5" s="1"/>
  <c r="J8" i="7"/>
  <c r="G28" i="5"/>
  <c r="F28" i="5"/>
  <c r="J10" i="7"/>
  <c r="G30" i="5"/>
  <c r="F30" i="5"/>
  <c r="J9" i="7"/>
  <c r="G29" i="5"/>
  <c r="F29" i="5"/>
  <c r="J7" i="7"/>
  <c r="G27" i="5"/>
  <c r="F27" i="5"/>
  <c r="N11" i="5" l="1"/>
  <c r="N15" i="5" s="1"/>
  <c r="O11" i="5"/>
  <c r="O12" i="5"/>
  <c r="O10" i="5"/>
  <c r="M10" i="5"/>
  <c r="M12" i="5"/>
  <c r="O13" i="5"/>
  <c r="M13" i="5"/>
  <c r="G15" i="5"/>
  <c r="E5" i="2" s="1"/>
  <c r="E7" i="2" s="1"/>
  <c r="F32" i="5"/>
  <c r="G33" i="5"/>
  <c r="J21" i="7"/>
  <c r="K21" i="7" s="1"/>
  <c r="R21" i="7" s="1"/>
  <c r="M36" i="7"/>
  <c r="K9" i="7"/>
  <c r="P9" i="7" s="1"/>
  <c r="N36" i="7"/>
  <c r="J19" i="7"/>
  <c r="K19" i="7" s="1"/>
  <c r="R19" i="7" s="1"/>
  <c r="N34" i="7"/>
  <c r="M34" i="7"/>
  <c r="K7" i="7"/>
  <c r="P7" i="7" s="1"/>
  <c r="J22" i="7"/>
  <c r="K22" i="7" s="1"/>
  <c r="R22" i="7" s="1"/>
  <c r="N37" i="7"/>
  <c r="M37" i="7"/>
  <c r="K10" i="7"/>
  <c r="P10" i="7" s="1"/>
  <c r="J20" i="7"/>
  <c r="K20" i="7" s="1"/>
  <c r="R20" i="7" s="1"/>
  <c r="N35" i="7"/>
  <c r="M35" i="7"/>
  <c r="K8" i="7"/>
  <c r="P8" i="7" s="1"/>
  <c r="O15" i="5" l="1"/>
  <c r="O18" i="5"/>
  <c r="N18" i="5"/>
  <c r="M15" i="5"/>
  <c r="M18" i="5" s="1"/>
  <c r="M39" i="7"/>
  <c r="R23" i="7"/>
  <c r="P11" i="7"/>
  <c r="N40" i="7"/>
</calcChain>
</file>

<file path=xl/sharedStrings.xml><?xml version="1.0" encoding="utf-8"?>
<sst xmlns="http://schemas.openxmlformats.org/spreadsheetml/2006/main" count="432" uniqueCount="207">
  <si>
    <t>Symbol</t>
  </si>
  <si>
    <t>(units)</t>
  </si>
  <si>
    <t>Remarks</t>
  </si>
  <si>
    <t>Engine rated power</t>
  </si>
  <si>
    <r>
      <t>P</t>
    </r>
    <r>
      <rPr>
        <i/>
        <vertAlign val="subscript"/>
        <sz val="12"/>
        <color theme="1"/>
        <rFont val="Times New Roman"/>
        <family val="1"/>
      </rPr>
      <t>ME</t>
    </r>
  </si>
  <si>
    <t>=</t>
  </si>
  <si>
    <t>kW</t>
  </si>
  <si>
    <t>Specific fuel consumption</t>
  </si>
  <si>
    <t>sfc</t>
  </si>
  <si>
    <t>g/kW.h</t>
  </si>
  <si>
    <t>Hour capacity of settling tank</t>
  </si>
  <si>
    <t>t</t>
  </si>
  <si>
    <t>hr</t>
  </si>
  <si>
    <t>Fuel mass settling tank to hold</t>
  </si>
  <si>
    <r>
      <t>m</t>
    </r>
    <r>
      <rPr>
        <i/>
        <vertAlign val="subscript"/>
        <sz val="12"/>
        <color theme="1"/>
        <rFont val="Times New Roman"/>
        <family val="1"/>
      </rPr>
      <t>HFO</t>
    </r>
  </si>
  <si>
    <t>tonne</t>
  </si>
  <si>
    <t>Density of HFO</t>
  </si>
  <si>
    <t>ρ</t>
  </si>
  <si>
    <r>
      <t>kg/m</t>
    </r>
    <r>
      <rPr>
        <vertAlign val="superscript"/>
        <sz val="12"/>
        <color theme="1"/>
        <rFont val="Times New Roman"/>
        <family val="1"/>
      </rPr>
      <t>3</t>
    </r>
  </si>
  <si>
    <t>Quantity of HFO required</t>
  </si>
  <si>
    <r>
      <t>q</t>
    </r>
    <r>
      <rPr>
        <i/>
        <vertAlign val="subscript"/>
        <sz val="12"/>
        <color theme="1"/>
        <rFont val="Times New Roman"/>
        <family val="1"/>
      </rPr>
      <t>HFO</t>
    </r>
  </si>
  <si>
    <r>
      <t>m</t>
    </r>
    <r>
      <rPr>
        <vertAlign val="superscript"/>
        <sz val="12"/>
        <color theme="1"/>
        <rFont val="Times New Roman"/>
        <family val="1"/>
      </rPr>
      <t>3</t>
    </r>
  </si>
  <si>
    <t>Frame space (transverse) in ER</t>
  </si>
  <si>
    <r>
      <t>FS</t>
    </r>
    <r>
      <rPr>
        <i/>
        <vertAlign val="subscript"/>
        <sz val="12"/>
        <color theme="1"/>
        <rFont val="Times New Roman"/>
        <family val="1"/>
      </rPr>
      <t>_transv</t>
    </r>
  </si>
  <si>
    <t>mm</t>
  </si>
  <si>
    <t>based on GA</t>
  </si>
  <si>
    <t>Frame space (longitudinal) in ER</t>
  </si>
  <si>
    <r>
      <t>FS</t>
    </r>
    <r>
      <rPr>
        <i/>
        <vertAlign val="subscript"/>
        <sz val="12"/>
        <color theme="1"/>
        <rFont val="Times New Roman"/>
        <family val="1"/>
      </rPr>
      <t>_longi</t>
    </r>
  </si>
  <si>
    <t>based on ER structure</t>
  </si>
  <si>
    <t>No. of frames of HFO tank on the length</t>
  </si>
  <si>
    <r>
      <t>n</t>
    </r>
    <r>
      <rPr>
        <i/>
        <vertAlign val="subscript"/>
        <sz val="12"/>
        <color theme="1"/>
        <rFont val="Times New Roman"/>
        <family val="1"/>
      </rPr>
      <t>FS_length</t>
    </r>
  </si>
  <si>
    <t>Length of HFO tank</t>
  </si>
  <si>
    <r>
      <t>L</t>
    </r>
    <r>
      <rPr>
        <i/>
        <vertAlign val="subscript"/>
        <sz val="12"/>
        <color theme="1"/>
        <rFont val="Times New Roman"/>
        <family val="1"/>
      </rPr>
      <t>HFO_Tk</t>
    </r>
  </si>
  <si>
    <t>m</t>
  </si>
  <si>
    <t>No. of frames of HFO tank on the breadth</t>
  </si>
  <si>
    <r>
      <t>n</t>
    </r>
    <r>
      <rPr>
        <i/>
        <vertAlign val="subscript"/>
        <sz val="12"/>
        <color theme="1"/>
        <rFont val="Times New Roman"/>
        <family val="1"/>
      </rPr>
      <t>FS_breadth</t>
    </r>
  </si>
  <si>
    <t>Breadth of HFO tank</t>
  </si>
  <si>
    <r>
      <t>B</t>
    </r>
    <r>
      <rPr>
        <i/>
        <vertAlign val="subscript"/>
        <sz val="12"/>
        <color theme="1"/>
        <rFont val="Times New Roman"/>
        <family val="1"/>
      </rPr>
      <t>HFO_Tk</t>
    </r>
  </si>
  <si>
    <t>Preliminary level height (between 3 and 4)</t>
  </si>
  <si>
    <r>
      <t>H</t>
    </r>
    <r>
      <rPr>
        <i/>
        <vertAlign val="subscript"/>
        <sz val="12"/>
        <color theme="1"/>
        <rFont val="Times New Roman"/>
        <family val="1"/>
      </rPr>
      <t>HFO_Tk_prelim</t>
    </r>
  </si>
  <si>
    <t>HFO Tank level control</t>
  </si>
  <si>
    <t>High level, pump auto-stop (position 3)</t>
  </si>
  <si>
    <r>
      <t>z</t>
    </r>
    <r>
      <rPr>
        <i/>
        <vertAlign val="subscript"/>
        <sz val="12"/>
        <color theme="1"/>
        <rFont val="Times New Roman"/>
        <family val="1"/>
      </rPr>
      <t>3</t>
    </r>
  </si>
  <si>
    <t>of HFO Settling Tank</t>
  </si>
  <si>
    <t>Low level, pump auto-start (position 4)</t>
  </si>
  <si>
    <r>
      <t>z</t>
    </r>
    <r>
      <rPr>
        <i/>
        <vertAlign val="subscript"/>
        <sz val="12"/>
        <color theme="1"/>
        <rFont val="Times New Roman"/>
        <family val="1"/>
      </rPr>
      <t>4</t>
    </r>
  </si>
  <si>
    <t>Difference in % between pump auto cut-out, cut-in</t>
  </si>
  <si>
    <r>
      <t>z</t>
    </r>
    <r>
      <rPr>
        <i/>
        <vertAlign val="subscript"/>
        <sz val="12"/>
        <color theme="1"/>
        <rFont val="Times New Roman"/>
        <family val="1"/>
      </rPr>
      <t>3</t>
    </r>
    <r>
      <rPr>
        <i/>
        <sz val="12"/>
        <color theme="1"/>
        <rFont val="Times New Roman"/>
        <family val="1"/>
      </rPr>
      <t xml:space="preserve"> - z</t>
    </r>
    <r>
      <rPr>
        <i/>
        <vertAlign val="subscript"/>
        <sz val="12"/>
        <color theme="1"/>
        <rFont val="Times New Roman"/>
        <family val="1"/>
      </rPr>
      <t>4</t>
    </r>
  </si>
  <si>
    <t>Cubical capacity of HFO settling tank</t>
  </si>
  <si>
    <r>
      <t>h</t>
    </r>
    <r>
      <rPr>
        <i/>
        <vertAlign val="subscript"/>
        <sz val="12"/>
        <color theme="1"/>
        <rFont val="Times New Roman"/>
        <family val="1"/>
      </rPr>
      <t>34</t>
    </r>
  </si>
  <si>
    <t>Calculated full height of tank</t>
  </si>
  <si>
    <r>
      <t>H</t>
    </r>
    <r>
      <rPr>
        <i/>
        <vertAlign val="subscript"/>
        <sz val="12"/>
        <color theme="1"/>
        <rFont val="Times New Roman"/>
        <family val="1"/>
      </rPr>
      <t>HFO_Tk_full</t>
    </r>
  </si>
  <si>
    <t>Estimated height = 4.089 m</t>
  </si>
  <si>
    <t>High level, alarm</t>
  </si>
  <si>
    <r>
      <t>z</t>
    </r>
    <r>
      <rPr>
        <i/>
        <vertAlign val="subscript"/>
        <sz val="12"/>
        <color theme="1"/>
        <rFont val="Times New Roman"/>
        <family val="1"/>
      </rPr>
      <t>HLA</t>
    </r>
  </si>
  <si>
    <t>Installed height = 4.100</t>
  </si>
  <si>
    <t>Position of high level alarm</t>
  </si>
  <si>
    <r>
      <t>h</t>
    </r>
    <r>
      <rPr>
        <i/>
        <vertAlign val="subscript"/>
        <sz val="12"/>
        <color theme="1"/>
        <rFont val="Times New Roman"/>
        <family val="1"/>
      </rPr>
      <t>HLA</t>
    </r>
  </si>
  <si>
    <t>Position of pump auto-stop</t>
  </si>
  <si>
    <r>
      <t>h</t>
    </r>
    <r>
      <rPr>
        <i/>
        <vertAlign val="subscript"/>
        <sz val="12"/>
        <color theme="1"/>
        <rFont val="Times New Roman"/>
        <family val="1"/>
      </rPr>
      <t>pump_HLCI</t>
    </r>
  </si>
  <si>
    <t>Position of pump auto-start</t>
  </si>
  <si>
    <r>
      <t>h</t>
    </r>
    <r>
      <rPr>
        <i/>
        <vertAlign val="subscript"/>
        <sz val="12"/>
        <color theme="1"/>
        <rFont val="Times New Roman"/>
        <family val="1"/>
      </rPr>
      <t>pump_HLCO</t>
    </r>
  </si>
  <si>
    <t>Low level, alarm</t>
  </si>
  <si>
    <r>
      <t>z</t>
    </r>
    <r>
      <rPr>
        <i/>
        <vertAlign val="subscript"/>
        <sz val="12"/>
        <color theme="1"/>
        <rFont val="Times New Roman"/>
        <family val="1"/>
      </rPr>
      <t>LLA</t>
    </r>
  </si>
  <si>
    <t>Position of low level alarm</t>
  </si>
  <si>
    <r>
      <t>h</t>
    </r>
    <r>
      <rPr>
        <i/>
        <vertAlign val="subscript"/>
        <sz val="12"/>
        <color theme="1"/>
        <rFont val="Times New Roman"/>
        <family val="1"/>
      </rPr>
      <t>LLA</t>
    </r>
  </si>
  <si>
    <t>Pump suction point (in terms of % of height)</t>
  </si>
  <si>
    <r>
      <t>z</t>
    </r>
    <r>
      <rPr>
        <i/>
        <vertAlign val="subscript"/>
        <sz val="12"/>
        <color theme="1"/>
        <rFont val="Times New Roman"/>
        <family val="1"/>
      </rPr>
      <t>pump_suction</t>
    </r>
  </si>
  <si>
    <t>Pump suction point (in terms of height)</t>
  </si>
  <si>
    <r>
      <t>h</t>
    </r>
    <r>
      <rPr>
        <i/>
        <vertAlign val="subscript"/>
        <sz val="12"/>
        <color theme="1"/>
        <rFont val="Times New Roman"/>
        <family val="1"/>
      </rPr>
      <t>pump_suction</t>
    </r>
  </si>
  <si>
    <t>Unpumpables</t>
  </si>
  <si>
    <t>Position of tank bottom slope (based on unpumpables)</t>
  </si>
  <si>
    <r>
      <t>h</t>
    </r>
    <r>
      <rPr>
        <i/>
        <vertAlign val="subscript"/>
        <sz val="12"/>
        <color theme="1"/>
        <rFont val="Times New Roman"/>
        <family val="1"/>
      </rPr>
      <t>bottom slope</t>
    </r>
  </si>
  <si>
    <t>Ullage space</t>
  </si>
  <si>
    <r>
      <t>z</t>
    </r>
    <r>
      <rPr>
        <i/>
        <vertAlign val="subscript"/>
        <sz val="12"/>
        <color theme="1"/>
        <rFont val="Times New Roman"/>
        <family val="1"/>
      </rPr>
      <t>ullage</t>
    </r>
  </si>
  <si>
    <t>Heavy Fuel Oil Tank Dimensions (Example)</t>
  </si>
  <si>
    <t>Local CG location
(referenced to item origin)</t>
  </si>
  <si>
    <t>Item origin location within vessel
(referenced to vessel origin)</t>
  </si>
  <si>
    <t>Steel plates mass</t>
  </si>
  <si>
    <t>Reference wrt
bottom, front, left</t>
  </si>
  <si>
    <t>Part</t>
  </si>
  <si>
    <t>Part Description</t>
  </si>
  <si>
    <t>Length</t>
  </si>
  <si>
    <t>Breadth,
Height</t>
  </si>
  <si>
    <t>Thickness</t>
  </si>
  <si>
    <t>Density</t>
  </si>
  <si>
    <t>Mass</t>
  </si>
  <si>
    <r>
      <t>X</t>
    </r>
    <r>
      <rPr>
        <i/>
        <vertAlign val="subscript"/>
        <sz val="12"/>
        <color theme="1"/>
        <rFont val="Times New Roman"/>
        <family val="1"/>
      </rPr>
      <t>Fr</t>
    </r>
  </si>
  <si>
    <r>
      <t>Y</t>
    </r>
    <r>
      <rPr>
        <i/>
        <vertAlign val="subscript"/>
        <sz val="12"/>
        <color theme="1"/>
        <rFont val="Times New Roman"/>
        <family val="1"/>
      </rPr>
      <t>T</t>
    </r>
  </si>
  <si>
    <r>
      <t>Z</t>
    </r>
    <r>
      <rPr>
        <i/>
        <vertAlign val="subscript"/>
        <sz val="12"/>
        <color theme="1"/>
        <rFont val="Times New Roman"/>
        <family val="1"/>
      </rPr>
      <t>BL</t>
    </r>
  </si>
  <si>
    <t>L</t>
  </si>
  <si>
    <t>B</t>
  </si>
  <si>
    <r>
      <t>x</t>
    </r>
    <r>
      <rPr>
        <i/>
        <vertAlign val="subscript"/>
        <sz val="12"/>
        <color theme="1"/>
        <rFont val="Times New Roman"/>
        <family val="1"/>
      </rPr>
      <t>CG</t>
    </r>
  </si>
  <si>
    <r>
      <t>y</t>
    </r>
    <r>
      <rPr>
        <i/>
        <vertAlign val="subscript"/>
        <sz val="12"/>
        <color theme="1"/>
        <rFont val="Times New Roman"/>
        <family val="1"/>
      </rPr>
      <t>CG</t>
    </r>
  </si>
  <si>
    <r>
      <t>z</t>
    </r>
    <r>
      <rPr>
        <i/>
        <vertAlign val="subscript"/>
        <sz val="12"/>
        <color theme="1"/>
        <rFont val="Times New Roman"/>
        <family val="1"/>
      </rPr>
      <t>CG</t>
    </r>
  </si>
  <si>
    <r>
      <t xml:space="preserve">m </t>
    </r>
    <r>
      <rPr>
        <sz val="12"/>
        <color theme="1"/>
        <rFont val="Calibri"/>
        <family val="2"/>
      </rPr>
      <t xml:space="preserve">× </t>
    </r>
    <r>
      <rPr>
        <i/>
        <sz val="12"/>
        <color theme="1"/>
        <rFont val="Times New Roman"/>
        <family val="1"/>
      </rPr>
      <t>x</t>
    </r>
    <r>
      <rPr>
        <i/>
        <vertAlign val="subscript"/>
        <sz val="12"/>
        <color theme="1"/>
        <rFont val="Times New Roman"/>
        <family val="1"/>
      </rPr>
      <t>CG</t>
    </r>
  </si>
  <si>
    <r>
      <t xml:space="preserve">m </t>
    </r>
    <r>
      <rPr>
        <sz val="12"/>
        <color theme="1"/>
        <rFont val="Calibri"/>
        <family val="2"/>
      </rPr>
      <t xml:space="preserve">× </t>
    </r>
    <r>
      <rPr>
        <i/>
        <sz val="12"/>
        <color theme="1"/>
        <rFont val="Times New Roman"/>
        <family val="1"/>
      </rPr>
      <t>y</t>
    </r>
    <r>
      <rPr>
        <i/>
        <vertAlign val="subscript"/>
        <sz val="12"/>
        <color theme="1"/>
        <rFont val="Times New Roman"/>
        <family val="1"/>
      </rPr>
      <t>CG</t>
    </r>
  </si>
  <si>
    <r>
      <t xml:space="preserve">m </t>
    </r>
    <r>
      <rPr>
        <sz val="12"/>
        <color theme="1"/>
        <rFont val="Calibri"/>
        <family val="2"/>
      </rPr>
      <t xml:space="preserve">× </t>
    </r>
    <r>
      <rPr>
        <i/>
        <sz val="12"/>
        <color theme="1"/>
        <rFont val="Times New Roman"/>
        <family val="1"/>
      </rPr>
      <t>z</t>
    </r>
    <r>
      <rPr>
        <i/>
        <vertAlign val="subscript"/>
        <sz val="12"/>
        <color theme="1"/>
        <rFont val="Times New Roman"/>
        <family val="1"/>
      </rPr>
      <t>CG</t>
    </r>
  </si>
  <si>
    <t>(Unit of Measure)</t>
  </si>
  <si>
    <t>(m)</t>
  </si>
  <si>
    <t>(mm)</t>
  </si>
  <si>
    <r>
      <t>(kg/m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</si>
  <si>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t>(kg)</t>
  </si>
  <si>
    <t>1</t>
  </si>
  <si>
    <t>Bottom (x,y,0)</t>
  </si>
  <si>
    <t>2</t>
  </si>
  <si>
    <t>Top (x,y,z)</t>
  </si>
  <si>
    <t>3</t>
  </si>
  <si>
    <t>Front (x,0,z)</t>
  </si>
  <si>
    <t>4</t>
  </si>
  <si>
    <t>Back (x,y,z)</t>
  </si>
  <si>
    <t>5</t>
  </si>
  <si>
    <t>Left (0,y,z)</t>
  </si>
  <si>
    <t>6</t>
  </si>
  <si>
    <t>Right (x,y,z)</t>
  </si>
  <si>
    <t xml:space="preserve">Total mass = </t>
  </si>
  <si>
    <r>
      <t xml:space="preserve">Total mass </t>
    </r>
    <r>
      <rPr>
        <sz val="12"/>
        <color theme="1"/>
        <rFont val="Calibri"/>
        <family val="2"/>
      </rPr>
      <t>×</t>
    </r>
    <r>
      <rPr>
        <sz val="12"/>
        <color theme="1"/>
        <rFont val="Times New Roman"/>
        <family val="1"/>
      </rPr>
      <t xml:space="preserve"> distance (kg-m) =</t>
    </r>
  </si>
  <si>
    <t>Position of Item CG (x,y,z) =</t>
  </si>
  <si>
    <t>Steel plates surface areas</t>
  </si>
  <si>
    <t>External</t>
  </si>
  <si>
    <t>Internal</t>
  </si>
  <si>
    <t>Surface
Area</t>
  </si>
  <si>
    <r>
      <t>A</t>
    </r>
    <r>
      <rPr>
        <i/>
        <vertAlign val="subscript"/>
        <sz val="12"/>
        <color theme="1"/>
        <rFont val="Times New Roman"/>
        <family val="1"/>
      </rPr>
      <t>ext</t>
    </r>
  </si>
  <si>
    <r>
      <t>A</t>
    </r>
    <r>
      <rPr>
        <i/>
        <vertAlign val="subscript"/>
        <sz val="12"/>
        <color theme="1"/>
        <rFont val="Times New Roman"/>
        <family val="1"/>
      </rPr>
      <t>int</t>
    </r>
  </si>
  <si>
    <r>
      <t>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</si>
  <si>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t>Total external surface areas 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 =</t>
    </r>
  </si>
  <si>
    <r>
      <t>Total internal surface areas 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 =</t>
    </r>
  </si>
  <si>
    <t>Normal mass of Fuel Oil inside tank</t>
  </si>
  <si>
    <t>Mass of tank steel</t>
  </si>
  <si>
    <t>Mass of steel tank (bare)</t>
  </si>
  <si>
    <r>
      <t>m</t>
    </r>
    <r>
      <rPr>
        <i/>
        <vertAlign val="subscript"/>
        <sz val="12"/>
        <color theme="1"/>
        <rFont val="Times New Roman"/>
        <family val="1"/>
      </rPr>
      <t>HFOTk_bare</t>
    </r>
  </si>
  <si>
    <t>kg</t>
  </si>
  <si>
    <t>from previous calculations</t>
  </si>
  <si>
    <t>Allow out-fitting mass</t>
  </si>
  <si>
    <r>
      <t>fitting</t>
    </r>
    <r>
      <rPr>
        <i/>
        <vertAlign val="subscript"/>
        <sz val="12"/>
        <color theme="1"/>
        <rFont val="Times New Roman"/>
        <family val="1"/>
      </rPr>
      <t>_allowance</t>
    </r>
  </si>
  <si>
    <t>Estimated tank + out-fitting mass</t>
  </si>
  <si>
    <r>
      <t>m</t>
    </r>
    <r>
      <rPr>
        <i/>
        <vertAlign val="subscript"/>
        <sz val="12"/>
        <color theme="1"/>
        <rFont val="Times New Roman"/>
        <family val="1"/>
      </rPr>
      <t>Tk+OF</t>
    </r>
  </si>
  <si>
    <t>Full capacity of HFO tank</t>
  </si>
  <si>
    <r>
      <t>q</t>
    </r>
    <r>
      <rPr>
        <i/>
        <vertAlign val="subscript"/>
        <sz val="12"/>
        <color theme="1"/>
        <rFont val="Times New Roman"/>
        <family val="1"/>
      </rPr>
      <t>HFO_Tk</t>
    </r>
  </si>
  <si>
    <r>
      <t>ρ</t>
    </r>
    <r>
      <rPr>
        <i/>
        <vertAlign val="subscript"/>
        <sz val="12"/>
        <color theme="1"/>
        <rFont val="Times New Roman"/>
        <family val="1"/>
      </rPr>
      <t>HFO</t>
    </r>
  </si>
  <si>
    <t>Full mass of HFO inside tank</t>
  </si>
  <si>
    <r>
      <t>m</t>
    </r>
    <r>
      <rPr>
        <i/>
        <vertAlign val="subscript"/>
        <sz val="12"/>
        <color theme="1"/>
        <rFont val="Times New Roman"/>
        <family val="1"/>
      </rPr>
      <t>HFO_full</t>
    </r>
  </si>
  <si>
    <t>Normal mass of HFO inside tank</t>
  </si>
  <si>
    <r>
      <t>m</t>
    </r>
    <r>
      <rPr>
        <i/>
        <vertAlign val="subscript"/>
        <sz val="12"/>
        <color theme="1"/>
        <rFont val="Times New Roman"/>
        <family val="1"/>
      </rPr>
      <t>HFO_operating</t>
    </r>
  </si>
  <si>
    <t xml:space="preserve">Combined steel plus HFO </t>
  </si>
  <si>
    <r>
      <t>m</t>
    </r>
    <r>
      <rPr>
        <i/>
        <vertAlign val="subscript"/>
        <sz val="12"/>
        <color theme="1"/>
        <rFont val="Times New Roman"/>
        <family val="1"/>
      </rPr>
      <t>HFOTk+HFO</t>
    </r>
  </si>
  <si>
    <t>Transfer Pump sizing</t>
  </si>
  <si>
    <t>Volume of HFO to be pumped</t>
  </si>
  <si>
    <r>
      <t>q</t>
    </r>
    <r>
      <rPr>
        <i/>
        <vertAlign val="subscript"/>
        <sz val="12"/>
        <color theme="1"/>
        <rFont val="Times New Roman"/>
        <family val="1"/>
      </rPr>
      <t>HFO_4to3</t>
    </r>
  </si>
  <si>
    <t>Pumping duration</t>
  </si>
  <si>
    <r>
      <t>t</t>
    </r>
    <r>
      <rPr>
        <i/>
        <vertAlign val="subscript"/>
        <sz val="12"/>
        <color theme="1"/>
        <rFont val="Times New Roman"/>
        <family val="1"/>
      </rPr>
      <t>pumping</t>
    </r>
  </si>
  <si>
    <t>Assume common practice</t>
  </si>
  <si>
    <t>Capacity of HFO Transfer pump (shown as 2)</t>
  </si>
  <si>
    <r>
      <t>Q</t>
    </r>
    <r>
      <rPr>
        <i/>
        <vertAlign val="subscript"/>
        <sz val="12"/>
        <color theme="1"/>
        <rFont val="Times New Roman"/>
        <family val="1"/>
      </rPr>
      <t>HFO Trf Pump</t>
    </r>
  </si>
  <si>
    <r>
      <t>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/h</t>
    </r>
  </si>
  <si>
    <t>HFO transfer pipe size</t>
  </si>
  <si>
    <r>
      <t>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/s</t>
    </r>
  </si>
  <si>
    <t>Flow velocity of HFO inside pipe</t>
  </si>
  <si>
    <r>
      <t>c</t>
    </r>
    <r>
      <rPr>
        <i/>
        <vertAlign val="subscript"/>
        <sz val="12"/>
        <color theme="1"/>
        <rFont val="Times New Roman"/>
        <family val="1"/>
      </rPr>
      <t>HFO flow</t>
    </r>
  </si>
  <si>
    <t>m/s</t>
  </si>
  <si>
    <t>Calculate flow area of HFO transfer pipe</t>
  </si>
  <si>
    <r>
      <t>a</t>
    </r>
    <r>
      <rPr>
        <i/>
        <vertAlign val="subscript"/>
        <sz val="12"/>
        <color theme="1"/>
        <rFont val="Times New Roman"/>
        <family val="1"/>
      </rPr>
      <t>HFL flow</t>
    </r>
  </si>
  <si>
    <r>
      <t>m</t>
    </r>
    <r>
      <rPr>
        <vertAlign val="superscript"/>
        <sz val="12"/>
        <color theme="1"/>
        <rFont val="Times New Roman"/>
        <family val="1"/>
      </rPr>
      <t>2</t>
    </r>
  </si>
  <si>
    <t>Calculate flow diameter of HFO transfer pipe</t>
  </si>
  <si>
    <r>
      <t>d</t>
    </r>
    <r>
      <rPr>
        <i/>
        <vertAlign val="subscript"/>
        <sz val="12"/>
        <color theme="1"/>
        <rFont val="Times New Roman"/>
        <family val="1"/>
      </rPr>
      <t>HFO_pipe</t>
    </r>
  </si>
  <si>
    <t>Nominal bore size of HFO transfer pipe</t>
  </si>
  <si>
    <t>mm NB</t>
  </si>
  <si>
    <t>Thermal Insulation</t>
  </si>
  <si>
    <t>With no insulation (only bare steel wall)</t>
  </si>
  <si>
    <t>Temperature inside HFO tank</t>
  </si>
  <si>
    <r>
      <t>t</t>
    </r>
    <r>
      <rPr>
        <i/>
        <vertAlign val="subscript"/>
        <sz val="12"/>
        <rFont val="Times New Roman"/>
        <family val="1"/>
      </rPr>
      <t>1</t>
    </r>
  </si>
  <si>
    <r>
      <t>°</t>
    </r>
    <r>
      <rPr>
        <sz val="12"/>
        <rFont val="Times New Roman"/>
        <family val="1"/>
      </rPr>
      <t>C</t>
    </r>
  </si>
  <si>
    <t>Surface</t>
  </si>
  <si>
    <t>length</t>
  </si>
  <si>
    <t>breadth</t>
  </si>
  <si>
    <r>
      <t xml:space="preserve">area, </t>
    </r>
    <r>
      <rPr>
        <i/>
        <sz val="12"/>
        <rFont val="Times New Roman"/>
        <family val="1"/>
      </rPr>
      <t>A</t>
    </r>
  </si>
  <si>
    <t>k</t>
  </si>
  <si>
    <t>x</t>
  </si>
  <si>
    <r>
      <t>T</t>
    </r>
    <r>
      <rPr>
        <i/>
        <vertAlign val="subscript"/>
        <sz val="12"/>
        <rFont val="Times New Roman"/>
        <family val="1"/>
      </rPr>
      <t>1</t>
    </r>
  </si>
  <si>
    <r>
      <t>T</t>
    </r>
    <r>
      <rPr>
        <i/>
        <vertAlign val="subscript"/>
        <sz val="12"/>
        <rFont val="Times New Roman"/>
        <family val="1"/>
      </rPr>
      <t>2</t>
    </r>
  </si>
  <si>
    <t>Q</t>
  </si>
  <si>
    <t>K</t>
  </si>
  <si>
    <t>(W/mK)</t>
  </si>
  <si>
    <t>(K)</t>
  </si>
  <si>
    <t>(W)</t>
  </si>
  <si>
    <t>Temperature inside Engine Room</t>
  </si>
  <si>
    <r>
      <t>t</t>
    </r>
    <r>
      <rPr>
        <i/>
        <vertAlign val="subscript"/>
        <sz val="12"/>
        <rFont val="Times New Roman"/>
        <family val="1"/>
      </rPr>
      <t>2</t>
    </r>
  </si>
  <si>
    <t>Temperature difference</t>
  </si>
  <si>
    <r>
      <t>Δ</t>
    </r>
    <r>
      <rPr>
        <i/>
        <sz val="12"/>
        <rFont val="Times New Roman"/>
        <family val="1"/>
      </rPr>
      <t>T</t>
    </r>
  </si>
  <si>
    <t>Thermal conductivity (steel)</t>
  </si>
  <si>
    <r>
      <t>k</t>
    </r>
    <r>
      <rPr>
        <i/>
        <vertAlign val="subscript"/>
        <sz val="12"/>
        <rFont val="Times New Roman"/>
        <family val="1"/>
      </rPr>
      <t>wall</t>
    </r>
  </si>
  <si>
    <t>W/mK</t>
  </si>
  <si>
    <t>Steel wall thickness</t>
  </si>
  <si>
    <t xml:space="preserve">x </t>
  </si>
  <si>
    <t>Total heat transferred (W) =</t>
  </si>
  <si>
    <t>Heat flow (W)</t>
  </si>
  <si>
    <t>If tank surfaces are insulated,</t>
  </si>
  <si>
    <t>With thermal insulation,</t>
  </si>
  <si>
    <r>
      <t>k</t>
    </r>
    <r>
      <rPr>
        <i/>
        <vertAlign val="subscript"/>
        <sz val="12"/>
        <rFont val="Times New Roman"/>
        <family val="1"/>
      </rPr>
      <t>1</t>
    </r>
  </si>
  <si>
    <r>
      <t>x</t>
    </r>
    <r>
      <rPr>
        <i/>
        <vertAlign val="subscript"/>
        <sz val="12"/>
        <rFont val="Times New Roman"/>
        <family val="1"/>
      </rPr>
      <t>1</t>
    </r>
  </si>
  <si>
    <r>
      <t>k</t>
    </r>
    <r>
      <rPr>
        <i/>
        <vertAlign val="subscript"/>
        <sz val="12"/>
        <rFont val="Times New Roman"/>
        <family val="1"/>
      </rPr>
      <t>2</t>
    </r>
  </si>
  <si>
    <r>
      <t>x</t>
    </r>
    <r>
      <rPr>
        <i/>
        <vertAlign val="subscript"/>
        <sz val="12"/>
        <rFont val="Times New Roman"/>
        <family val="1"/>
      </rPr>
      <t>2</t>
    </r>
  </si>
  <si>
    <r>
      <t>x</t>
    </r>
    <r>
      <rPr>
        <i/>
        <vertAlign val="subscript"/>
        <sz val="12"/>
        <rFont val="Times New Roman"/>
        <family val="1"/>
      </rPr>
      <t>1</t>
    </r>
    <r>
      <rPr>
        <i/>
        <sz val="12"/>
        <rFont val="Times New Roman"/>
        <family val="1"/>
      </rPr>
      <t xml:space="preserve"> </t>
    </r>
  </si>
  <si>
    <t>Thernal conductivity (rockwool)</t>
  </si>
  <si>
    <t>Insulation wall thickness</t>
  </si>
  <si>
    <t>Thermal conductivity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</si>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</sst>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#,##0.000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vertAlign val="subscript"/>
      <sz val="12"/>
      <name val="Times New Roman"/>
      <family val="1"/>
    </font>
    <font>
      <sz val="12"/>
      <name val="Arial"/>
      <family val="2"/>
    </font>
    <font>
      <i/>
      <sz val="12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3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0" xfId="0" quotePrefix="1" applyFont="1" applyAlignment="1">
      <alignment horizontal="right"/>
    </xf>
    <xf numFmtId="0" fontId="1" fillId="0" borderId="0" xfId="0" quotePrefix="1" applyFont="1" applyAlignment="1">
      <alignment horizontal="right"/>
    </xf>
    <xf numFmtId="164" fontId="1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0" applyFont="1"/>
    <xf numFmtId="9" fontId="1" fillId="0" borderId="0" xfId="0" applyNumberFormat="1" applyFont="1"/>
    <xf numFmtId="0" fontId="7" fillId="0" borderId="0" xfId="0" applyFont="1"/>
    <xf numFmtId="164" fontId="1" fillId="2" borderId="0" xfId="0" applyNumberFormat="1" applyFont="1" applyFill="1"/>
    <xf numFmtId="0" fontId="7" fillId="0" borderId="0" xfId="0" applyFont="1" applyAlignment="1">
      <alignment horizontal="left"/>
    </xf>
    <xf numFmtId="165" fontId="1" fillId="0" borderId="0" xfId="0" applyNumberFormat="1" applyFont="1"/>
    <xf numFmtId="2" fontId="1" fillId="0" borderId="0" xfId="0" quotePrefix="1" applyNumberFormat="1" applyFont="1"/>
    <xf numFmtId="166" fontId="1" fillId="0" borderId="0" xfId="0" applyNumberFormat="1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" fontId="8" fillId="0" borderId="0" xfId="0" applyNumberFormat="1" applyFont="1"/>
    <xf numFmtId="0" fontId="11" fillId="0" borderId="0" xfId="0" applyFont="1"/>
    <xf numFmtId="164" fontId="8" fillId="0" borderId="0" xfId="0" applyNumberFormat="1" applyFont="1"/>
    <xf numFmtId="0" fontId="12" fillId="0" borderId="0" xfId="0" applyFont="1" applyAlignment="1">
      <alignment horizontal="right"/>
    </xf>
    <xf numFmtId="2" fontId="8" fillId="0" borderId="0" xfId="0" applyNumberFormat="1" applyFont="1"/>
    <xf numFmtId="165" fontId="8" fillId="0" borderId="0" xfId="0" applyNumberFormat="1" applyFont="1"/>
    <xf numFmtId="0" fontId="2" fillId="0" borderId="0" xfId="0" applyFont="1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quotePrefix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2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2" fontId="1" fillId="2" borderId="0" xfId="0" applyNumberFormat="1" applyFont="1" applyFill="1"/>
    <xf numFmtId="4" fontId="1" fillId="0" borderId="0" xfId="0" applyNumberFormat="1" applyFont="1"/>
    <xf numFmtId="1" fontId="1" fillId="3" borderId="0" xfId="0" applyNumberFormat="1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wmf"/><Relationship Id="rId1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0</xdr:rowOff>
    </xdr:from>
    <xdr:to>
      <xdr:col>14</xdr:col>
      <xdr:colOff>502920</xdr:colOff>
      <xdr:row>17</xdr:row>
      <xdr:rowOff>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2241" y="198120"/>
          <a:ext cx="4160519" cy="3698239"/>
        </a:xfrm>
        <a:prstGeom prst="rect">
          <a:avLst/>
        </a:prstGeom>
      </xdr:spPr>
    </xdr:pic>
    <xdr:clientData/>
  </xdr:twoCellAnchor>
  <xdr:twoCellAnchor editAs="oneCell">
    <xdr:from>
      <xdr:col>8</xdr:col>
      <xdr:colOff>30481</xdr:colOff>
      <xdr:row>25</xdr:row>
      <xdr:rowOff>137160</xdr:rowOff>
    </xdr:from>
    <xdr:to>
      <xdr:col>18</xdr:col>
      <xdr:colOff>7621</xdr:colOff>
      <xdr:row>30</xdr:row>
      <xdr:rowOff>174721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2461" y="5455920"/>
          <a:ext cx="6073140" cy="1180562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18</xdr:row>
      <xdr:rowOff>7620</xdr:rowOff>
    </xdr:from>
    <xdr:to>
      <xdr:col>10</xdr:col>
      <xdr:colOff>295275</xdr:colOff>
      <xdr:row>22</xdr:row>
      <xdr:rowOff>123791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4880" y="4137660"/>
          <a:ext cx="1171575" cy="1038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232410</xdr:colOff>
      <xdr:row>7</xdr:row>
      <xdr:rowOff>76200</xdr:rowOff>
    </xdr:from>
    <xdr:to>
      <xdr:col>19</xdr:col>
      <xdr:colOff>215265</xdr:colOff>
      <xdr:row>12</xdr:row>
      <xdr:rowOff>123791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9850" y="2926080"/>
          <a:ext cx="1171575" cy="10381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53341</xdr:colOff>
      <xdr:row>20</xdr:row>
      <xdr:rowOff>121920</xdr:rowOff>
    </xdr:from>
    <xdr:to>
      <xdr:col>12</xdr:col>
      <xdr:colOff>457201</xdr:colOff>
      <xdr:row>27</xdr:row>
      <xdr:rowOff>160768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1" y="4221480"/>
          <a:ext cx="3451860" cy="1654288"/>
        </a:xfrm>
        <a:prstGeom prst="rect">
          <a:avLst/>
        </a:prstGeom>
      </xdr:spPr>
    </xdr:pic>
    <xdr:clientData/>
  </xdr:twoCellAnchor>
  <xdr:twoCellAnchor editAs="oneCell">
    <xdr:from>
      <xdr:col>7</xdr:col>
      <xdr:colOff>182880</xdr:colOff>
      <xdr:row>1</xdr:row>
      <xdr:rowOff>160020</xdr:rowOff>
    </xdr:from>
    <xdr:to>
      <xdr:col>14</xdr:col>
      <xdr:colOff>76199</xdr:colOff>
      <xdr:row>18</xdr:row>
      <xdr:rowOff>78739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358140"/>
          <a:ext cx="4160519" cy="36982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10</xdr:row>
          <xdr:rowOff>95250</xdr:rowOff>
        </xdr:from>
        <xdr:to>
          <xdr:col>5</xdr:col>
          <xdr:colOff>657225</xdr:colOff>
          <xdr:row>12</xdr:row>
          <xdr:rowOff>133350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514350</xdr:colOff>
          <xdr:row>13</xdr:row>
          <xdr:rowOff>76200</xdr:rowOff>
        </xdr:from>
        <xdr:to>
          <xdr:col>5</xdr:col>
          <xdr:colOff>666750</xdr:colOff>
          <xdr:row>16</xdr:row>
          <xdr:rowOff>123825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6" Type="http://schemas.openxmlformats.org/officeDocument/2006/relationships/image" Target="../media/image6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5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5"/>
  <sheetViews>
    <sheetView tabSelected="1" workbookViewId="0">
      <selection activeCell="B9" sqref="B9"/>
    </sheetView>
  </sheetViews>
  <sheetFormatPr defaultColWidth="8.86328125" defaultRowHeight="15.4" x14ac:dyDescent="0.45"/>
  <cols>
    <col min="1" max="1" width="3.73046875" style="1" customWidth="1"/>
    <col min="2" max="2" width="49.3984375" style="1" bestFit="1" customWidth="1"/>
    <col min="3" max="3" width="12.3984375" style="2" bestFit="1" customWidth="1"/>
    <col min="4" max="4" width="3.73046875" style="3" customWidth="1"/>
    <col min="5" max="5" width="8.86328125" style="1"/>
    <col min="6" max="6" width="10.73046875" style="1" customWidth="1"/>
    <col min="7" max="7" width="21.86328125" style="1" customWidth="1"/>
    <col min="8" max="16384" width="8.86328125" style="1"/>
  </cols>
  <sheetData>
    <row r="1" spans="2:7" x14ac:dyDescent="0.45">
      <c r="C1" s="2" t="s">
        <v>0</v>
      </c>
      <c r="F1" s="4" t="s">
        <v>1</v>
      </c>
      <c r="G1" s="16" t="s">
        <v>2</v>
      </c>
    </row>
    <row r="2" spans="2:7" ht="17.649999999999999" x14ac:dyDescent="0.6">
      <c r="B2" s="1" t="s">
        <v>3</v>
      </c>
      <c r="C2" s="2" t="s">
        <v>4</v>
      </c>
      <c r="D2" s="5" t="s">
        <v>5</v>
      </c>
      <c r="E2" s="45">
        <v>7560</v>
      </c>
      <c r="F2" s="4" t="s">
        <v>6</v>
      </c>
    </row>
    <row r="3" spans="2:7" x14ac:dyDescent="0.45">
      <c r="B3" s="1" t="s">
        <v>7</v>
      </c>
      <c r="C3" s="2" t="s">
        <v>8</v>
      </c>
      <c r="D3" s="5" t="s">
        <v>5</v>
      </c>
      <c r="E3" s="46">
        <v>179</v>
      </c>
      <c r="F3" s="4" t="s">
        <v>9</v>
      </c>
    </row>
    <row r="4" spans="2:7" x14ac:dyDescent="0.45">
      <c r="B4" s="1" t="s">
        <v>10</v>
      </c>
      <c r="C4" s="2" t="s">
        <v>11</v>
      </c>
      <c r="D4" s="5" t="s">
        <v>5</v>
      </c>
      <c r="E4" s="46">
        <v>18</v>
      </c>
      <c r="F4" s="4" t="s">
        <v>12</v>
      </c>
    </row>
    <row r="5" spans="2:7" ht="17.649999999999999" x14ac:dyDescent="0.6">
      <c r="B5" s="1" t="s">
        <v>13</v>
      </c>
      <c r="C5" s="2" t="s">
        <v>14</v>
      </c>
      <c r="D5" s="5" t="s">
        <v>5</v>
      </c>
      <c r="E5" s="13">
        <f>(E3*0.001*0.001)*E2*E4</f>
        <v>24.358319999999999</v>
      </c>
      <c r="F5" s="4" t="s">
        <v>15</v>
      </c>
    </row>
    <row r="6" spans="2:7" x14ac:dyDescent="0.45">
      <c r="B6" s="1" t="s">
        <v>16</v>
      </c>
      <c r="C6" s="2" t="s">
        <v>17</v>
      </c>
      <c r="D6" s="5" t="s">
        <v>5</v>
      </c>
      <c r="E6" s="46">
        <v>940</v>
      </c>
      <c r="F6" s="4" t="s">
        <v>206</v>
      </c>
    </row>
    <row r="7" spans="2:7" ht="18.75" x14ac:dyDescent="0.6">
      <c r="B7" s="1" t="s">
        <v>19</v>
      </c>
      <c r="C7" s="2" t="s">
        <v>20</v>
      </c>
      <c r="D7" s="5" t="s">
        <v>5</v>
      </c>
      <c r="E7" s="47">
        <f>(E5*1000)/E6</f>
        <v>25.913106382978722</v>
      </c>
      <c r="F7" s="4" t="s">
        <v>21</v>
      </c>
    </row>
    <row r="8" spans="2:7" x14ac:dyDescent="0.45">
      <c r="D8" s="5"/>
    </row>
    <row r="9" spans="2:7" ht="17.649999999999999" x14ac:dyDescent="0.6">
      <c r="B9" s="1" t="s">
        <v>22</v>
      </c>
      <c r="C9" s="2" t="s">
        <v>23</v>
      </c>
      <c r="D9" s="5" t="s">
        <v>5</v>
      </c>
      <c r="E9" s="1">
        <v>650</v>
      </c>
      <c r="F9" s="4" t="s">
        <v>24</v>
      </c>
      <c r="G9" s="1" t="s">
        <v>25</v>
      </c>
    </row>
    <row r="10" spans="2:7" ht="17.649999999999999" x14ac:dyDescent="0.6">
      <c r="B10" s="1" t="s">
        <v>26</v>
      </c>
      <c r="C10" s="2" t="s">
        <v>27</v>
      </c>
      <c r="D10" s="5" t="s">
        <v>5</v>
      </c>
      <c r="E10" s="1">
        <v>650</v>
      </c>
      <c r="F10" s="4" t="s">
        <v>24</v>
      </c>
      <c r="G10" s="1" t="s">
        <v>28</v>
      </c>
    </row>
    <row r="11" spans="2:7" x14ac:dyDescent="0.45">
      <c r="D11" s="5"/>
    </row>
    <row r="12" spans="2:7" ht="17.649999999999999" x14ac:dyDescent="0.6">
      <c r="B12" s="1" t="s">
        <v>29</v>
      </c>
      <c r="C12" s="2" t="s">
        <v>30</v>
      </c>
      <c r="D12" s="5" t="s">
        <v>5</v>
      </c>
      <c r="E12" s="46">
        <v>5</v>
      </c>
    </row>
    <row r="13" spans="2:7" ht="17.649999999999999" x14ac:dyDescent="0.6">
      <c r="B13" s="1" t="s">
        <v>31</v>
      </c>
      <c r="C13" s="2" t="s">
        <v>32</v>
      </c>
      <c r="D13" s="5" t="s">
        <v>5</v>
      </c>
      <c r="E13" s="19">
        <f>E12*(E10*0.001)</f>
        <v>3.25</v>
      </c>
      <c r="F13" s="4" t="s">
        <v>33</v>
      </c>
    </row>
    <row r="14" spans="2:7" ht="17.649999999999999" x14ac:dyDescent="0.6">
      <c r="B14" s="1" t="s">
        <v>34</v>
      </c>
      <c r="C14" s="2" t="s">
        <v>35</v>
      </c>
      <c r="D14" s="5" t="s">
        <v>5</v>
      </c>
      <c r="E14" s="46">
        <v>4</v>
      </c>
    </row>
    <row r="15" spans="2:7" ht="17.649999999999999" x14ac:dyDescent="0.6">
      <c r="B15" s="1" t="s">
        <v>36</v>
      </c>
      <c r="C15" s="2" t="s">
        <v>37</v>
      </c>
      <c r="D15" s="5" t="s">
        <v>5</v>
      </c>
      <c r="E15" s="19">
        <f>E14*(E9*0.001)</f>
        <v>2.6</v>
      </c>
      <c r="F15" s="4" t="s">
        <v>33</v>
      </c>
    </row>
    <row r="16" spans="2:7" ht="17.649999999999999" x14ac:dyDescent="0.6">
      <c r="B16" s="1" t="s">
        <v>38</v>
      </c>
      <c r="C16" s="2" t="s">
        <v>39</v>
      </c>
      <c r="D16" s="5" t="s">
        <v>5</v>
      </c>
      <c r="E16" s="13">
        <f>E7/(E13*E15)</f>
        <v>3.0666398086365345</v>
      </c>
      <c r="F16" s="4" t="s">
        <v>33</v>
      </c>
    </row>
    <row r="18" spans="2:8" x14ac:dyDescent="0.45">
      <c r="B18" s="16" t="s">
        <v>40</v>
      </c>
    </row>
    <row r="19" spans="2:8" ht="17.649999999999999" x14ac:dyDescent="0.6">
      <c r="B19" s="1" t="s">
        <v>41</v>
      </c>
      <c r="C19" s="2" t="s">
        <v>42</v>
      </c>
      <c r="D19" s="5" t="s">
        <v>5</v>
      </c>
      <c r="E19" s="17">
        <v>0.9</v>
      </c>
      <c r="G19" s="1" t="s">
        <v>43</v>
      </c>
    </row>
    <row r="20" spans="2:8" ht="17.649999999999999" x14ac:dyDescent="0.6">
      <c r="B20" s="1" t="s">
        <v>44</v>
      </c>
      <c r="C20" s="2" t="s">
        <v>45</v>
      </c>
      <c r="D20" s="5" t="s">
        <v>5</v>
      </c>
      <c r="E20" s="17">
        <v>0.15</v>
      </c>
    </row>
    <row r="21" spans="2:8" ht="17.649999999999999" x14ac:dyDescent="0.6">
      <c r="B21" s="1" t="s">
        <v>46</v>
      </c>
      <c r="C21" s="11" t="s">
        <v>47</v>
      </c>
      <c r="D21" s="5" t="s">
        <v>5</v>
      </c>
      <c r="E21" s="17">
        <f>E19-E20</f>
        <v>0.75</v>
      </c>
    </row>
    <row r="22" spans="2:8" ht="17.649999999999999" x14ac:dyDescent="0.45">
      <c r="B22" s="1" t="s">
        <v>48</v>
      </c>
      <c r="C22" s="11"/>
      <c r="D22" s="5" t="s">
        <v>5</v>
      </c>
      <c r="E22" s="47">
        <f>E7/E21</f>
        <v>34.550808510638298</v>
      </c>
      <c r="F22" s="4" t="s">
        <v>21</v>
      </c>
    </row>
    <row r="23" spans="2:8" ht="17.649999999999999" x14ac:dyDescent="0.6">
      <c r="B23" s="1" t="s">
        <v>38</v>
      </c>
      <c r="C23" s="2" t="s">
        <v>49</v>
      </c>
      <c r="D23" s="5" t="s">
        <v>5</v>
      </c>
      <c r="E23" s="13">
        <f>E16</f>
        <v>3.0666398086365345</v>
      </c>
      <c r="F23" s="4" t="s">
        <v>33</v>
      </c>
    </row>
    <row r="24" spans="2:8" ht="17.649999999999999" x14ac:dyDescent="0.6">
      <c r="B24" s="1" t="s">
        <v>50</v>
      </c>
      <c r="C24" s="2" t="s">
        <v>51</v>
      </c>
      <c r="D24" s="5" t="s">
        <v>5</v>
      </c>
      <c r="E24" s="19">
        <f>E23/E21</f>
        <v>4.088853078182046</v>
      </c>
      <c r="F24" s="4" t="s">
        <v>33</v>
      </c>
      <c r="G24" s="1" t="s">
        <v>52</v>
      </c>
    </row>
    <row r="25" spans="2:8" ht="17.649999999999999" x14ac:dyDescent="0.6">
      <c r="B25" s="1" t="s">
        <v>53</v>
      </c>
      <c r="C25" s="2" t="s">
        <v>54</v>
      </c>
      <c r="D25" s="5" t="s">
        <v>5</v>
      </c>
      <c r="E25" s="17">
        <v>0.95</v>
      </c>
      <c r="G25" s="1" t="s">
        <v>55</v>
      </c>
      <c r="H25" s="1" t="s">
        <v>33</v>
      </c>
    </row>
    <row r="26" spans="2:8" ht="17.649999999999999" x14ac:dyDescent="0.6">
      <c r="B26" s="1" t="s">
        <v>56</v>
      </c>
      <c r="C26" s="2" t="s">
        <v>57</v>
      </c>
      <c r="D26" s="5" t="s">
        <v>5</v>
      </c>
      <c r="E26" s="13">
        <f>E25*E24</f>
        <v>3.8844104242729434</v>
      </c>
      <c r="F26" s="4" t="s">
        <v>33</v>
      </c>
    </row>
    <row r="27" spans="2:8" ht="17.649999999999999" x14ac:dyDescent="0.6">
      <c r="B27" s="1" t="s">
        <v>58</v>
      </c>
      <c r="C27" s="2" t="s">
        <v>59</v>
      </c>
      <c r="D27" s="5" t="s">
        <v>5</v>
      </c>
      <c r="E27" s="13">
        <f>E24*E19</f>
        <v>3.6799677703638416</v>
      </c>
      <c r="F27" s="4" t="s">
        <v>33</v>
      </c>
    </row>
    <row r="28" spans="2:8" ht="17.649999999999999" x14ac:dyDescent="0.6">
      <c r="B28" s="1" t="s">
        <v>60</v>
      </c>
      <c r="C28" s="2" t="s">
        <v>61</v>
      </c>
      <c r="D28" s="5" t="s">
        <v>5</v>
      </c>
      <c r="E28" s="13">
        <f>E24*E20</f>
        <v>0.61332796172730686</v>
      </c>
      <c r="F28" s="4" t="s">
        <v>33</v>
      </c>
    </row>
    <row r="29" spans="2:8" ht="17.649999999999999" x14ac:dyDescent="0.6">
      <c r="B29" s="1" t="s">
        <v>62</v>
      </c>
      <c r="C29" s="2" t="s">
        <v>63</v>
      </c>
      <c r="D29" s="5" t="s">
        <v>5</v>
      </c>
      <c r="E29" s="17">
        <v>0.1</v>
      </c>
    </row>
    <row r="30" spans="2:8" ht="17.649999999999999" x14ac:dyDescent="0.6">
      <c r="B30" s="1" t="s">
        <v>64</v>
      </c>
      <c r="C30" s="2" t="s">
        <v>65</v>
      </c>
      <c r="D30" s="5" t="s">
        <v>5</v>
      </c>
      <c r="E30" s="13">
        <f>E24*E29</f>
        <v>0.40888530781820465</v>
      </c>
      <c r="F30" s="4" t="s">
        <v>33</v>
      </c>
    </row>
    <row r="31" spans="2:8" ht="17.649999999999999" x14ac:dyDescent="0.6">
      <c r="B31" s="1" t="s">
        <v>66</v>
      </c>
      <c r="C31" s="2" t="s">
        <v>67</v>
      </c>
      <c r="D31" s="5" t="s">
        <v>5</v>
      </c>
      <c r="E31" s="17">
        <v>0.05</v>
      </c>
      <c r="F31" s="4"/>
    </row>
    <row r="32" spans="2:8" ht="17.649999999999999" x14ac:dyDescent="0.6">
      <c r="B32" s="1" t="s">
        <v>68</v>
      </c>
      <c r="C32" s="2" t="s">
        <v>69</v>
      </c>
      <c r="D32" s="5" t="s">
        <v>5</v>
      </c>
      <c r="E32" s="13">
        <f>E31*E24</f>
        <v>0.20444265390910232</v>
      </c>
      <c r="F32" s="4" t="s">
        <v>33</v>
      </c>
    </row>
    <row r="33" spans="2:6" x14ac:dyDescent="0.45">
      <c r="B33" s="1" t="s">
        <v>70</v>
      </c>
      <c r="D33" s="5" t="s">
        <v>5</v>
      </c>
      <c r="E33" s="17">
        <v>0.03</v>
      </c>
    </row>
    <row r="34" spans="2:6" ht="17.649999999999999" x14ac:dyDescent="0.6">
      <c r="B34" s="1" t="s">
        <v>71</v>
      </c>
      <c r="C34" s="11" t="s">
        <v>72</v>
      </c>
      <c r="D34" s="5" t="s">
        <v>5</v>
      </c>
      <c r="E34" s="13">
        <f>E33*E24</f>
        <v>0.12266559234546137</v>
      </c>
      <c r="F34" s="4" t="s">
        <v>33</v>
      </c>
    </row>
    <row r="35" spans="2:6" ht="17.649999999999999" x14ac:dyDescent="0.6">
      <c r="B35" s="1" t="s">
        <v>73</v>
      </c>
      <c r="C35" s="2" t="s">
        <v>74</v>
      </c>
      <c r="D35" s="5" t="s">
        <v>5</v>
      </c>
      <c r="E35" s="17">
        <v>0.05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"/>
  <sheetViews>
    <sheetView workbookViewId="0">
      <selection activeCell="G15" sqref="G15"/>
    </sheetView>
  </sheetViews>
  <sheetFormatPr defaultColWidth="9.1328125" defaultRowHeight="15.4" x14ac:dyDescent="0.45"/>
  <cols>
    <col min="1" max="1" width="5.73046875" style="3" customWidth="1"/>
    <col min="2" max="2" width="16.59765625" style="1" bestFit="1" customWidth="1"/>
    <col min="3" max="7" width="9.1328125" style="1"/>
    <col min="8" max="8" width="3.73046875" style="1" customWidth="1"/>
    <col min="9" max="11" width="8.73046875" style="1" customWidth="1"/>
    <col min="12" max="12" width="3.73046875" style="1" customWidth="1"/>
    <col min="13" max="14" width="10.73046875" style="1" customWidth="1"/>
    <col min="15" max="15" width="12.59765625" style="1" customWidth="1"/>
    <col min="16" max="16" width="3.73046875" style="1" customWidth="1"/>
    <col min="17" max="19" width="8.73046875" style="1" customWidth="1"/>
    <col min="20" max="16384" width="9.1328125" style="1"/>
  </cols>
  <sheetData>
    <row r="1" spans="1:20" x14ac:dyDescent="0.45">
      <c r="A1" s="20" t="s">
        <v>75</v>
      </c>
    </row>
    <row r="3" spans="1:20" x14ac:dyDescent="0.45">
      <c r="C3" s="3"/>
      <c r="D3" s="3"/>
      <c r="E3" s="3"/>
      <c r="F3" s="3"/>
      <c r="G3" s="3"/>
      <c r="H3" s="3"/>
      <c r="I3" s="50" t="s">
        <v>76</v>
      </c>
      <c r="J3" s="50"/>
      <c r="K3" s="50"/>
      <c r="L3" s="8"/>
      <c r="M3" s="8"/>
      <c r="N3" s="8"/>
      <c r="O3" s="8"/>
      <c r="P3" s="8"/>
      <c r="Q3" s="51" t="s">
        <v>77</v>
      </c>
      <c r="R3" s="51"/>
      <c r="S3" s="51"/>
    </row>
    <row r="4" spans="1:20" ht="31.15" customHeight="1" x14ac:dyDescent="0.45">
      <c r="A4" s="20" t="s">
        <v>78</v>
      </c>
      <c r="I4" s="50" t="s">
        <v>79</v>
      </c>
      <c r="J4" s="52"/>
      <c r="K4" s="52"/>
    </row>
    <row r="5" spans="1:20" ht="31.9" x14ac:dyDescent="0.6">
      <c r="A5" s="3" t="s">
        <v>80</v>
      </c>
      <c r="B5" s="1" t="s">
        <v>81</v>
      </c>
      <c r="C5" s="3" t="s">
        <v>82</v>
      </c>
      <c r="D5" s="8" t="s">
        <v>83</v>
      </c>
      <c r="E5" s="3" t="s">
        <v>84</v>
      </c>
      <c r="F5" s="3" t="s">
        <v>85</v>
      </c>
      <c r="G5" s="3" t="s">
        <v>86</v>
      </c>
      <c r="H5" s="8"/>
      <c r="Q5" s="34" t="s">
        <v>87</v>
      </c>
      <c r="R5" s="34" t="s">
        <v>88</v>
      </c>
      <c r="S5" s="34" t="s">
        <v>89</v>
      </c>
    </row>
    <row r="6" spans="1:20" ht="17.649999999999999" x14ac:dyDescent="0.6">
      <c r="B6" s="2" t="s">
        <v>0</v>
      </c>
      <c r="C6" s="2" t="s">
        <v>90</v>
      </c>
      <c r="D6" s="2" t="s">
        <v>91</v>
      </c>
      <c r="E6" s="2" t="s">
        <v>11</v>
      </c>
      <c r="F6" s="2" t="s">
        <v>17</v>
      </c>
      <c r="G6" s="2" t="s">
        <v>33</v>
      </c>
      <c r="H6" s="10"/>
      <c r="I6" s="2" t="s">
        <v>92</v>
      </c>
      <c r="J6" s="2" t="s">
        <v>93</v>
      </c>
      <c r="K6" s="2" t="s">
        <v>94</v>
      </c>
      <c r="L6" s="2"/>
      <c r="M6" s="11" t="s">
        <v>95</v>
      </c>
      <c r="N6" s="11" t="s">
        <v>96</v>
      </c>
      <c r="O6" s="11" t="s">
        <v>97</v>
      </c>
      <c r="P6" s="11"/>
      <c r="Q6" s="2"/>
      <c r="R6" s="2"/>
      <c r="S6" s="2"/>
      <c r="T6" s="2"/>
    </row>
    <row r="7" spans="1:20" ht="17.649999999999999" x14ac:dyDescent="0.45">
      <c r="B7" s="12" t="s">
        <v>98</v>
      </c>
      <c r="C7" s="12" t="s">
        <v>99</v>
      </c>
      <c r="D7" s="12" t="s">
        <v>99</v>
      </c>
      <c r="E7" s="12" t="s">
        <v>100</v>
      </c>
      <c r="F7" s="12" t="s">
        <v>101</v>
      </c>
      <c r="G7" s="12" t="s">
        <v>102</v>
      </c>
      <c r="H7" s="12"/>
      <c r="I7" s="12" t="s">
        <v>99</v>
      </c>
      <c r="J7" s="12" t="s">
        <v>99</v>
      </c>
      <c r="K7" s="12" t="s">
        <v>99</v>
      </c>
    </row>
    <row r="8" spans="1:20" x14ac:dyDescent="0.45">
      <c r="A8" s="5" t="s">
        <v>103</v>
      </c>
      <c r="B8" s="1" t="s">
        <v>104</v>
      </c>
      <c r="C8" s="13">
        <f>'1. Engineering'!E13</f>
        <v>3.25</v>
      </c>
      <c r="D8" s="13">
        <f>'1. Engineering'!E15</f>
        <v>2.6</v>
      </c>
      <c r="E8" s="14">
        <v>10</v>
      </c>
      <c r="F8" s="6">
        <v>7850</v>
      </c>
      <c r="G8" s="7">
        <f>C8*D8*(E8*0.001)*F8</f>
        <v>663.32500000000005</v>
      </c>
      <c r="I8" s="13">
        <f>C8/2</f>
        <v>1.625</v>
      </c>
      <c r="J8" s="13">
        <f>D8/2</f>
        <v>1.3</v>
      </c>
      <c r="K8" s="13">
        <v>0</v>
      </c>
      <c r="M8" s="13">
        <f>G8*I8</f>
        <v>1077.903125</v>
      </c>
      <c r="N8" s="13">
        <f>G8*J8</f>
        <v>862.3225000000001</v>
      </c>
      <c r="O8" s="13">
        <f>G8*K8</f>
        <v>0</v>
      </c>
    </row>
    <row r="9" spans="1:20" x14ac:dyDescent="0.45">
      <c r="A9" s="5" t="s">
        <v>105</v>
      </c>
      <c r="B9" s="1" t="s">
        <v>106</v>
      </c>
      <c r="C9" s="13">
        <f>'1. Engineering'!E13</f>
        <v>3.25</v>
      </c>
      <c r="D9" s="13">
        <f>'1. Engineering'!E15</f>
        <v>2.6</v>
      </c>
      <c r="E9" s="14">
        <v>10</v>
      </c>
      <c r="F9" s="6">
        <v>7850</v>
      </c>
      <c r="G9" s="7">
        <f>C9*D9*(E9*0.001)*F9</f>
        <v>663.32500000000005</v>
      </c>
      <c r="I9" s="13">
        <f>C9/2</f>
        <v>1.625</v>
      </c>
      <c r="J9" s="13">
        <f>D9/2</f>
        <v>1.3</v>
      </c>
      <c r="K9" s="13">
        <f>D10</f>
        <v>4.088853078182046</v>
      </c>
      <c r="M9" s="13">
        <f>G9*I9</f>
        <v>1077.903125</v>
      </c>
      <c r="N9" s="13">
        <f>G9*J9</f>
        <v>862.3225000000001</v>
      </c>
      <c r="O9" s="13">
        <f>G9*K9</f>
        <v>2712.238468085106</v>
      </c>
    </row>
    <row r="10" spans="1:20" x14ac:dyDescent="0.45">
      <c r="A10" s="5" t="s">
        <v>107</v>
      </c>
      <c r="B10" s="1" t="s">
        <v>108</v>
      </c>
      <c r="C10" s="13">
        <f>'1. Engineering'!E13</f>
        <v>3.25</v>
      </c>
      <c r="D10" s="13">
        <f>'1. Engineering'!E24</f>
        <v>4.088853078182046</v>
      </c>
      <c r="E10" s="14">
        <v>10</v>
      </c>
      <c r="F10" s="6">
        <v>7850</v>
      </c>
      <c r="G10" s="7">
        <f t="shared" ref="G10:G13" si="0">C10*D10*(E10*0.001)*F10</f>
        <v>1043.1686415711945</v>
      </c>
      <c r="I10" s="13">
        <f>C10/2</f>
        <v>1.625</v>
      </c>
      <c r="J10" s="13">
        <v>0</v>
      </c>
      <c r="K10" s="13">
        <f>D10/2</f>
        <v>2.044426539091023</v>
      </c>
      <c r="M10" s="13">
        <f t="shared" ref="M10:M13" si="1">G10*I10</f>
        <v>1695.1490425531911</v>
      </c>
      <c r="N10" s="13">
        <f t="shared" ref="N10:N13" si="2">G10*J10</f>
        <v>0</v>
      </c>
      <c r="O10" s="13">
        <f t="shared" ref="O10:O13" si="3">G10*K10</f>
        <v>2132.6816555756809</v>
      </c>
    </row>
    <row r="11" spans="1:20" x14ac:dyDescent="0.45">
      <c r="A11" s="5" t="s">
        <v>109</v>
      </c>
      <c r="B11" s="1" t="s">
        <v>110</v>
      </c>
      <c r="C11" s="13">
        <f>'1. Engineering'!E13</f>
        <v>3.25</v>
      </c>
      <c r="D11" s="13">
        <f>'1. Engineering'!E24</f>
        <v>4.088853078182046</v>
      </c>
      <c r="E11" s="14">
        <v>10</v>
      </c>
      <c r="F11" s="6">
        <v>7850</v>
      </c>
      <c r="G11" s="7">
        <f t="shared" si="0"/>
        <v>1043.1686415711945</v>
      </c>
      <c r="I11" s="13">
        <f>C11/2</f>
        <v>1.625</v>
      </c>
      <c r="J11" s="13">
        <f>D8</f>
        <v>2.6</v>
      </c>
      <c r="K11" s="13">
        <f>D11/2</f>
        <v>2.044426539091023</v>
      </c>
      <c r="M11" s="13">
        <f t="shared" si="1"/>
        <v>1695.1490425531911</v>
      </c>
      <c r="N11" s="13">
        <f t="shared" si="2"/>
        <v>2712.238468085106</v>
      </c>
      <c r="O11" s="13">
        <f t="shared" si="3"/>
        <v>2132.6816555756809</v>
      </c>
    </row>
    <row r="12" spans="1:20" x14ac:dyDescent="0.45">
      <c r="A12" s="5" t="s">
        <v>111</v>
      </c>
      <c r="B12" s="1" t="s">
        <v>112</v>
      </c>
      <c r="C12" s="13">
        <f>'1. Engineering'!E15</f>
        <v>2.6</v>
      </c>
      <c r="D12" s="13">
        <f>'1. Engineering'!E24</f>
        <v>4.088853078182046</v>
      </c>
      <c r="E12" s="14">
        <v>10</v>
      </c>
      <c r="F12" s="6">
        <v>7850</v>
      </c>
      <c r="G12" s="7">
        <f t="shared" si="0"/>
        <v>834.53491325695575</v>
      </c>
      <c r="I12" s="13">
        <v>0</v>
      </c>
      <c r="J12" s="13">
        <f>C12/2</f>
        <v>1.3</v>
      </c>
      <c r="K12" s="13">
        <f>D12/2</f>
        <v>2.044426539091023</v>
      </c>
      <c r="M12" s="13">
        <f t="shared" si="1"/>
        <v>0</v>
      </c>
      <c r="N12" s="13">
        <f t="shared" si="2"/>
        <v>1084.8953872340426</v>
      </c>
      <c r="O12" s="13">
        <f t="shared" si="3"/>
        <v>1706.1453244605452</v>
      </c>
    </row>
    <row r="13" spans="1:20" x14ac:dyDescent="0.45">
      <c r="A13" s="5" t="s">
        <v>113</v>
      </c>
      <c r="B13" s="1" t="s">
        <v>114</v>
      </c>
      <c r="C13" s="13">
        <f>'1. Engineering'!E15</f>
        <v>2.6</v>
      </c>
      <c r="D13" s="13">
        <f>'1. Engineering'!E24</f>
        <v>4.088853078182046</v>
      </c>
      <c r="E13" s="14">
        <v>10</v>
      </c>
      <c r="F13" s="6">
        <v>7850</v>
      </c>
      <c r="G13" s="7">
        <f t="shared" si="0"/>
        <v>834.53491325695575</v>
      </c>
      <c r="I13" s="13">
        <f>C10</f>
        <v>3.25</v>
      </c>
      <c r="J13" s="13">
        <f>C13/2</f>
        <v>1.3</v>
      </c>
      <c r="K13" s="13">
        <f>D13/2</f>
        <v>2.044426539091023</v>
      </c>
      <c r="M13" s="13">
        <f t="shared" si="1"/>
        <v>2712.238468085106</v>
      </c>
      <c r="N13" s="13">
        <f t="shared" si="2"/>
        <v>1084.8953872340426</v>
      </c>
      <c r="O13" s="13">
        <f t="shared" si="3"/>
        <v>1706.1453244605452</v>
      </c>
    </row>
    <row r="15" spans="1:20" ht="15.75" x14ac:dyDescent="0.5">
      <c r="F15" s="15" t="s">
        <v>115</v>
      </c>
      <c r="G15" s="48">
        <f>SUM(G8:G13)</f>
        <v>5082.0571096562999</v>
      </c>
      <c r="H15" s="4" t="s">
        <v>102</v>
      </c>
      <c r="L15" s="15" t="s">
        <v>116</v>
      </c>
      <c r="M15" s="23">
        <f>SUM(M8:M13)</f>
        <v>8258.3428031914882</v>
      </c>
      <c r="N15" s="23">
        <f>SUM(N8:N13)</f>
        <v>6606.6742425531911</v>
      </c>
      <c r="O15" s="23">
        <f>SUM(O8:O13)</f>
        <v>10389.892428157558</v>
      </c>
    </row>
    <row r="16" spans="1:20" x14ac:dyDescent="0.45">
      <c r="F16" s="15"/>
      <c r="G16" s="7"/>
      <c r="L16" s="15"/>
      <c r="M16" s="13"/>
      <c r="N16" s="13"/>
      <c r="O16" s="13"/>
    </row>
    <row r="17" spans="1:15" ht="17.649999999999999" x14ac:dyDescent="0.6">
      <c r="M17" s="2" t="s">
        <v>92</v>
      </c>
      <c r="N17" s="2" t="s">
        <v>93</v>
      </c>
      <c r="O17" s="2" t="s">
        <v>94</v>
      </c>
    </row>
    <row r="18" spans="1:15" x14ac:dyDescent="0.45">
      <c r="L18" s="15" t="s">
        <v>117</v>
      </c>
      <c r="M18" s="13">
        <f>M15/$G$15</f>
        <v>1.6250000000000002</v>
      </c>
      <c r="N18" s="13">
        <f t="shared" ref="N18:O18" si="4">N15/$G$15</f>
        <v>1.3000000000000003</v>
      </c>
      <c r="O18" s="13">
        <f t="shared" si="4"/>
        <v>2.0444265390910235</v>
      </c>
    </row>
    <row r="20" spans="1:15" x14ac:dyDescent="0.45">
      <c r="A20" s="20" t="s">
        <v>118</v>
      </c>
    </row>
    <row r="21" spans="1:15" x14ac:dyDescent="0.45">
      <c r="A21" s="9"/>
      <c r="F21" s="3" t="s">
        <v>119</v>
      </c>
      <c r="G21" s="3" t="s">
        <v>120</v>
      </c>
    </row>
    <row r="22" spans="1:15" ht="30.75" x14ac:dyDescent="0.45">
      <c r="A22" s="3" t="s">
        <v>80</v>
      </c>
      <c r="B22" s="1" t="s">
        <v>81</v>
      </c>
      <c r="C22" s="3" t="s">
        <v>82</v>
      </c>
      <c r="D22" s="8" t="s">
        <v>83</v>
      </c>
      <c r="E22" s="3"/>
      <c r="F22" s="8" t="s">
        <v>121</v>
      </c>
      <c r="G22" s="8" t="s">
        <v>121</v>
      </c>
    </row>
    <row r="23" spans="1:15" ht="17.649999999999999" x14ac:dyDescent="0.6">
      <c r="B23" s="2" t="s">
        <v>0</v>
      </c>
      <c r="C23" s="2" t="s">
        <v>90</v>
      </c>
      <c r="D23" s="2" t="s">
        <v>91</v>
      </c>
      <c r="E23" s="2"/>
      <c r="F23" s="10" t="s">
        <v>122</v>
      </c>
      <c r="G23" s="10" t="s">
        <v>123</v>
      </c>
    </row>
    <row r="24" spans="1:15" ht="17.649999999999999" x14ac:dyDescent="0.45">
      <c r="B24" s="12" t="s">
        <v>98</v>
      </c>
      <c r="C24" s="12" t="s">
        <v>99</v>
      </c>
      <c r="D24" s="12" t="s">
        <v>99</v>
      </c>
      <c r="E24" s="12"/>
      <c r="F24" s="12" t="s">
        <v>124</v>
      </c>
      <c r="G24" s="12" t="s">
        <v>124</v>
      </c>
    </row>
    <row r="25" spans="1:15" x14ac:dyDescent="0.45">
      <c r="A25" s="3">
        <v>1</v>
      </c>
      <c r="B25" s="1" t="s">
        <v>104</v>
      </c>
      <c r="C25" s="13">
        <f t="shared" ref="C25:D30" si="5">C8</f>
        <v>3.25</v>
      </c>
      <c r="D25" s="13">
        <f t="shared" si="5"/>
        <v>2.6</v>
      </c>
      <c r="E25" s="14"/>
      <c r="F25" s="7">
        <f>C25*D25</f>
        <v>8.4500000000000011</v>
      </c>
      <c r="G25" s="7">
        <f>C25*D25</f>
        <v>8.4500000000000011</v>
      </c>
    </row>
    <row r="26" spans="1:15" x14ac:dyDescent="0.45">
      <c r="A26" s="3">
        <v>2</v>
      </c>
      <c r="B26" s="1" t="s">
        <v>106</v>
      </c>
      <c r="C26" s="13">
        <f t="shared" si="5"/>
        <v>3.25</v>
      </c>
      <c r="D26" s="13">
        <f t="shared" si="5"/>
        <v>2.6</v>
      </c>
      <c r="E26" s="14"/>
      <c r="F26" s="7">
        <f t="shared" ref="F26:F30" si="6">C26*D26</f>
        <v>8.4500000000000011</v>
      </c>
      <c r="G26" s="7">
        <f t="shared" ref="G26:G30" si="7">C26*D26</f>
        <v>8.4500000000000011</v>
      </c>
    </row>
    <row r="27" spans="1:15" x14ac:dyDescent="0.45">
      <c r="A27" s="3">
        <v>3</v>
      </c>
      <c r="B27" s="1" t="s">
        <v>108</v>
      </c>
      <c r="C27" s="13">
        <f t="shared" si="5"/>
        <v>3.25</v>
      </c>
      <c r="D27" s="13">
        <f t="shared" si="5"/>
        <v>4.088853078182046</v>
      </c>
      <c r="E27" s="14"/>
      <c r="F27" s="7">
        <f t="shared" si="6"/>
        <v>13.28877250409165</v>
      </c>
      <c r="G27" s="7">
        <f t="shared" si="7"/>
        <v>13.28877250409165</v>
      </c>
    </row>
    <row r="28" spans="1:15" x14ac:dyDescent="0.45">
      <c r="A28" s="3">
        <v>4</v>
      </c>
      <c r="B28" s="1" t="s">
        <v>110</v>
      </c>
      <c r="C28" s="13">
        <f t="shared" si="5"/>
        <v>3.25</v>
      </c>
      <c r="D28" s="13">
        <f t="shared" si="5"/>
        <v>4.088853078182046</v>
      </c>
      <c r="E28" s="14"/>
      <c r="F28" s="7">
        <f t="shared" si="6"/>
        <v>13.28877250409165</v>
      </c>
      <c r="G28" s="7">
        <f t="shared" si="7"/>
        <v>13.28877250409165</v>
      </c>
    </row>
    <row r="29" spans="1:15" x14ac:dyDescent="0.45">
      <c r="A29" s="3">
        <v>5</v>
      </c>
      <c r="B29" s="1" t="s">
        <v>112</v>
      </c>
      <c r="C29" s="13">
        <f t="shared" si="5"/>
        <v>2.6</v>
      </c>
      <c r="D29" s="13">
        <f t="shared" si="5"/>
        <v>4.088853078182046</v>
      </c>
      <c r="E29" s="14"/>
      <c r="F29" s="7">
        <f t="shared" si="6"/>
        <v>10.63101800327332</v>
      </c>
      <c r="G29" s="7">
        <f t="shared" si="7"/>
        <v>10.63101800327332</v>
      </c>
    </row>
    <row r="30" spans="1:15" x14ac:dyDescent="0.45">
      <c r="A30" s="3">
        <v>6</v>
      </c>
      <c r="B30" s="1" t="s">
        <v>114</v>
      </c>
      <c r="C30" s="13">
        <f t="shared" si="5"/>
        <v>2.6</v>
      </c>
      <c r="D30" s="13">
        <f t="shared" si="5"/>
        <v>4.088853078182046</v>
      </c>
      <c r="E30" s="14"/>
      <c r="F30" s="7">
        <f t="shared" si="6"/>
        <v>10.63101800327332</v>
      </c>
      <c r="G30" s="7">
        <f t="shared" si="7"/>
        <v>10.63101800327332</v>
      </c>
    </row>
    <row r="32" spans="1:15" ht="17.649999999999999" x14ac:dyDescent="0.45">
      <c r="E32" s="15" t="s">
        <v>125</v>
      </c>
      <c r="F32" s="7">
        <f>SUM(F25:F30)</f>
        <v>64.739581014729936</v>
      </c>
    </row>
    <row r="33" spans="5:7" ht="17.649999999999999" x14ac:dyDescent="0.45">
      <c r="E33" s="15" t="s">
        <v>126</v>
      </c>
      <c r="G33" s="7">
        <f>SUM(G25:G30)</f>
        <v>64.739581014729936</v>
      </c>
    </row>
  </sheetData>
  <mergeCells count="3">
    <mergeCell ref="I3:K3"/>
    <mergeCell ref="Q3:S3"/>
    <mergeCell ref="I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workbookViewId="0">
      <selection activeCell="E36" sqref="E36"/>
    </sheetView>
  </sheetViews>
  <sheetFormatPr defaultColWidth="8.86328125" defaultRowHeight="15.4" x14ac:dyDescent="0.45"/>
  <cols>
    <col min="1" max="1" width="3.73046875" style="1" customWidth="1"/>
    <col min="2" max="2" width="46.1328125" style="1" bestFit="1" customWidth="1"/>
    <col min="3" max="3" width="14.73046875" style="2" bestFit="1" customWidth="1"/>
    <col min="4" max="4" width="3.73046875" style="3" customWidth="1"/>
    <col min="5" max="5" width="11.59765625" style="1" bestFit="1" customWidth="1"/>
    <col min="6" max="6" width="10.73046875" style="1" customWidth="1"/>
    <col min="7" max="7" width="24.59765625" style="1" bestFit="1" customWidth="1"/>
    <col min="8" max="16384" width="8.86328125" style="1"/>
  </cols>
  <sheetData>
    <row r="1" spans="1:7" x14ac:dyDescent="0.45">
      <c r="A1" s="18" t="s">
        <v>127</v>
      </c>
    </row>
    <row r="3" spans="1:7" x14ac:dyDescent="0.45">
      <c r="C3" s="2" t="s">
        <v>0</v>
      </c>
      <c r="F3" s="4" t="s">
        <v>1</v>
      </c>
      <c r="G3" s="16" t="s">
        <v>2</v>
      </c>
    </row>
    <row r="4" spans="1:7" x14ac:dyDescent="0.45">
      <c r="B4" s="16" t="s">
        <v>128</v>
      </c>
      <c r="F4" s="4"/>
      <c r="G4" s="16"/>
    </row>
    <row r="5" spans="1:7" ht="17.649999999999999" x14ac:dyDescent="0.6">
      <c r="B5" s="1" t="s">
        <v>129</v>
      </c>
      <c r="C5" s="2" t="s">
        <v>130</v>
      </c>
      <c r="D5" s="5" t="s">
        <v>5</v>
      </c>
      <c r="E5" s="48">
        <f>'2_HFO Tank dimensions'!G15</f>
        <v>5082.0571096562999</v>
      </c>
      <c r="F5" s="22" t="s">
        <v>131</v>
      </c>
      <c r="G5" s="1" t="s">
        <v>132</v>
      </c>
    </row>
    <row r="6" spans="1:7" ht="17.649999999999999" x14ac:dyDescent="0.6">
      <c r="B6" s="1" t="s">
        <v>133</v>
      </c>
      <c r="C6" s="2" t="s">
        <v>134</v>
      </c>
      <c r="D6" s="5" t="s">
        <v>5</v>
      </c>
      <c r="E6" s="17">
        <v>0.1</v>
      </c>
      <c r="F6" s="4"/>
    </row>
    <row r="7" spans="1:7" ht="17.649999999999999" x14ac:dyDescent="0.6">
      <c r="B7" s="1" t="s">
        <v>135</v>
      </c>
      <c r="C7" s="2" t="s">
        <v>136</v>
      </c>
      <c r="D7" s="5" t="s">
        <v>5</v>
      </c>
      <c r="E7" s="48">
        <f>(100%+E6)*E5</f>
        <v>5590.2628206219306</v>
      </c>
      <c r="F7" s="22" t="s">
        <v>131</v>
      </c>
    </row>
    <row r="8" spans="1:7" x14ac:dyDescent="0.45">
      <c r="D8" s="5"/>
      <c r="E8" s="7"/>
      <c r="F8" s="4"/>
    </row>
    <row r="9" spans="1:7" ht="17.649999999999999" x14ac:dyDescent="0.6">
      <c r="B9" s="1" t="s">
        <v>50</v>
      </c>
      <c r="C9" s="2" t="s">
        <v>51</v>
      </c>
      <c r="D9" s="5"/>
      <c r="E9" s="19">
        <f>'1. Engineering'!E24</f>
        <v>4.088853078182046</v>
      </c>
      <c r="F9" s="4" t="s">
        <v>33</v>
      </c>
    </row>
    <row r="10" spans="1:7" ht="17.649999999999999" x14ac:dyDescent="0.6">
      <c r="B10" s="1" t="s">
        <v>31</v>
      </c>
      <c r="C10" s="2" t="s">
        <v>32</v>
      </c>
      <c r="D10" s="5" t="s">
        <v>5</v>
      </c>
      <c r="E10" s="19">
        <f>'1. Engineering'!E13</f>
        <v>3.25</v>
      </c>
      <c r="F10" s="4" t="s">
        <v>33</v>
      </c>
    </row>
    <row r="11" spans="1:7" ht="17.649999999999999" x14ac:dyDescent="0.6">
      <c r="B11" s="1" t="s">
        <v>36</v>
      </c>
      <c r="C11" s="2" t="s">
        <v>37</v>
      </c>
      <c r="D11" s="5" t="s">
        <v>5</v>
      </c>
      <c r="E11" s="19">
        <f>'1. Engineering'!E15</f>
        <v>2.6</v>
      </c>
      <c r="F11" s="4" t="s">
        <v>33</v>
      </c>
    </row>
    <row r="12" spans="1:7" ht="18.75" x14ac:dyDescent="0.6">
      <c r="B12" s="1" t="s">
        <v>137</v>
      </c>
      <c r="C12" s="2" t="s">
        <v>138</v>
      </c>
      <c r="D12" s="5"/>
      <c r="E12" s="13">
        <f>E9*E10*E11</f>
        <v>34.550808510638291</v>
      </c>
      <c r="F12" s="4" t="s">
        <v>21</v>
      </c>
    </row>
    <row r="13" spans="1:7" ht="18.75" x14ac:dyDescent="0.6">
      <c r="B13" s="1" t="s">
        <v>16</v>
      </c>
      <c r="C13" s="2" t="s">
        <v>139</v>
      </c>
      <c r="D13" s="5"/>
      <c r="E13" s="49">
        <f>'1. Engineering'!$E$6</f>
        <v>940</v>
      </c>
      <c r="F13" s="4" t="s">
        <v>18</v>
      </c>
    </row>
    <row r="14" spans="1:7" ht="17.649999999999999" x14ac:dyDescent="0.6">
      <c r="B14" s="18" t="s">
        <v>140</v>
      </c>
      <c r="C14" s="2" t="s">
        <v>141</v>
      </c>
      <c r="D14" s="5" t="s">
        <v>5</v>
      </c>
      <c r="E14" s="6">
        <f>E13*E12</f>
        <v>32477.759999999995</v>
      </c>
      <c r="F14" s="4" t="s">
        <v>131</v>
      </c>
    </row>
    <row r="15" spans="1:7" ht="17.649999999999999" x14ac:dyDescent="0.6">
      <c r="B15" s="1" t="s">
        <v>41</v>
      </c>
      <c r="C15" s="2" t="s">
        <v>42</v>
      </c>
      <c r="D15" s="5" t="s">
        <v>5</v>
      </c>
      <c r="E15" s="17">
        <v>0.9</v>
      </c>
      <c r="F15" s="4"/>
    </row>
    <row r="16" spans="1:7" ht="17.649999999999999" x14ac:dyDescent="0.6">
      <c r="B16" s="18" t="s">
        <v>142</v>
      </c>
      <c r="C16" s="2" t="s">
        <v>143</v>
      </c>
      <c r="D16" s="5" t="s">
        <v>5</v>
      </c>
      <c r="E16" s="44">
        <f>E15*E14</f>
        <v>29229.983999999997</v>
      </c>
      <c r="F16" s="4" t="s">
        <v>131</v>
      </c>
    </row>
    <row r="17" spans="2:7" x14ac:dyDescent="0.45">
      <c r="D17" s="5"/>
      <c r="E17" s="13"/>
      <c r="F17" s="4"/>
    </row>
    <row r="18" spans="2:7" ht="17.649999999999999" x14ac:dyDescent="0.6">
      <c r="B18" s="18" t="s">
        <v>144</v>
      </c>
      <c r="C18" s="2" t="s">
        <v>145</v>
      </c>
      <c r="D18" s="5" t="s">
        <v>5</v>
      </c>
      <c r="E18" s="44">
        <f>(E23*E12)</f>
        <v>25.913106382978718</v>
      </c>
      <c r="F18" s="4" t="s">
        <v>131</v>
      </c>
    </row>
    <row r="19" spans="2:7" x14ac:dyDescent="0.45">
      <c r="D19" s="5"/>
      <c r="E19" s="6"/>
      <c r="F19" s="4"/>
    </row>
    <row r="20" spans="2:7" x14ac:dyDescent="0.45">
      <c r="B20" s="16" t="s">
        <v>146</v>
      </c>
      <c r="D20" s="5"/>
      <c r="E20" s="6"/>
      <c r="F20" s="4"/>
    </row>
    <row r="21" spans="2:7" ht="17.649999999999999" x14ac:dyDescent="0.6">
      <c r="B21" s="1" t="s">
        <v>41</v>
      </c>
      <c r="C21" s="2" t="s">
        <v>42</v>
      </c>
      <c r="D21" s="5" t="s">
        <v>5</v>
      </c>
      <c r="E21" s="17">
        <v>0.9</v>
      </c>
    </row>
    <row r="22" spans="2:7" ht="17.649999999999999" x14ac:dyDescent="0.6">
      <c r="B22" s="1" t="s">
        <v>44</v>
      </c>
      <c r="C22" s="2" t="s">
        <v>45</v>
      </c>
      <c r="D22" s="5" t="s">
        <v>5</v>
      </c>
      <c r="E22" s="17">
        <v>0.15</v>
      </c>
    </row>
    <row r="23" spans="2:7" ht="17.649999999999999" x14ac:dyDescent="0.6">
      <c r="B23" s="1" t="s">
        <v>46</v>
      </c>
      <c r="C23" s="11" t="s">
        <v>47</v>
      </c>
      <c r="D23" s="5" t="s">
        <v>5</v>
      </c>
      <c r="E23" s="17">
        <f>E21-E22</f>
        <v>0.75</v>
      </c>
      <c r="F23" s="4"/>
    </row>
    <row r="24" spans="2:7" ht="18.75" x14ac:dyDescent="0.6">
      <c r="B24" s="1" t="s">
        <v>147</v>
      </c>
      <c r="C24" s="2" t="s">
        <v>148</v>
      </c>
      <c r="D24" s="5" t="s">
        <v>5</v>
      </c>
      <c r="E24" s="48">
        <f>E23*E12</f>
        <v>25.913106382978718</v>
      </c>
      <c r="F24" s="4" t="s">
        <v>21</v>
      </c>
    </row>
    <row r="25" spans="2:7" ht="17.649999999999999" x14ac:dyDescent="0.6">
      <c r="B25" s="1" t="s">
        <v>149</v>
      </c>
      <c r="C25" s="2" t="s">
        <v>150</v>
      </c>
      <c r="D25" s="5" t="s">
        <v>5</v>
      </c>
      <c r="E25" s="1">
        <v>4</v>
      </c>
      <c r="F25" s="4" t="s">
        <v>12</v>
      </c>
      <c r="G25" s="1" t="s">
        <v>151</v>
      </c>
    </row>
    <row r="26" spans="2:7" ht="18.75" x14ac:dyDescent="0.6">
      <c r="B26" s="1" t="s">
        <v>152</v>
      </c>
      <c r="C26" s="2" t="s">
        <v>153</v>
      </c>
      <c r="D26" s="5" t="s">
        <v>5</v>
      </c>
      <c r="E26" s="7">
        <f>E24/E25</f>
        <v>6.4782765957446795</v>
      </c>
      <c r="F26" s="4" t="s">
        <v>154</v>
      </c>
    </row>
    <row r="27" spans="2:7" x14ac:dyDescent="0.45">
      <c r="D27" s="5"/>
      <c r="E27" s="6"/>
      <c r="F27" s="4"/>
    </row>
    <row r="28" spans="2:7" x14ac:dyDescent="0.45">
      <c r="B28" s="16" t="s">
        <v>155</v>
      </c>
      <c r="D28" s="5"/>
      <c r="E28" s="6"/>
      <c r="F28" s="4"/>
    </row>
    <row r="29" spans="2:7" ht="18.75" x14ac:dyDescent="0.6">
      <c r="B29" s="1" t="s">
        <v>152</v>
      </c>
      <c r="C29" s="2" t="s">
        <v>153</v>
      </c>
      <c r="D29" s="5" t="s">
        <v>5</v>
      </c>
      <c r="E29" s="7">
        <v>5</v>
      </c>
      <c r="F29" s="4" t="s">
        <v>154</v>
      </c>
    </row>
    <row r="30" spans="2:7" ht="17.649999999999999" x14ac:dyDescent="0.45">
      <c r="D30" s="5" t="s">
        <v>5</v>
      </c>
      <c r="E30" s="1">
        <f>E29/3600</f>
        <v>1.3888888888888889E-3</v>
      </c>
      <c r="F30" s="4" t="s">
        <v>156</v>
      </c>
    </row>
    <row r="31" spans="2:7" ht="17.649999999999999" x14ac:dyDescent="0.6">
      <c r="B31" s="1" t="s">
        <v>157</v>
      </c>
      <c r="C31" s="2" t="s">
        <v>158</v>
      </c>
      <c r="D31" s="5" t="s">
        <v>5</v>
      </c>
      <c r="E31" s="1">
        <v>0.6</v>
      </c>
      <c r="F31" s="4" t="s">
        <v>159</v>
      </c>
    </row>
    <row r="32" spans="2:7" ht="18.75" x14ac:dyDescent="0.6">
      <c r="B32" s="1" t="s">
        <v>160</v>
      </c>
      <c r="C32" s="2" t="s">
        <v>161</v>
      </c>
      <c r="D32" s="5" t="s">
        <v>5</v>
      </c>
      <c r="E32" s="1">
        <f>E30/E31</f>
        <v>2.3148148148148151E-3</v>
      </c>
      <c r="F32" s="4" t="s">
        <v>162</v>
      </c>
    </row>
    <row r="33" spans="2:6" ht="17.649999999999999" x14ac:dyDescent="0.6">
      <c r="B33" s="1" t="s">
        <v>163</v>
      </c>
      <c r="C33" s="2" t="s">
        <v>164</v>
      </c>
      <c r="D33" s="5" t="s">
        <v>5</v>
      </c>
      <c r="E33" s="1">
        <f>(4/PI()*E32)^0.5</f>
        <v>5.4289167989213329E-2</v>
      </c>
      <c r="F33" s="4" t="s">
        <v>33</v>
      </c>
    </row>
    <row r="34" spans="2:6" x14ac:dyDescent="0.45">
      <c r="D34" s="5" t="s">
        <v>5</v>
      </c>
      <c r="E34" s="14">
        <f>E33*1000</f>
        <v>54.289167989213325</v>
      </c>
      <c r="F34" s="4" t="s">
        <v>24</v>
      </c>
    </row>
    <row r="35" spans="2:6" x14ac:dyDescent="0.45">
      <c r="B35" s="1" t="s">
        <v>165</v>
      </c>
      <c r="D35" s="5" t="s">
        <v>5</v>
      </c>
      <c r="E35" s="1">
        <v>50</v>
      </c>
      <c r="F35" s="4" t="s">
        <v>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topLeftCell="E66" workbookViewId="0">
      <selection activeCell="F19" sqref="F19"/>
    </sheetView>
  </sheetViews>
  <sheetFormatPr defaultColWidth="9.1328125" defaultRowHeight="15.4" x14ac:dyDescent="0.45"/>
  <cols>
    <col min="1" max="1" width="3.73046875" style="3" customWidth="1"/>
    <col min="2" max="2" width="30.265625" style="1" bestFit="1" customWidth="1"/>
    <col min="3" max="3" width="8.73046875" style="34" customWidth="1"/>
    <col min="4" max="4" width="3.73046875" style="36" customWidth="1"/>
    <col min="5" max="5" width="7.1328125" style="1" bestFit="1" customWidth="1"/>
    <col min="6" max="6" width="10.73046875" style="1" customWidth="1"/>
    <col min="7" max="7" width="5.73046875" style="1" customWidth="1"/>
    <col min="8" max="8" width="15.73046875" style="1" customWidth="1"/>
    <col min="9" max="15" width="8.73046875" style="1" customWidth="1"/>
    <col min="16" max="16" width="10.73046875" style="1" customWidth="1"/>
    <col min="17" max="17" width="9.1328125" style="1"/>
    <col min="18" max="18" width="11" style="1" bestFit="1" customWidth="1"/>
    <col min="19" max="16384" width="9.1328125" style="1"/>
  </cols>
  <sheetData>
    <row r="1" spans="1:18" x14ac:dyDescent="0.45">
      <c r="A1" s="20" t="s">
        <v>167</v>
      </c>
    </row>
    <row r="2" spans="1:18" x14ac:dyDescent="0.45">
      <c r="H2" s="16" t="s">
        <v>168</v>
      </c>
    </row>
    <row r="3" spans="1:18" ht="17.649999999999999" x14ac:dyDescent="0.6">
      <c r="B3" s="25" t="s">
        <v>169</v>
      </c>
      <c r="C3" s="27" t="s">
        <v>170</v>
      </c>
      <c r="D3" s="37" t="s">
        <v>5</v>
      </c>
      <c r="E3" s="28">
        <v>60</v>
      </c>
      <c r="F3" s="29" t="s">
        <v>171</v>
      </c>
      <c r="G3" s="29"/>
      <c r="H3" s="25" t="s">
        <v>172</v>
      </c>
      <c r="I3" s="26" t="s">
        <v>173</v>
      </c>
      <c r="J3" s="26" t="s">
        <v>174</v>
      </c>
      <c r="K3" s="26" t="s">
        <v>175</v>
      </c>
      <c r="L3" s="27" t="s">
        <v>176</v>
      </c>
      <c r="M3" s="27" t="s">
        <v>177</v>
      </c>
      <c r="N3" s="27" t="s">
        <v>178</v>
      </c>
      <c r="O3" s="27" t="s">
        <v>179</v>
      </c>
      <c r="P3" s="27" t="s">
        <v>180</v>
      </c>
    </row>
    <row r="4" spans="1:18" ht="18.75" x14ac:dyDescent="0.6">
      <c r="B4" s="25"/>
      <c r="C4" s="27" t="s">
        <v>178</v>
      </c>
      <c r="D4" s="37" t="s">
        <v>5</v>
      </c>
      <c r="E4" s="28">
        <f>E3+273</f>
        <v>333</v>
      </c>
      <c r="F4" s="25" t="s">
        <v>181</v>
      </c>
      <c r="G4" s="25"/>
      <c r="I4" s="12" t="s">
        <v>99</v>
      </c>
      <c r="J4" s="12" t="s">
        <v>99</v>
      </c>
      <c r="K4" s="12" t="s">
        <v>124</v>
      </c>
      <c r="L4" s="39" t="s">
        <v>182</v>
      </c>
      <c r="M4" s="12" t="s">
        <v>99</v>
      </c>
      <c r="N4" s="12" t="s">
        <v>183</v>
      </c>
      <c r="O4" s="12" t="s">
        <v>183</v>
      </c>
      <c r="P4" s="12" t="s">
        <v>184</v>
      </c>
    </row>
    <row r="5" spans="1:18" ht="17.649999999999999" x14ac:dyDescent="0.6">
      <c r="B5" s="25" t="s">
        <v>185</v>
      </c>
      <c r="C5" s="27" t="s">
        <v>186</v>
      </c>
      <c r="D5" s="37" t="s">
        <v>5</v>
      </c>
      <c r="E5" s="28">
        <v>30</v>
      </c>
      <c r="F5" s="29" t="s">
        <v>171</v>
      </c>
      <c r="G5" s="29"/>
      <c r="H5" s="1" t="s">
        <v>104</v>
      </c>
      <c r="I5" s="40">
        <f>'2_HFO Tank dimensions'!C25</f>
        <v>3.25</v>
      </c>
      <c r="J5" s="40">
        <f>'2_HFO Tank dimensions'!D25</f>
        <v>2.6</v>
      </c>
      <c r="K5" s="41">
        <f>I5*J5</f>
        <v>8.4500000000000011</v>
      </c>
      <c r="L5" s="42">
        <f>E8</f>
        <v>43</v>
      </c>
      <c r="M5" s="40">
        <f>$E$10</f>
        <v>0.01</v>
      </c>
      <c r="N5" s="42">
        <f>$E$4</f>
        <v>333</v>
      </c>
      <c r="O5" s="42">
        <f>$E$6</f>
        <v>303</v>
      </c>
      <c r="P5" s="43">
        <f>(L5/M5)*(K5)*(N5-O5)</f>
        <v>1090050.0000000002</v>
      </c>
    </row>
    <row r="6" spans="1:18" ht="17.649999999999999" x14ac:dyDescent="0.6">
      <c r="B6" s="25"/>
      <c r="C6" s="27" t="s">
        <v>179</v>
      </c>
      <c r="D6" s="37" t="s">
        <v>5</v>
      </c>
      <c r="E6" s="28">
        <f>E5+273</f>
        <v>303</v>
      </c>
      <c r="F6" s="25" t="s">
        <v>181</v>
      </c>
      <c r="G6" s="25"/>
      <c r="H6" s="1" t="s">
        <v>106</v>
      </c>
      <c r="I6" s="40">
        <f>'2_HFO Tank dimensions'!C26</f>
        <v>3.25</v>
      </c>
      <c r="J6" s="40">
        <f>'2_HFO Tank dimensions'!D26</f>
        <v>2.6</v>
      </c>
      <c r="K6" s="41">
        <f t="shared" ref="K6:K10" si="0">I6*J6</f>
        <v>8.4500000000000011</v>
      </c>
      <c r="L6" s="42">
        <f>$L$5</f>
        <v>43</v>
      </c>
      <c r="M6" s="40">
        <f>$M$5</f>
        <v>0.01</v>
      </c>
      <c r="N6" s="42">
        <f>$N$5</f>
        <v>333</v>
      </c>
      <c r="O6" s="42">
        <f>$O$5</f>
        <v>303</v>
      </c>
      <c r="P6" s="43">
        <f t="shared" ref="P6:P10" si="1">(L6/M6)*(K6)*(N6-O6)</f>
        <v>1090050.0000000002</v>
      </c>
    </row>
    <row r="7" spans="1:18" x14ac:dyDescent="0.45">
      <c r="B7" s="25" t="s">
        <v>187</v>
      </c>
      <c r="C7" s="31" t="s">
        <v>188</v>
      </c>
      <c r="D7" s="37" t="s">
        <v>5</v>
      </c>
      <c r="E7" s="28">
        <f>E4-E6</f>
        <v>30</v>
      </c>
      <c r="F7" s="25" t="s">
        <v>181</v>
      </c>
      <c r="G7" s="25"/>
      <c r="H7" s="1" t="s">
        <v>108</v>
      </c>
      <c r="I7" s="40">
        <f>'2_HFO Tank dimensions'!C27</f>
        <v>3.25</v>
      </c>
      <c r="J7" s="40">
        <f>'2_HFO Tank dimensions'!D27</f>
        <v>4.088853078182046</v>
      </c>
      <c r="K7" s="41">
        <f t="shared" si="0"/>
        <v>13.28877250409165</v>
      </c>
      <c r="L7" s="42">
        <f t="shared" ref="L7:L10" si="2">$L$5</f>
        <v>43</v>
      </c>
      <c r="M7" s="40">
        <f t="shared" ref="M7:M10" si="3">$M$5</f>
        <v>0.01</v>
      </c>
      <c r="N7" s="42">
        <f t="shared" ref="N7:N10" si="4">$N$5</f>
        <v>333</v>
      </c>
      <c r="O7" s="42">
        <f t="shared" ref="O7:O10" si="5">$O$5</f>
        <v>303</v>
      </c>
      <c r="P7" s="43">
        <f t="shared" si="1"/>
        <v>1714251.6530278227</v>
      </c>
    </row>
    <row r="8" spans="1:18" ht="17.649999999999999" x14ac:dyDescent="0.6">
      <c r="B8" s="25" t="s">
        <v>189</v>
      </c>
      <c r="C8" s="27" t="s">
        <v>190</v>
      </c>
      <c r="D8" s="37" t="s">
        <v>5</v>
      </c>
      <c r="E8" s="28">
        <v>43</v>
      </c>
      <c r="F8" s="25" t="s">
        <v>191</v>
      </c>
      <c r="G8" s="25"/>
      <c r="H8" s="1" t="s">
        <v>110</v>
      </c>
      <c r="I8" s="40">
        <f>'2_HFO Tank dimensions'!C28</f>
        <v>3.25</v>
      </c>
      <c r="J8" s="40">
        <f>'2_HFO Tank dimensions'!D28</f>
        <v>4.088853078182046</v>
      </c>
      <c r="K8" s="41">
        <f t="shared" si="0"/>
        <v>13.28877250409165</v>
      </c>
      <c r="L8" s="42">
        <f t="shared" si="2"/>
        <v>43</v>
      </c>
      <c r="M8" s="40">
        <f t="shared" si="3"/>
        <v>0.01</v>
      </c>
      <c r="N8" s="42">
        <f t="shared" si="4"/>
        <v>333</v>
      </c>
      <c r="O8" s="42">
        <f t="shared" si="5"/>
        <v>303</v>
      </c>
      <c r="P8" s="43">
        <f t="shared" si="1"/>
        <v>1714251.6530278227</v>
      </c>
    </row>
    <row r="9" spans="1:18" x14ac:dyDescent="0.45">
      <c r="B9" s="25" t="s">
        <v>192</v>
      </c>
      <c r="C9" s="27" t="s">
        <v>193</v>
      </c>
      <c r="D9" s="37" t="s">
        <v>5</v>
      </c>
      <c r="E9" s="28">
        <f>'2_HFO Tank dimensions'!E8</f>
        <v>10</v>
      </c>
      <c r="F9" s="25" t="s">
        <v>24</v>
      </c>
      <c r="G9" s="25"/>
      <c r="H9" s="1" t="s">
        <v>112</v>
      </c>
      <c r="I9" s="40">
        <f>'2_HFO Tank dimensions'!C29</f>
        <v>2.6</v>
      </c>
      <c r="J9" s="40">
        <f>'2_HFO Tank dimensions'!D29</f>
        <v>4.088853078182046</v>
      </c>
      <c r="K9" s="41">
        <f t="shared" si="0"/>
        <v>10.63101800327332</v>
      </c>
      <c r="L9" s="42">
        <f t="shared" si="2"/>
        <v>43</v>
      </c>
      <c r="M9" s="40">
        <f t="shared" si="3"/>
        <v>0.01</v>
      </c>
      <c r="N9" s="42">
        <f t="shared" si="4"/>
        <v>333</v>
      </c>
      <c r="O9" s="42">
        <f t="shared" si="5"/>
        <v>303</v>
      </c>
      <c r="P9" s="43">
        <f t="shared" si="1"/>
        <v>1371401.3224222583</v>
      </c>
    </row>
    <row r="10" spans="1:18" x14ac:dyDescent="0.45">
      <c r="B10" s="25"/>
      <c r="C10" s="27" t="s">
        <v>193</v>
      </c>
      <c r="D10" s="37" t="s">
        <v>5</v>
      </c>
      <c r="E10" s="30">
        <f>E9/1000</f>
        <v>0.01</v>
      </c>
      <c r="F10" s="25" t="s">
        <v>33</v>
      </c>
      <c r="G10" s="25"/>
      <c r="H10" s="1" t="s">
        <v>114</v>
      </c>
      <c r="I10" s="40">
        <f>'2_HFO Tank dimensions'!C30</f>
        <v>2.6</v>
      </c>
      <c r="J10" s="40">
        <f>'2_HFO Tank dimensions'!D30</f>
        <v>4.088853078182046</v>
      </c>
      <c r="K10" s="41">
        <f t="shared" si="0"/>
        <v>10.63101800327332</v>
      </c>
      <c r="L10" s="42">
        <f t="shared" si="2"/>
        <v>43</v>
      </c>
      <c r="M10" s="40">
        <f t="shared" si="3"/>
        <v>0.01</v>
      </c>
      <c r="N10" s="42">
        <f t="shared" si="4"/>
        <v>333</v>
      </c>
      <c r="O10" s="42">
        <f t="shared" si="5"/>
        <v>303</v>
      </c>
      <c r="P10" s="43">
        <f t="shared" si="1"/>
        <v>1371401.3224222583</v>
      </c>
    </row>
    <row r="11" spans="1:18" x14ac:dyDescent="0.45">
      <c r="O11" s="15" t="s">
        <v>194</v>
      </c>
      <c r="P11" s="6">
        <f>SUM(P5:P10)</f>
        <v>8351405.9509001635</v>
      </c>
    </row>
    <row r="12" spans="1:18" x14ac:dyDescent="0.45">
      <c r="B12" s="25" t="s">
        <v>195</v>
      </c>
      <c r="C12" s="27"/>
      <c r="D12" s="38"/>
      <c r="E12" s="28"/>
      <c r="F12" s="25"/>
      <c r="G12" s="25"/>
      <c r="H12" s="25"/>
    </row>
    <row r="13" spans="1:18" x14ac:dyDescent="0.45">
      <c r="H13" s="25"/>
    </row>
    <row r="14" spans="1:18" x14ac:dyDescent="0.45">
      <c r="B14" s="25" t="s">
        <v>196</v>
      </c>
      <c r="H14" s="16" t="s">
        <v>197</v>
      </c>
    </row>
    <row r="15" spans="1:18" ht="17.649999999999999" x14ac:dyDescent="0.6">
      <c r="B15" s="25" t="s">
        <v>195</v>
      </c>
      <c r="C15" s="27"/>
      <c r="D15" s="38"/>
      <c r="E15" s="32"/>
      <c r="F15" s="32"/>
      <c r="G15" s="32"/>
      <c r="H15" s="25" t="s">
        <v>172</v>
      </c>
      <c r="I15" s="26" t="s">
        <v>173</v>
      </c>
      <c r="J15" s="26" t="s">
        <v>174</v>
      </c>
      <c r="K15" s="26" t="s">
        <v>175</v>
      </c>
      <c r="L15" s="27" t="s">
        <v>198</v>
      </c>
      <c r="M15" s="27" t="s">
        <v>199</v>
      </c>
      <c r="N15" s="27" t="s">
        <v>200</v>
      </c>
      <c r="O15" s="27" t="s">
        <v>201</v>
      </c>
      <c r="P15" s="27" t="s">
        <v>178</v>
      </c>
      <c r="Q15" s="27" t="s">
        <v>179</v>
      </c>
      <c r="R15" s="27" t="s">
        <v>180</v>
      </c>
    </row>
    <row r="16" spans="1:18" ht="17.649999999999999" x14ac:dyDescent="0.45">
      <c r="C16" s="27"/>
      <c r="D16" s="38"/>
      <c r="E16" s="32"/>
      <c r="F16" s="32"/>
      <c r="G16" s="32"/>
      <c r="I16" s="12" t="s">
        <v>99</v>
      </c>
      <c r="J16" s="12" t="s">
        <v>99</v>
      </c>
      <c r="K16" s="12" t="s">
        <v>124</v>
      </c>
      <c r="L16" s="39" t="s">
        <v>182</v>
      </c>
      <c r="M16" s="12" t="s">
        <v>99</v>
      </c>
      <c r="N16" s="39" t="s">
        <v>182</v>
      </c>
      <c r="O16" s="12" t="s">
        <v>99</v>
      </c>
      <c r="P16" s="12" t="s">
        <v>183</v>
      </c>
      <c r="Q16" s="12" t="s">
        <v>183</v>
      </c>
      <c r="R16" s="12" t="s">
        <v>184</v>
      </c>
    </row>
    <row r="17" spans="2:18" x14ac:dyDescent="0.45">
      <c r="B17" s="25"/>
      <c r="C17" s="27"/>
      <c r="D17" s="38"/>
      <c r="E17" s="30"/>
      <c r="F17" s="32"/>
      <c r="G17" s="32"/>
      <c r="H17" s="1" t="s">
        <v>104</v>
      </c>
      <c r="I17" s="40">
        <f>I5</f>
        <v>3.25</v>
      </c>
      <c r="J17" s="40">
        <f t="shared" ref="J17:J22" si="6">J5</f>
        <v>2.6</v>
      </c>
      <c r="K17" s="41">
        <f>I17*J17</f>
        <v>8.4500000000000011</v>
      </c>
      <c r="L17" s="42">
        <f>E20</f>
        <v>43</v>
      </c>
      <c r="M17" s="40">
        <f>$E$10</f>
        <v>0.01</v>
      </c>
      <c r="N17" s="21">
        <f>$E$23</f>
        <v>4.4999999999999998E-2</v>
      </c>
      <c r="O17" s="13">
        <f>$E$22</f>
        <v>0.05</v>
      </c>
      <c r="P17" s="42">
        <f>$E$4</f>
        <v>333</v>
      </c>
      <c r="Q17" s="42">
        <f>$E$6</f>
        <v>303</v>
      </c>
      <c r="R17" s="43">
        <f>(P17-Q17)/((M17/(L17*K17))+(O17/(N17*K17)))</f>
        <v>228.10225766699995</v>
      </c>
    </row>
    <row r="18" spans="2:18" ht="17.649999999999999" x14ac:dyDescent="0.6">
      <c r="B18" s="25" t="s">
        <v>192</v>
      </c>
      <c r="C18" s="27" t="s">
        <v>202</v>
      </c>
      <c r="D18" s="37" t="s">
        <v>5</v>
      </c>
      <c r="E18" s="28">
        <v>10</v>
      </c>
      <c r="F18" s="25" t="s">
        <v>24</v>
      </c>
      <c r="G18" s="25"/>
      <c r="H18" s="1" t="s">
        <v>106</v>
      </c>
      <c r="I18" s="40">
        <f t="shared" ref="I18:I22" si="7">I6</f>
        <v>3.25</v>
      </c>
      <c r="J18" s="40">
        <f t="shared" si="6"/>
        <v>2.6</v>
      </c>
      <c r="K18" s="41">
        <f t="shared" ref="K18:K22" si="8">I18*J18</f>
        <v>8.4500000000000011</v>
      </c>
      <c r="L18" s="42">
        <f>$L$5</f>
        <v>43</v>
      </c>
      <c r="M18" s="40">
        <f>$M$5</f>
        <v>0.01</v>
      </c>
      <c r="N18" s="21">
        <f>$N$17</f>
        <v>4.4999999999999998E-2</v>
      </c>
      <c r="O18" s="13">
        <f>$O$17</f>
        <v>0.05</v>
      </c>
      <c r="P18" s="42">
        <f>$N$5</f>
        <v>333</v>
      </c>
      <c r="Q18" s="42">
        <f>$O$5</f>
        <v>303</v>
      </c>
      <c r="R18" s="43">
        <f t="shared" ref="R18:R22" si="9">(P18-Q18)/((M18/(L18*K18))+(O18/(N18*K18)))</f>
        <v>228.10225766699995</v>
      </c>
    </row>
    <row r="19" spans="2:18" ht="17.649999999999999" x14ac:dyDescent="0.6">
      <c r="B19" s="25"/>
      <c r="C19" s="27" t="s">
        <v>202</v>
      </c>
      <c r="D19" s="37" t="s">
        <v>5</v>
      </c>
      <c r="E19" s="30">
        <f>E18/1000</f>
        <v>0.01</v>
      </c>
      <c r="F19" s="25" t="s">
        <v>33</v>
      </c>
      <c r="G19" s="25"/>
      <c r="H19" s="1" t="s">
        <v>108</v>
      </c>
      <c r="I19" s="40">
        <f t="shared" si="7"/>
        <v>3.25</v>
      </c>
      <c r="J19" s="40">
        <f t="shared" si="6"/>
        <v>4.088853078182046</v>
      </c>
      <c r="K19" s="41">
        <f t="shared" si="8"/>
        <v>13.28877250409165</v>
      </c>
      <c r="L19" s="42">
        <f t="shared" ref="L19:L22" si="10">$L$5</f>
        <v>43</v>
      </c>
      <c r="M19" s="40">
        <f t="shared" ref="M19:M22" si="11">$M$5</f>
        <v>0.01</v>
      </c>
      <c r="N19" s="21">
        <f t="shared" ref="N19:N22" si="12">$N$17</f>
        <v>4.4999999999999998E-2</v>
      </c>
      <c r="O19" s="13">
        <f t="shared" ref="O19:O22" si="13">$O$17</f>
        <v>0.05</v>
      </c>
      <c r="P19" s="42">
        <f t="shared" ref="P19:P22" si="14">$N$5</f>
        <v>333</v>
      </c>
      <c r="Q19" s="42">
        <f t="shared" ref="Q19:Q22" si="15">$O$5</f>
        <v>303</v>
      </c>
      <c r="R19" s="43">
        <f t="shared" si="9"/>
        <v>358.72177630845647</v>
      </c>
    </row>
    <row r="20" spans="2:18" ht="17.649999999999999" x14ac:dyDescent="0.6">
      <c r="B20" s="25" t="s">
        <v>203</v>
      </c>
      <c r="C20" s="27" t="s">
        <v>198</v>
      </c>
      <c r="D20" s="37" t="s">
        <v>5</v>
      </c>
      <c r="E20" s="28">
        <f>E8</f>
        <v>43</v>
      </c>
      <c r="F20" s="25" t="s">
        <v>191</v>
      </c>
      <c r="G20" s="25"/>
      <c r="H20" s="1" t="s">
        <v>110</v>
      </c>
      <c r="I20" s="40">
        <f t="shared" si="7"/>
        <v>3.25</v>
      </c>
      <c r="J20" s="40">
        <f t="shared" si="6"/>
        <v>4.088853078182046</v>
      </c>
      <c r="K20" s="41">
        <f t="shared" si="8"/>
        <v>13.28877250409165</v>
      </c>
      <c r="L20" s="42">
        <f t="shared" si="10"/>
        <v>43</v>
      </c>
      <c r="M20" s="40">
        <f t="shared" si="11"/>
        <v>0.01</v>
      </c>
      <c r="N20" s="21">
        <f t="shared" si="12"/>
        <v>4.4999999999999998E-2</v>
      </c>
      <c r="O20" s="13">
        <f t="shared" si="13"/>
        <v>0.05</v>
      </c>
      <c r="P20" s="42">
        <f t="shared" si="14"/>
        <v>333</v>
      </c>
      <c r="Q20" s="42">
        <f t="shared" si="15"/>
        <v>303</v>
      </c>
      <c r="R20" s="43">
        <f t="shared" si="9"/>
        <v>358.72177630845647</v>
      </c>
    </row>
    <row r="21" spans="2:18" ht="17.649999999999999" x14ac:dyDescent="0.6">
      <c r="B21" s="25" t="s">
        <v>204</v>
      </c>
      <c r="C21" s="27" t="s">
        <v>201</v>
      </c>
      <c r="D21" s="37" t="s">
        <v>5</v>
      </c>
      <c r="E21" s="28">
        <v>50</v>
      </c>
      <c r="F21" s="25" t="s">
        <v>24</v>
      </c>
      <c r="G21" s="25"/>
      <c r="H21" s="1" t="s">
        <v>112</v>
      </c>
      <c r="I21" s="40">
        <f t="shared" si="7"/>
        <v>2.6</v>
      </c>
      <c r="J21" s="40">
        <f t="shared" si="6"/>
        <v>4.088853078182046</v>
      </c>
      <c r="K21" s="41">
        <f t="shared" si="8"/>
        <v>10.63101800327332</v>
      </c>
      <c r="L21" s="42">
        <f t="shared" si="10"/>
        <v>43</v>
      </c>
      <c r="M21" s="40">
        <f t="shared" si="11"/>
        <v>0.01</v>
      </c>
      <c r="N21" s="21">
        <f t="shared" si="12"/>
        <v>4.4999999999999998E-2</v>
      </c>
      <c r="O21" s="13">
        <f t="shared" si="13"/>
        <v>0.05</v>
      </c>
      <c r="P21" s="42">
        <f t="shared" si="14"/>
        <v>333</v>
      </c>
      <c r="Q21" s="42">
        <f t="shared" si="15"/>
        <v>303</v>
      </c>
      <c r="R21" s="43">
        <f t="shared" si="9"/>
        <v>286.97742104676519</v>
      </c>
    </row>
    <row r="22" spans="2:18" ht="17.649999999999999" x14ac:dyDescent="0.6">
      <c r="B22" s="25"/>
      <c r="C22" s="27" t="s">
        <v>201</v>
      </c>
      <c r="D22" s="37" t="s">
        <v>5</v>
      </c>
      <c r="E22" s="30">
        <f>E21/1000</f>
        <v>0.05</v>
      </c>
      <c r="F22" s="25" t="s">
        <v>33</v>
      </c>
      <c r="G22" s="25"/>
      <c r="H22" s="1" t="s">
        <v>114</v>
      </c>
      <c r="I22" s="40">
        <f t="shared" si="7"/>
        <v>2.6</v>
      </c>
      <c r="J22" s="40">
        <f t="shared" si="6"/>
        <v>4.088853078182046</v>
      </c>
      <c r="K22" s="41">
        <f t="shared" si="8"/>
        <v>10.63101800327332</v>
      </c>
      <c r="L22" s="42">
        <f t="shared" si="10"/>
        <v>43</v>
      </c>
      <c r="M22" s="40">
        <f t="shared" si="11"/>
        <v>0.01</v>
      </c>
      <c r="N22" s="21">
        <f t="shared" si="12"/>
        <v>4.4999999999999998E-2</v>
      </c>
      <c r="O22" s="13">
        <f t="shared" si="13"/>
        <v>0.05</v>
      </c>
      <c r="P22" s="42">
        <f t="shared" si="14"/>
        <v>333</v>
      </c>
      <c r="Q22" s="42">
        <f t="shared" si="15"/>
        <v>303</v>
      </c>
      <c r="R22" s="43">
        <f t="shared" si="9"/>
        <v>286.97742104676519</v>
      </c>
    </row>
    <row r="23" spans="2:18" ht="17.649999999999999" x14ac:dyDescent="0.6">
      <c r="B23" s="25" t="s">
        <v>205</v>
      </c>
      <c r="C23" s="27" t="s">
        <v>200</v>
      </c>
      <c r="D23" s="37" t="s">
        <v>5</v>
      </c>
      <c r="E23" s="33">
        <v>4.4999999999999998E-2</v>
      </c>
      <c r="F23" s="25" t="s">
        <v>191</v>
      </c>
      <c r="G23" s="25"/>
      <c r="Q23" s="15" t="s">
        <v>194</v>
      </c>
      <c r="R23" s="6">
        <f>SUM(R17:R22)</f>
        <v>1747.602910044443</v>
      </c>
    </row>
    <row r="24" spans="2:18" x14ac:dyDescent="0.45">
      <c r="B24"/>
      <c r="C24" s="35"/>
      <c r="D24" s="35"/>
      <c r="E24"/>
      <c r="F24"/>
      <c r="G24"/>
      <c r="H24"/>
    </row>
    <row r="25" spans="2:18" x14ac:dyDescent="0.45">
      <c r="H25" s="3"/>
    </row>
    <row r="26" spans="2:18" x14ac:dyDescent="0.45">
      <c r="H26" s="3"/>
    </row>
    <row r="27" spans="2:18" x14ac:dyDescent="0.45">
      <c r="H27" s="24" t="s">
        <v>118</v>
      </c>
    </row>
    <row r="28" spans="2:18" x14ac:dyDescent="0.45">
      <c r="H28" s="9"/>
      <c r="M28" s="3" t="s">
        <v>119</v>
      </c>
      <c r="N28" s="3" t="s">
        <v>120</v>
      </c>
    </row>
    <row r="29" spans="2:18" ht="30.75" x14ac:dyDescent="0.45">
      <c r="H29" s="3" t="s">
        <v>80</v>
      </c>
      <c r="I29" s="1" t="s">
        <v>81</v>
      </c>
      <c r="J29" s="3" t="s">
        <v>82</v>
      </c>
      <c r="K29" s="8" t="s">
        <v>83</v>
      </c>
      <c r="L29" s="3"/>
      <c r="M29" s="8" t="s">
        <v>121</v>
      </c>
      <c r="N29" s="8" t="s">
        <v>121</v>
      </c>
    </row>
    <row r="30" spans="2:18" ht="17.649999999999999" x14ac:dyDescent="0.6">
      <c r="H30" s="3"/>
      <c r="I30" s="2" t="s">
        <v>0</v>
      </c>
      <c r="J30" s="2" t="s">
        <v>90</v>
      </c>
      <c r="K30" s="2" t="s">
        <v>91</v>
      </c>
      <c r="L30" s="2"/>
      <c r="M30" s="10" t="s">
        <v>122</v>
      </c>
      <c r="N30" s="10" t="s">
        <v>123</v>
      </c>
    </row>
    <row r="31" spans="2:18" ht="17.649999999999999" x14ac:dyDescent="0.45">
      <c r="H31" s="3"/>
      <c r="I31" s="12" t="s">
        <v>98</v>
      </c>
      <c r="J31" s="12" t="s">
        <v>99</v>
      </c>
      <c r="K31" s="12" t="s">
        <v>99</v>
      </c>
      <c r="L31" s="12"/>
      <c r="M31" s="12" t="s">
        <v>124</v>
      </c>
      <c r="N31" s="12" t="s">
        <v>124</v>
      </c>
    </row>
    <row r="32" spans="2:18" x14ac:dyDescent="0.45">
      <c r="H32" s="3">
        <v>1</v>
      </c>
      <c r="I32" s="1" t="s">
        <v>104</v>
      </c>
      <c r="L32" s="14"/>
      <c r="M32" s="7">
        <f t="shared" ref="M32:M37" si="16">I5*J5</f>
        <v>8.4500000000000011</v>
      </c>
      <c r="N32" s="7">
        <f t="shared" ref="N32:N37" si="17">I5*J5</f>
        <v>8.4500000000000011</v>
      </c>
    </row>
    <row r="33" spans="8:14" x14ac:dyDescent="0.45">
      <c r="H33" s="3">
        <v>2</v>
      </c>
      <c r="I33" s="1" t="s">
        <v>106</v>
      </c>
      <c r="L33" s="14"/>
      <c r="M33" s="7">
        <f t="shared" si="16"/>
        <v>8.4500000000000011</v>
      </c>
      <c r="N33" s="7">
        <f t="shared" si="17"/>
        <v>8.4500000000000011</v>
      </c>
    </row>
    <row r="34" spans="8:14" x14ac:dyDescent="0.45">
      <c r="H34" s="3">
        <v>3</v>
      </c>
      <c r="I34" s="1" t="s">
        <v>108</v>
      </c>
      <c r="L34" s="14"/>
      <c r="M34" s="7">
        <f t="shared" si="16"/>
        <v>13.28877250409165</v>
      </c>
      <c r="N34" s="7">
        <f t="shared" si="17"/>
        <v>13.28877250409165</v>
      </c>
    </row>
    <row r="35" spans="8:14" x14ac:dyDescent="0.45">
      <c r="H35" s="3">
        <v>4</v>
      </c>
      <c r="I35" s="1" t="s">
        <v>110</v>
      </c>
      <c r="L35" s="14"/>
      <c r="M35" s="7">
        <f t="shared" si="16"/>
        <v>13.28877250409165</v>
      </c>
      <c r="N35" s="7">
        <f t="shared" si="17"/>
        <v>13.28877250409165</v>
      </c>
    </row>
    <row r="36" spans="8:14" x14ac:dyDescent="0.45">
      <c r="H36" s="3">
        <v>5</v>
      </c>
      <c r="I36" s="1" t="s">
        <v>112</v>
      </c>
      <c r="L36" s="14"/>
      <c r="M36" s="7">
        <f t="shared" si="16"/>
        <v>10.63101800327332</v>
      </c>
      <c r="N36" s="7">
        <f t="shared" si="17"/>
        <v>10.63101800327332</v>
      </c>
    </row>
    <row r="37" spans="8:14" x14ac:dyDescent="0.45">
      <c r="H37" s="3">
        <v>6</v>
      </c>
      <c r="I37" s="1" t="s">
        <v>114</v>
      </c>
      <c r="L37" s="14"/>
      <c r="M37" s="7">
        <f t="shared" si="16"/>
        <v>10.63101800327332</v>
      </c>
      <c r="N37" s="7">
        <f t="shared" si="17"/>
        <v>10.63101800327332</v>
      </c>
    </row>
    <row r="38" spans="8:14" x14ac:dyDescent="0.45">
      <c r="H38" s="3"/>
    </row>
    <row r="39" spans="8:14" ht="17.649999999999999" x14ac:dyDescent="0.45">
      <c r="H39" s="3"/>
      <c r="L39" s="15" t="s">
        <v>125</v>
      </c>
      <c r="M39" s="7">
        <f>SUM(M32:M37)</f>
        <v>64.739581014729936</v>
      </c>
    </row>
    <row r="40" spans="8:14" ht="17.649999999999999" x14ac:dyDescent="0.45">
      <c r="H40" s="3"/>
      <c r="L40" s="15" t="s">
        <v>126</v>
      </c>
      <c r="N40" s="7">
        <f>SUM(N32:N37)</f>
        <v>64.739581014729936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7171" r:id="rId3">
          <objectPr defaultSize="0" autoPict="0" r:id="rId4">
            <anchor moveWithCells="1" sizeWithCells="1">
              <from>
                <xdr:col>2</xdr:col>
                <xdr:colOff>485775</xdr:colOff>
                <xdr:row>10</xdr:row>
                <xdr:rowOff>95250</xdr:rowOff>
              </from>
              <to>
                <xdr:col>5</xdr:col>
                <xdr:colOff>657225</xdr:colOff>
                <xdr:row>12</xdr:row>
                <xdr:rowOff>133350</xdr:rowOff>
              </to>
            </anchor>
          </objectPr>
        </oleObject>
      </mc:Choice>
      <mc:Fallback>
        <oleObject progId="Equation.3" shapeId="7171" r:id="rId3"/>
      </mc:Fallback>
    </mc:AlternateContent>
    <mc:AlternateContent xmlns:mc="http://schemas.openxmlformats.org/markup-compatibility/2006">
      <mc:Choice Requires="x14">
        <oleObject progId="Equation.3" shapeId="7172" r:id="rId5">
          <objectPr defaultSize="0" autoPict="0" r:id="rId6">
            <anchor moveWithCells="1" sizeWithCells="1">
              <from>
                <xdr:col>2</xdr:col>
                <xdr:colOff>514350</xdr:colOff>
                <xdr:row>13</xdr:row>
                <xdr:rowOff>76200</xdr:rowOff>
              </from>
              <to>
                <xdr:col>5</xdr:col>
                <xdr:colOff>666750</xdr:colOff>
                <xdr:row>16</xdr:row>
                <xdr:rowOff>123825</xdr:rowOff>
              </to>
            </anchor>
          </objectPr>
        </oleObject>
      </mc:Choice>
      <mc:Fallback>
        <oleObject progId="Equation.3" shapeId="7172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Engineering</vt:lpstr>
      <vt:lpstr>2_HFO Tank dimensions</vt:lpstr>
      <vt:lpstr>3_Mass of FO</vt:lpstr>
      <vt:lpstr>4_Thermal Insulation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T500</dc:creator>
  <cp:keywords/>
  <dc:description/>
  <cp:lastModifiedBy>#CHUA LI TING#</cp:lastModifiedBy>
  <cp:revision/>
  <dcterms:created xsi:type="dcterms:W3CDTF">2021-03-25T00:37:10Z</dcterms:created>
  <dcterms:modified xsi:type="dcterms:W3CDTF">2024-12-13T12:46:05Z</dcterms:modified>
  <cp:category/>
  <cp:contentStatus/>
</cp:coreProperties>
</file>