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P ENVY\Documents\node\excel-to-mysql\"/>
    </mc:Choice>
  </mc:AlternateContent>
  <xr:revisionPtr revIDLastSave="0" documentId="13_ncr:1_{1258E831-E179-4589-88AD-BD93161B5C9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IC" sheetId="1" r:id="rId1"/>
    <sheet name="NICOGEN" sheetId="3" r:id="rId2"/>
    <sheet name="Reunion" sheetId="2" r:id="rId3"/>
    <sheet name="Sheet1" sheetId="5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1" i="1" l="1"/>
  <c r="R271" i="1" s="1"/>
  <c r="T271" i="1" s="1"/>
  <c r="G271" i="1"/>
  <c r="S241" i="1"/>
  <c r="Q241" i="1"/>
  <c r="R241" i="1" s="1"/>
  <c r="Q270" i="1"/>
  <c r="R270" i="1" s="1"/>
  <c r="T270" i="1" s="1"/>
  <c r="G270" i="1"/>
  <c r="G268" i="1"/>
  <c r="O267" i="1"/>
  <c r="Q267" i="1" s="1"/>
  <c r="R267" i="1" s="1"/>
  <c r="T267" i="1" s="1"/>
  <c r="G267" i="1"/>
  <c r="S197" i="1"/>
  <c r="Q266" i="1"/>
  <c r="R266" i="1" s="1"/>
  <c r="T266" i="1" s="1"/>
  <c r="G266" i="1"/>
  <c r="S238" i="1"/>
  <c r="S237" i="1"/>
  <c r="S235" i="1"/>
  <c r="Q269" i="1"/>
  <c r="R269" i="1" s="1"/>
  <c r="T269" i="1" s="1"/>
  <c r="G269" i="1"/>
  <c r="S234" i="1"/>
  <c r="Q265" i="1"/>
  <c r="R265" i="1" s="1"/>
  <c r="T265" i="1" s="1"/>
  <c r="S236" i="1"/>
  <c r="T236" i="1" s="1"/>
  <c r="S223" i="1"/>
  <c r="O264" i="1"/>
  <c r="R21" i="2"/>
  <c r="R17" i="2"/>
  <c r="Q236" i="1"/>
  <c r="Q259" i="1"/>
  <c r="R259" i="1" s="1"/>
  <c r="T259" i="1" s="1"/>
  <c r="S225" i="1"/>
  <c r="S222" i="1"/>
  <c r="S228" i="1"/>
  <c r="Q263" i="1"/>
  <c r="R263" i="1" s="1"/>
  <c r="T263" i="1" s="1"/>
  <c r="Q239" i="1"/>
  <c r="R239" i="1" s="1"/>
  <c r="T239" i="1" s="1"/>
  <c r="Q262" i="1"/>
  <c r="R262" i="1" s="1"/>
  <c r="T262" i="1" s="1"/>
  <c r="Q261" i="1"/>
  <c r="R261" i="1" s="1"/>
  <c r="T261" i="1" s="1"/>
  <c r="Q260" i="1"/>
  <c r="R260" i="1" s="1"/>
  <c r="T260" i="1" s="1"/>
  <c r="O257" i="1"/>
  <c r="Q257" i="1" s="1"/>
  <c r="S233" i="1"/>
  <c r="Q258" i="1"/>
  <c r="R258" i="1" s="1"/>
  <c r="T258" i="1" s="1"/>
  <c r="Q256" i="1"/>
  <c r="R256" i="1" s="1"/>
  <c r="T256" i="1" s="1"/>
  <c r="N33" i="3"/>
  <c r="O33" i="3"/>
  <c r="P33" i="3"/>
  <c r="R33" i="3"/>
  <c r="Q254" i="1"/>
  <c r="R254" i="1" s="1"/>
  <c r="T254" i="1" s="1"/>
  <c r="O255" i="1"/>
  <c r="Q255" i="1" s="1"/>
  <c r="Q250" i="1"/>
  <c r="R250" i="1" s="1"/>
  <c r="T250" i="1" s="1"/>
  <c r="Q243" i="1"/>
  <c r="R243" i="1" s="1"/>
  <c r="T243" i="1" s="1"/>
  <c r="S219" i="1"/>
  <c r="Q249" i="1"/>
  <c r="R249" i="1" s="1"/>
  <c r="T249" i="1" s="1"/>
  <c r="S209" i="1"/>
  <c r="Q251" i="1"/>
  <c r="R251" i="1" s="1"/>
  <c r="T251" i="1" s="1"/>
  <c r="O223" i="1"/>
  <c r="Q223" i="1" s="1"/>
  <c r="O253" i="1"/>
  <c r="S213" i="1"/>
  <c r="S212" i="1"/>
  <c r="S210" i="1"/>
  <c r="S220" i="1"/>
  <c r="N31" i="3"/>
  <c r="O31" i="3"/>
  <c r="P31" i="3"/>
  <c r="N32" i="3"/>
  <c r="O32" i="3"/>
  <c r="P32" i="3"/>
  <c r="Q31" i="3"/>
  <c r="P27" i="2"/>
  <c r="Q27" i="2" s="1"/>
  <c r="Q252" i="1"/>
  <c r="R252" i="1" s="1"/>
  <c r="T252" i="1" s="1"/>
  <c r="N24" i="3"/>
  <c r="N29" i="3"/>
  <c r="N28" i="3"/>
  <c r="O28" i="3"/>
  <c r="P28" i="3"/>
  <c r="N27" i="3"/>
  <c r="O27" i="3"/>
  <c r="P27" i="3"/>
  <c r="N26" i="3"/>
  <c r="O26" i="3"/>
  <c r="P26" i="3"/>
  <c r="O29" i="3"/>
  <c r="P29" i="3"/>
  <c r="O24" i="3"/>
  <c r="P24" i="3"/>
  <c r="R24" i="3"/>
  <c r="Q28" i="3"/>
  <c r="Q244" i="1"/>
  <c r="R244" i="1" s="1"/>
  <c r="T244" i="1" s="1"/>
  <c r="Q247" i="1"/>
  <c r="R247" i="1" s="1"/>
  <c r="T247" i="1" s="1"/>
  <c r="Q246" i="1"/>
  <c r="R246" i="1" s="1"/>
  <c r="T246" i="1" s="1"/>
  <c r="P26" i="2"/>
  <c r="Q26" i="2" s="1"/>
  <c r="O234" i="1"/>
  <c r="Q234" i="1" s="1"/>
  <c r="R234" i="1" s="1"/>
  <c r="Q248" i="1"/>
  <c r="R248" i="1" s="1"/>
  <c r="T248" i="1" s="1"/>
  <c r="P25" i="2"/>
  <c r="Q25" i="2" s="1"/>
  <c r="Q230" i="1"/>
  <c r="R230" i="1" s="1"/>
  <c r="T230" i="1" s="1"/>
  <c r="Q233" i="1"/>
  <c r="R233" i="1" s="1"/>
  <c r="Q232" i="1"/>
  <c r="R232" i="1" s="1"/>
  <c r="T232" i="1" s="1"/>
  <c r="S200" i="1"/>
  <c r="O238" i="1"/>
  <c r="Q238" i="1" s="1"/>
  <c r="R238" i="1" s="1"/>
  <c r="O237" i="1"/>
  <c r="Q235" i="1"/>
  <c r="R235" i="1" s="1"/>
  <c r="Q245" i="1"/>
  <c r="R245" i="1" s="1"/>
  <c r="S176" i="1"/>
  <c r="S148" i="1"/>
  <c r="Q222" i="1"/>
  <c r="R222" i="1" s="1"/>
  <c r="P24" i="2"/>
  <c r="Q24" i="2" s="1"/>
  <c r="O242" i="1"/>
  <c r="Q242" i="1" s="1"/>
  <c r="R242" i="1" s="1"/>
  <c r="T242" i="1" s="1"/>
  <c r="S194" i="1"/>
  <c r="Q240" i="1"/>
  <c r="R240" i="1" s="1"/>
  <c r="T240" i="1" s="1"/>
  <c r="S208" i="1"/>
  <c r="Q19" i="3"/>
  <c r="Q231" i="1"/>
  <c r="R231" i="1" s="1"/>
  <c r="T231" i="1" s="1"/>
  <c r="P22" i="2"/>
  <c r="Q22" i="2" s="1"/>
  <c r="S22" i="2" s="1"/>
  <c r="S205" i="1"/>
  <c r="P21" i="2"/>
  <c r="Q21" i="2" s="1"/>
  <c r="P23" i="2"/>
  <c r="Q23" i="2" s="1"/>
  <c r="S23" i="2" s="1"/>
  <c r="P20" i="2"/>
  <c r="Q20" i="2" s="1"/>
  <c r="S20" i="2" s="1"/>
  <c r="S79" i="1"/>
  <c r="P18" i="2"/>
  <c r="Q18" i="2" s="1"/>
  <c r="S18" i="2" s="1"/>
  <c r="S204" i="1"/>
  <c r="O228" i="1"/>
  <c r="Q228" i="1" s="1"/>
  <c r="R228" i="1" s="1"/>
  <c r="O229" i="1"/>
  <c r="Q229" i="1" s="1"/>
  <c r="Q227" i="1"/>
  <c r="R227" i="1" s="1"/>
  <c r="T227" i="1" s="1"/>
  <c r="R15" i="2"/>
  <c r="R16" i="2"/>
  <c r="R14" i="2"/>
  <c r="Q201" i="1"/>
  <c r="R201" i="1" s="1"/>
  <c r="T201" i="1" s="1"/>
  <c r="Q199" i="1"/>
  <c r="R199" i="1" s="1"/>
  <c r="T199" i="1" s="1"/>
  <c r="Q204" i="1"/>
  <c r="R204" i="1" s="1"/>
  <c r="Q226" i="1"/>
  <c r="R226" i="1" s="1"/>
  <c r="T226" i="1" s="1"/>
  <c r="Q225" i="1"/>
  <c r="R225" i="1" s="1"/>
  <c r="S193" i="1"/>
  <c r="S195" i="1"/>
  <c r="S192" i="1"/>
  <c r="Q221" i="1"/>
  <c r="R221" i="1" s="1"/>
  <c r="T221" i="1" s="1"/>
  <c r="F34" i="3"/>
  <c r="R11" i="2"/>
  <c r="Q220" i="1"/>
  <c r="R220" i="1" s="1"/>
  <c r="Q224" i="1"/>
  <c r="R224" i="1" s="1"/>
  <c r="T224" i="1" s="1"/>
  <c r="R12" i="2"/>
  <c r="S188" i="1"/>
  <c r="N19" i="3"/>
  <c r="O19" i="3"/>
  <c r="P19" i="3"/>
  <c r="R19" i="3"/>
  <c r="N21" i="3"/>
  <c r="O21" i="3"/>
  <c r="P21" i="3"/>
  <c r="R21" i="3"/>
  <c r="S183" i="1"/>
  <c r="S187" i="1"/>
  <c r="Q217" i="1"/>
  <c r="R217" i="1" s="1"/>
  <c r="T217" i="1" s="1"/>
  <c r="Q212" i="1"/>
  <c r="R212" i="1" s="1"/>
  <c r="S190" i="1"/>
  <c r="Q211" i="1"/>
  <c r="R211" i="1" s="1"/>
  <c r="T211" i="1" s="1"/>
  <c r="O219" i="1"/>
  <c r="Q219" i="1" s="1"/>
  <c r="R219" i="1" s="1"/>
  <c r="O218" i="1"/>
  <c r="Q218" i="1" s="1"/>
  <c r="S160" i="1"/>
  <c r="O213" i="1"/>
  <c r="Q213" i="1" s="1"/>
  <c r="O200" i="1"/>
  <c r="Q200" i="1" s="1"/>
  <c r="N17" i="2"/>
  <c r="P17" i="2" s="1"/>
  <c r="Q216" i="1"/>
  <c r="R216" i="1" s="1"/>
  <c r="T216" i="1" s="1"/>
  <c r="Q215" i="1"/>
  <c r="R215" i="1" s="1"/>
  <c r="T215" i="1" s="1"/>
  <c r="S168" i="1"/>
  <c r="Q214" i="1"/>
  <c r="R214" i="1" s="1"/>
  <c r="T214" i="1" s="1"/>
  <c r="Q210" i="1"/>
  <c r="R210" i="1" s="1"/>
  <c r="O209" i="1"/>
  <c r="Q209" i="1" s="1"/>
  <c r="P13" i="2"/>
  <c r="Q13" i="2" s="1"/>
  <c r="S13" i="2" s="1"/>
  <c r="N16" i="2"/>
  <c r="P15" i="2"/>
  <c r="Q15" i="2" s="1"/>
  <c r="Q207" i="1"/>
  <c r="R207" i="1" s="1"/>
  <c r="T207" i="1" s="1"/>
  <c r="Q206" i="1"/>
  <c r="R206" i="1" s="1"/>
  <c r="T206" i="1" s="1"/>
  <c r="O208" i="1"/>
  <c r="S186" i="1"/>
  <c r="Q186" i="1"/>
  <c r="R186" i="1" s="1"/>
  <c r="Q203" i="1"/>
  <c r="R203" i="1" s="1"/>
  <c r="T203" i="1" s="1"/>
  <c r="S172" i="1"/>
  <c r="S164" i="1"/>
  <c r="O205" i="1"/>
  <c r="Q202" i="1"/>
  <c r="R202" i="1" s="1"/>
  <c r="T202" i="1" s="1"/>
  <c r="Q123" i="1"/>
  <c r="R123" i="1" s="1"/>
  <c r="T123" i="1" s="1"/>
  <c r="P14" i="2"/>
  <c r="Q14" i="2" s="1"/>
  <c r="P12" i="2"/>
  <c r="Q12" i="2" s="1"/>
  <c r="R9" i="2"/>
  <c r="Q197" i="1"/>
  <c r="R197" i="1" s="1"/>
  <c r="Q198" i="1"/>
  <c r="R198" i="1" s="1"/>
  <c r="T198" i="1" s="1"/>
  <c r="Q196" i="1"/>
  <c r="R196" i="1" s="1"/>
  <c r="T196" i="1" s="1"/>
  <c r="Q188" i="1"/>
  <c r="R188" i="1" s="1"/>
  <c r="Q189" i="1"/>
  <c r="R189" i="1" s="1"/>
  <c r="Q191" i="1"/>
  <c r="R191" i="1" s="1"/>
  <c r="T191" i="1" s="1"/>
  <c r="Q194" i="1"/>
  <c r="R194" i="1" s="1"/>
  <c r="Q187" i="1"/>
  <c r="R187" i="1" s="1"/>
  <c r="Q184" i="1"/>
  <c r="R184" i="1" s="1"/>
  <c r="T184" i="1" s="1"/>
  <c r="Q185" i="1"/>
  <c r="R185" i="1" s="1"/>
  <c r="T185" i="1" s="1"/>
  <c r="Q183" i="1"/>
  <c r="R183" i="1" s="1"/>
  <c r="S182" i="1"/>
  <c r="Q173" i="1"/>
  <c r="R173" i="1" s="1"/>
  <c r="T173" i="1" s="1"/>
  <c r="Q174" i="1"/>
  <c r="R174" i="1" s="1"/>
  <c r="T174" i="1" s="1"/>
  <c r="Q177" i="1"/>
  <c r="R177" i="1" s="1"/>
  <c r="T177" i="1" s="1"/>
  <c r="Q178" i="1"/>
  <c r="R178" i="1" s="1"/>
  <c r="T178" i="1" s="1"/>
  <c r="Q179" i="1"/>
  <c r="R179" i="1" s="1"/>
  <c r="Q180" i="1"/>
  <c r="R180" i="1" s="1"/>
  <c r="T180" i="1" s="1"/>
  <c r="Q181" i="1"/>
  <c r="R181" i="1" s="1"/>
  <c r="T181" i="1" s="1"/>
  <c r="O182" i="1"/>
  <c r="Q182" i="1" s="1"/>
  <c r="R182" i="1" s="1"/>
  <c r="T182" i="1" s="1"/>
  <c r="P19" i="2"/>
  <c r="Q19" i="2" s="1"/>
  <c r="S19" i="2" s="1"/>
  <c r="O192" i="1"/>
  <c r="Q192" i="1" s="1"/>
  <c r="O193" i="1"/>
  <c r="O195" i="1"/>
  <c r="Q195" i="1" s="1"/>
  <c r="S96" i="1"/>
  <c r="S97" i="1"/>
  <c r="R5" i="2"/>
  <c r="O190" i="1"/>
  <c r="Q190" i="1" s="1"/>
  <c r="P11" i="2"/>
  <c r="Q11" i="2" s="1"/>
  <c r="S84" i="1"/>
  <c r="O88" i="1"/>
  <c r="S89" i="1"/>
  <c r="S88" i="1"/>
  <c r="S67" i="1"/>
  <c r="S136" i="1"/>
  <c r="R7" i="2"/>
  <c r="P9" i="2"/>
  <c r="Q9" i="2" s="1"/>
  <c r="S155" i="1"/>
  <c r="Q172" i="1"/>
  <c r="R172" i="1" s="1"/>
  <c r="O176" i="1"/>
  <c r="Q176" i="1" s="1"/>
  <c r="O175" i="1"/>
  <c r="Q175" i="1" s="1"/>
  <c r="R175" i="1" s="1"/>
  <c r="T175" i="1" s="1"/>
  <c r="S66" i="1"/>
  <c r="Q171" i="1"/>
  <c r="R171" i="1" s="1"/>
  <c r="T171" i="1" s="1"/>
  <c r="T170" i="1"/>
  <c r="O170" i="1"/>
  <c r="Q170" i="1" s="1"/>
  <c r="T169" i="1"/>
  <c r="O169" i="1"/>
  <c r="Q169" i="1" s="1"/>
  <c r="S133" i="1"/>
  <c r="S132" i="1"/>
  <c r="Q167" i="1"/>
  <c r="R167" i="1" s="1"/>
  <c r="T167" i="1" s="1"/>
  <c r="Q164" i="1"/>
  <c r="R164" i="1" s="1"/>
  <c r="Q166" i="1"/>
  <c r="R166" i="1" s="1"/>
  <c r="T166" i="1" s="1"/>
  <c r="Q165" i="1"/>
  <c r="R165" i="1" s="1"/>
  <c r="T165" i="1" s="1"/>
  <c r="Q168" i="1"/>
  <c r="R168" i="1" s="1"/>
  <c r="Q163" i="1"/>
  <c r="R163" i="1" s="1"/>
  <c r="T163" i="1" s="1"/>
  <c r="P8" i="2"/>
  <c r="Q8" i="2" s="1"/>
  <c r="S8" i="2" s="1"/>
  <c r="S140" i="1"/>
  <c r="Q162" i="1"/>
  <c r="R162" i="1" s="1"/>
  <c r="Q161" i="1"/>
  <c r="R161" i="1" s="1"/>
  <c r="Q156" i="1"/>
  <c r="R156" i="1" s="1"/>
  <c r="T156" i="1" s="1"/>
  <c r="S116" i="1"/>
  <c r="Q129" i="1"/>
  <c r="R129" i="1" s="1"/>
  <c r="T129" i="1" s="1"/>
  <c r="Q160" i="1"/>
  <c r="R160" i="1" s="1"/>
  <c r="O2" i="1"/>
  <c r="V2" i="1" s="1"/>
  <c r="O116" i="1"/>
  <c r="Q116" i="1" s="1"/>
  <c r="O157" i="1"/>
  <c r="Q157" i="1" s="1"/>
  <c r="R157" i="1" s="1"/>
  <c r="T157" i="1" s="1"/>
  <c r="O133" i="1"/>
  <c r="Q133" i="1" s="1"/>
  <c r="O132" i="1"/>
  <c r="Q132" i="1" s="1"/>
  <c r="R132" i="1" s="1"/>
  <c r="S141" i="1"/>
  <c r="S56" i="1"/>
  <c r="S58" i="1"/>
  <c r="S54" i="1"/>
  <c r="S131" i="1"/>
  <c r="S128" i="1"/>
  <c r="P7" i="2"/>
  <c r="Q7" i="2" s="1"/>
  <c r="Q159" i="1"/>
  <c r="R159" i="1" s="1"/>
  <c r="T159" i="1" s="1"/>
  <c r="Q158" i="1"/>
  <c r="R158" i="1" s="1"/>
  <c r="T158" i="1" s="1"/>
  <c r="S135" i="1"/>
  <c r="S81" i="1"/>
  <c r="S87" i="1"/>
  <c r="Q155" i="1"/>
  <c r="R155" i="1" s="1"/>
  <c r="S125" i="1"/>
  <c r="Q154" i="1"/>
  <c r="R154" i="1" s="1"/>
  <c r="T154" i="1" s="1"/>
  <c r="Q152" i="1"/>
  <c r="R152" i="1" s="1"/>
  <c r="T152" i="1" s="1"/>
  <c r="S94" i="1"/>
  <c r="S126" i="1"/>
  <c r="O91" i="1"/>
  <c r="Q91" i="1" s="1"/>
  <c r="S113" i="1"/>
  <c r="Q147" i="1"/>
  <c r="R147" i="1" s="1"/>
  <c r="T147" i="1" s="1"/>
  <c r="S118" i="1"/>
  <c r="Q145" i="1"/>
  <c r="R145" i="1" s="1"/>
  <c r="T145" i="1" s="1"/>
  <c r="S112" i="1"/>
  <c r="Q146" i="1"/>
  <c r="R146" i="1" s="1"/>
  <c r="T146" i="1" s="1"/>
  <c r="O151" i="1"/>
  <c r="Q151" i="1" s="1"/>
  <c r="R151" i="1" s="1"/>
  <c r="T151" i="1" s="1"/>
  <c r="Q153" i="1"/>
  <c r="R153" i="1" s="1"/>
  <c r="T153" i="1" s="1"/>
  <c r="O150" i="1"/>
  <c r="Q149" i="1"/>
  <c r="R149" i="1" s="1"/>
  <c r="T149" i="1" s="1"/>
  <c r="S119" i="1"/>
  <c r="O148" i="1"/>
  <c r="Q148" i="1" s="1"/>
  <c r="O108" i="1"/>
  <c r="Q108" i="1" s="1"/>
  <c r="R108" i="1" s="1"/>
  <c r="T108" i="1" s="1"/>
  <c r="Q142" i="1"/>
  <c r="R142" i="1" s="1"/>
  <c r="T142" i="1" s="1"/>
  <c r="Q136" i="1"/>
  <c r="R136" i="1" s="1"/>
  <c r="O140" i="1"/>
  <c r="Q140" i="1" s="1"/>
  <c r="R140" i="1" s="1"/>
  <c r="Q139" i="1"/>
  <c r="R139" i="1" s="1"/>
  <c r="T139" i="1" s="1"/>
  <c r="P6" i="2"/>
  <c r="Q6" i="2" s="1"/>
  <c r="S6" i="2" s="1"/>
  <c r="N17" i="3"/>
  <c r="O17" i="3"/>
  <c r="P17" i="3"/>
  <c r="R17" i="3"/>
  <c r="Q144" i="1"/>
  <c r="R144" i="1" s="1"/>
  <c r="T144" i="1" s="1"/>
  <c r="Q143" i="1"/>
  <c r="R143" i="1" s="1"/>
  <c r="T143" i="1" s="1"/>
  <c r="Q141" i="1"/>
  <c r="R141" i="1" s="1"/>
  <c r="Q138" i="1"/>
  <c r="R138" i="1" s="1"/>
  <c r="T138" i="1" s="1"/>
  <c r="Q137" i="1"/>
  <c r="R137" i="1" s="1"/>
  <c r="T137" i="1" s="1"/>
  <c r="Q135" i="1"/>
  <c r="R135" i="1" s="1"/>
  <c r="Q134" i="1"/>
  <c r="R134" i="1" s="1"/>
  <c r="T134" i="1" s="1"/>
  <c r="Q131" i="1"/>
  <c r="R131" i="1" s="1"/>
  <c r="Q130" i="1"/>
  <c r="R130" i="1" s="1"/>
  <c r="T130" i="1" s="1"/>
  <c r="O128" i="1"/>
  <c r="Q128" i="1" s="1"/>
  <c r="R128" i="1" s="1"/>
  <c r="Q127" i="1"/>
  <c r="R127" i="1" s="1"/>
  <c r="T127" i="1" s="1"/>
  <c r="Q126" i="1"/>
  <c r="R126" i="1" s="1"/>
  <c r="Q125" i="1"/>
  <c r="R125" i="1" s="1"/>
  <c r="O124" i="1"/>
  <c r="Q124" i="1" s="1"/>
  <c r="R124" i="1" s="1"/>
  <c r="T124" i="1" s="1"/>
  <c r="Q122" i="1"/>
  <c r="R122" i="1" s="1"/>
  <c r="T122" i="1" s="1"/>
  <c r="Q121" i="1"/>
  <c r="R121" i="1" s="1"/>
  <c r="T121" i="1" s="1"/>
  <c r="Q120" i="1"/>
  <c r="R120" i="1" s="1"/>
  <c r="T120" i="1" s="1"/>
  <c r="Q119" i="1"/>
  <c r="R119" i="1" s="1"/>
  <c r="Q118" i="1"/>
  <c r="R118" i="1" s="1"/>
  <c r="O117" i="1"/>
  <c r="Q117" i="1" s="1"/>
  <c r="R117" i="1" s="1"/>
  <c r="T117" i="1" s="1"/>
  <c r="Q115" i="1"/>
  <c r="R115" i="1" s="1"/>
  <c r="T115" i="1" s="1"/>
  <c r="Q114" i="1"/>
  <c r="R114" i="1" s="1"/>
  <c r="T114" i="1" s="1"/>
  <c r="Q112" i="1"/>
  <c r="R112" i="1" s="1"/>
  <c r="Q113" i="1"/>
  <c r="R113" i="1" s="1"/>
  <c r="Q111" i="1"/>
  <c r="R111" i="1" s="1"/>
  <c r="T111" i="1" s="1"/>
  <c r="O110" i="1"/>
  <c r="Q110" i="1" s="1"/>
  <c r="Q109" i="1"/>
  <c r="R109" i="1" s="1"/>
  <c r="T109" i="1" s="1"/>
  <c r="O107" i="1"/>
  <c r="Q107" i="1" s="1"/>
  <c r="Q106" i="1"/>
  <c r="R106" i="1" s="1"/>
  <c r="T106" i="1" s="1"/>
  <c r="Q105" i="1"/>
  <c r="R105" i="1" s="1"/>
  <c r="T105" i="1" s="1"/>
  <c r="S101" i="1"/>
  <c r="O104" i="1"/>
  <c r="Q104" i="1" s="1"/>
  <c r="R104" i="1" s="1"/>
  <c r="T104" i="1" s="1"/>
  <c r="Q103" i="1"/>
  <c r="R103" i="1" s="1"/>
  <c r="T103" i="1" s="1"/>
  <c r="Q102" i="1"/>
  <c r="R102" i="1" s="1"/>
  <c r="T102" i="1" s="1"/>
  <c r="Q65" i="1"/>
  <c r="R65" i="1" s="1"/>
  <c r="T65" i="1" s="1"/>
  <c r="Q70" i="1"/>
  <c r="R70" i="1" s="1"/>
  <c r="T70" i="1" s="1"/>
  <c r="R15" i="3"/>
  <c r="Q75" i="1"/>
  <c r="R75" i="1" s="1"/>
  <c r="T75" i="1" s="1"/>
  <c r="Q76" i="1"/>
  <c r="R76" i="1" s="1"/>
  <c r="T76" i="1" s="1"/>
  <c r="Q77" i="1"/>
  <c r="R77" i="1" s="1"/>
  <c r="T77" i="1" s="1"/>
  <c r="O92" i="1"/>
  <c r="Q92" i="1" s="1"/>
  <c r="R92" i="1" s="1"/>
  <c r="T92" i="1" s="1"/>
  <c r="P5" i="2"/>
  <c r="Q5" i="2" s="1"/>
  <c r="Q101" i="1"/>
  <c r="R101" i="1" s="1"/>
  <c r="O93" i="1"/>
  <c r="Q93" i="1" s="1"/>
  <c r="O94" i="1"/>
  <c r="Q94" i="1" s="1"/>
  <c r="R94" i="1" s="1"/>
  <c r="Q90" i="1"/>
  <c r="R90" i="1" s="1"/>
  <c r="T90" i="1" s="1"/>
  <c r="Q89" i="1"/>
  <c r="R89" i="1" s="1"/>
  <c r="Q96" i="1"/>
  <c r="R96" i="1" s="1"/>
  <c r="Q98" i="1"/>
  <c r="R98" i="1" s="1"/>
  <c r="T98" i="1" s="1"/>
  <c r="Q99" i="1"/>
  <c r="R99" i="1" s="1"/>
  <c r="T99" i="1" s="1"/>
  <c r="Q97" i="1"/>
  <c r="R97" i="1" s="1"/>
  <c r="N11" i="3"/>
  <c r="T11" i="3"/>
  <c r="O11" i="3"/>
  <c r="P11" i="3"/>
  <c r="R11" i="3"/>
  <c r="N12" i="3"/>
  <c r="O12" i="3"/>
  <c r="P12" i="3"/>
  <c r="R12" i="3"/>
  <c r="N13" i="3"/>
  <c r="O13" i="3"/>
  <c r="T13" i="3"/>
  <c r="P13" i="3"/>
  <c r="R13" i="3"/>
  <c r="P3" i="2"/>
  <c r="Q3" i="2" s="1"/>
  <c r="S3" i="2" s="1"/>
  <c r="Q31" i="1"/>
  <c r="R31" i="1" s="1"/>
  <c r="T31" i="1" s="1"/>
  <c r="N4" i="2"/>
  <c r="P4" i="2" s="1"/>
  <c r="Q4" i="2" s="1"/>
  <c r="S4" i="2" s="1"/>
  <c r="Q87" i="1"/>
  <c r="R87" i="1" s="1"/>
  <c r="S49" i="1"/>
  <c r="Q85" i="1"/>
  <c r="R85" i="1" s="1"/>
  <c r="T85" i="1" s="1"/>
  <c r="O15" i="3"/>
  <c r="Q84" i="1"/>
  <c r="R84" i="1" s="1"/>
  <c r="Q83" i="1"/>
  <c r="R83" i="1" s="1"/>
  <c r="T83" i="1" s="1"/>
  <c r="Q82" i="1"/>
  <c r="R82" i="1" s="1"/>
  <c r="T82" i="1" s="1"/>
  <c r="Q80" i="1"/>
  <c r="R80" i="1" s="1"/>
  <c r="T80" i="1" s="1"/>
  <c r="Q81" i="1"/>
  <c r="R81" i="1" s="1"/>
  <c r="Q79" i="1"/>
  <c r="R79" i="1" s="1"/>
  <c r="Q78" i="1"/>
  <c r="R78" i="1" s="1"/>
  <c r="T78" i="1" s="1"/>
  <c r="R2" i="2"/>
  <c r="Q74" i="1"/>
  <c r="R74" i="1" s="1"/>
  <c r="T74" i="1" s="1"/>
  <c r="O26" i="1"/>
  <c r="V26" i="1" s="1"/>
  <c r="S53" i="1"/>
  <c r="Q56" i="1"/>
  <c r="R56" i="1" s="1"/>
  <c r="Q72" i="1"/>
  <c r="R72" i="1" s="1"/>
  <c r="T72" i="1" s="1"/>
  <c r="Q73" i="1"/>
  <c r="R73" i="1" s="1"/>
  <c r="T73" i="1" s="1"/>
  <c r="Q55" i="1"/>
  <c r="R55" i="1" s="1"/>
  <c r="T55" i="1" s="1"/>
  <c r="S69" i="1"/>
  <c r="O67" i="1"/>
  <c r="Q67" i="1" s="1"/>
  <c r="R67" i="1" s="1"/>
  <c r="Q69" i="1"/>
  <c r="R69" i="1" s="1"/>
  <c r="Q71" i="1"/>
  <c r="R71" i="1" s="1"/>
  <c r="T71" i="1" s="1"/>
  <c r="Q68" i="1"/>
  <c r="R68" i="1" s="1"/>
  <c r="T68" i="1" s="1"/>
  <c r="Q66" i="1"/>
  <c r="R66" i="1" s="1"/>
  <c r="Q63" i="1"/>
  <c r="R63" i="1" s="1"/>
  <c r="T63" i="1" s="1"/>
  <c r="Q64" i="1"/>
  <c r="R64" i="1" s="1"/>
  <c r="T64" i="1" s="1"/>
  <c r="S52" i="1"/>
  <c r="Q62" i="1"/>
  <c r="R62" i="1" s="1"/>
  <c r="T62" i="1" s="1"/>
  <c r="Q61" i="1"/>
  <c r="R61" i="1" s="1"/>
  <c r="T61" i="1" s="1"/>
  <c r="Q59" i="1"/>
  <c r="R59" i="1" s="1"/>
  <c r="T59" i="1" s="1"/>
  <c r="Q60" i="1"/>
  <c r="R60" i="1" s="1"/>
  <c r="T60" i="1" s="1"/>
  <c r="Q58" i="1"/>
  <c r="R58" i="1" s="1"/>
  <c r="N2" i="2"/>
  <c r="P2" i="2" s="1"/>
  <c r="Q2" i="2" s="1"/>
  <c r="O54" i="1"/>
  <c r="Q54" i="1" s="1"/>
  <c r="S45" i="1"/>
  <c r="V51" i="1"/>
  <c r="V52" i="1"/>
  <c r="V53" i="1"/>
  <c r="Q51" i="1"/>
  <c r="R51" i="1" s="1"/>
  <c r="T51" i="1" s="1"/>
  <c r="Q52" i="1"/>
  <c r="R52" i="1" s="1"/>
  <c r="Q53" i="1"/>
  <c r="R53" i="1" s="1"/>
  <c r="V36" i="1"/>
  <c r="Q36" i="1"/>
  <c r="R36" i="1" s="1"/>
  <c r="T36" i="1" s="1"/>
  <c r="V46" i="1"/>
  <c r="V47" i="1"/>
  <c r="O50" i="1"/>
  <c r="V50" i="1" s="1"/>
  <c r="N5" i="3"/>
  <c r="O5" i="3"/>
  <c r="O49" i="1"/>
  <c r="Q49" i="1" s="1"/>
  <c r="Q46" i="1"/>
  <c r="R46" i="1" s="1"/>
  <c r="T46" i="1" s="1"/>
  <c r="N7" i="3"/>
  <c r="T7" i="3"/>
  <c r="N9" i="3"/>
  <c r="O9" i="3"/>
  <c r="T9" i="3"/>
  <c r="S30" i="1"/>
  <c r="Q47" i="1"/>
  <c r="R47" i="1" s="1"/>
  <c r="T47" i="1" s="1"/>
  <c r="O48" i="1"/>
  <c r="O45" i="1"/>
  <c r="Q45" i="1" s="1"/>
  <c r="V41" i="1"/>
  <c r="O42" i="1"/>
  <c r="Q42" i="1" s="1"/>
  <c r="Q43" i="1"/>
  <c r="R43" i="1" s="1"/>
  <c r="T43" i="1" s="1"/>
  <c r="Q44" i="1"/>
  <c r="R44" i="1" s="1"/>
  <c r="T44" i="1" s="1"/>
  <c r="S29" i="1"/>
  <c r="Q41" i="1"/>
  <c r="R41" i="1" s="1"/>
  <c r="T41" i="1" s="1"/>
  <c r="O37" i="1"/>
  <c r="V37" i="1" s="1"/>
  <c r="O38" i="1"/>
  <c r="V38" i="1" s="1"/>
  <c r="O39" i="1"/>
  <c r="Q39" i="1" s="1"/>
  <c r="R39" i="1" s="1"/>
  <c r="T39" i="1" s="1"/>
  <c r="O40" i="1"/>
  <c r="O33" i="1"/>
  <c r="V33" i="1" s="1"/>
  <c r="O34" i="1"/>
  <c r="V44" i="1"/>
  <c r="V43" i="1"/>
  <c r="V35" i="1"/>
  <c r="Q35" i="1"/>
  <c r="R35" i="1" s="1"/>
  <c r="T35" i="1" s="1"/>
  <c r="O32" i="1"/>
  <c r="V32" i="1" s="1"/>
  <c r="V31" i="1"/>
  <c r="O30" i="1"/>
  <c r="Q30" i="1" s="1"/>
  <c r="Q21" i="1"/>
  <c r="R21" i="1" s="1"/>
  <c r="T21" i="1" s="1"/>
  <c r="Q22" i="1"/>
  <c r="R22" i="1" s="1"/>
  <c r="T22" i="1" s="1"/>
  <c r="O29" i="1"/>
  <c r="V29" i="1" s="1"/>
  <c r="O28" i="1"/>
  <c r="Q28" i="1" s="1"/>
  <c r="O27" i="1"/>
  <c r="V27" i="1" s="1"/>
  <c r="V25" i="1"/>
  <c r="Q25" i="1"/>
  <c r="R25" i="1" s="1"/>
  <c r="T25" i="1" s="1"/>
  <c r="Q24" i="1"/>
  <c r="R24" i="1" s="1"/>
  <c r="T24" i="1" s="1"/>
  <c r="V24" i="1"/>
  <c r="V23" i="1"/>
  <c r="Q23" i="1"/>
  <c r="R23" i="1" s="1"/>
  <c r="T23" i="1" s="1"/>
  <c r="V21" i="1"/>
  <c r="V22" i="1"/>
  <c r="O20" i="1"/>
  <c r="Q20" i="1" s="1"/>
  <c r="V19" i="1"/>
  <c r="Q18" i="1"/>
  <c r="R18" i="1" s="1"/>
  <c r="T18" i="1" s="1"/>
  <c r="Q19" i="1"/>
  <c r="R19" i="1" s="1"/>
  <c r="T19" i="1" s="1"/>
  <c r="V18" i="1"/>
  <c r="O17" i="1"/>
  <c r="O16" i="1"/>
  <c r="V16" i="1" s="1"/>
  <c r="O15" i="1"/>
  <c r="Q15" i="1" s="1"/>
  <c r="O14" i="1"/>
  <c r="V14" i="1" s="1"/>
  <c r="O13" i="1"/>
  <c r="L34" i="3"/>
  <c r="O12" i="1"/>
  <c r="V12" i="1" s="1"/>
  <c r="R9" i="1"/>
  <c r="T9" i="1" s="1"/>
  <c r="O11" i="1"/>
  <c r="V11" i="1" s="1"/>
  <c r="V9" i="1"/>
  <c r="O10" i="1"/>
  <c r="V10" i="1" s="1"/>
  <c r="T5" i="3"/>
  <c r="R6" i="1"/>
  <c r="T6" i="1" s="1"/>
  <c r="R7" i="1"/>
  <c r="O8" i="1"/>
  <c r="V8" i="1" s="1"/>
  <c r="V6" i="1"/>
  <c r="V7" i="1"/>
  <c r="O5" i="1"/>
  <c r="O4" i="1"/>
  <c r="Q4" i="1" s="1"/>
  <c r="O3" i="1"/>
  <c r="V3" i="1" s="1"/>
  <c r="N3" i="3"/>
  <c r="O3" i="3"/>
  <c r="P3" i="3"/>
  <c r="P5" i="3"/>
  <c r="R5" i="3"/>
  <c r="N34" i="3"/>
  <c r="R3" i="3"/>
  <c r="T3" i="3"/>
  <c r="P9" i="3"/>
  <c r="R9" i="3"/>
  <c r="T12" i="3"/>
  <c r="O7" i="3"/>
  <c r="P7" i="3"/>
  <c r="R7" i="3"/>
  <c r="P34" i="3"/>
  <c r="T34" i="3"/>
  <c r="R34" i="3"/>
  <c r="T87" i="1" l="1"/>
  <c r="T118" i="1"/>
  <c r="S21" i="2"/>
  <c r="S12" i="2"/>
  <c r="S15" i="2"/>
  <c r="S5" i="2"/>
  <c r="S2" i="2"/>
  <c r="S7" i="2"/>
  <c r="U2" i="2"/>
  <c r="S11" i="2"/>
  <c r="Q17" i="2"/>
  <c r="S17" i="2" s="1"/>
  <c r="S9" i="2"/>
  <c r="S14" i="2"/>
  <c r="P16" i="2"/>
  <c r="Q16" i="2" s="1"/>
  <c r="S16" i="2" s="1"/>
  <c r="T197" i="1"/>
  <c r="T238" i="1"/>
  <c r="Q38" i="1"/>
  <c r="R38" i="1" s="1"/>
  <c r="T38" i="1" s="1"/>
  <c r="T84" i="1"/>
  <c r="T58" i="1"/>
  <c r="T66" i="1"/>
  <c r="T69" i="1"/>
  <c r="T125" i="1"/>
  <c r="T119" i="1"/>
  <c r="Q3" i="1"/>
  <c r="R3" i="1" s="1"/>
  <c r="T160" i="1"/>
  <c r="R30" i="1"/>
  <c r="T30" i="1" s="1"/>
  <c r="T128" i="1"/>
  <c r="T183" i="1"/>
  <c r="R93" i="1"/>
  <c r="T93" i="1" s="1"/>
  <c r="T241" i="1"/>
  <c r="T204" i="1"/>
  <c r="T164" i="1"/>
  <c r="T220" i="1"/>
  <c r="Q14" i="1"/>
  <c r="R14" i="1" s="1"/>
  <c r="T14" i="1" s="1"/>
  <c r="T136" i="1"/>
  <c r="T53" i="1"/>
  <c r="T89" i="1"/>
  <c r="T56" i="1"/>
  <c r="T212" i="1"/>
  <c r="Q29" i="1"/>
  <c r="R29" i="1" s="1"/>
  <c r="T29" i="1" s="1"/>
  <c r="V39" i="1"/>
  <c r="T81" i="1"/>
  <c r="Q26" i="1"/>
  <c r="R26" i="1" s="1"/>
  <c r="T26" i="1" s="1"/>
  <c r="Q2" i="1"/>
  <c r="R2" i="1" s="1"/>
  <c r="T2" i="1" s="1"/>
  <c r="T141" i="1"/>
  <c r="V15" i="1"/>
  <c r="R15" i="1"/>
  <c r="T15" i="1" s="1"/>
  <c r="T235" i="1"/>
  <c r="T94" i="1"/>
  <c r="T113" i="1"/>
  <c r="Q27" i="1"/>
  <c r="R27" i="1" s="1"/>
  <c r="T27" i="1" s="1"/>
  <c r="T97" i="1"/>
  <c r="T126" i="1"/>
  <c r="R91" i="1"/>
  <c r="T91" i="1" s="1"/>
  <c r="Q33" i="1"/>
  <c r="R33" i="1" s="1"/>
  <c r="T33" i="1" s="1"/>
  <c r="T101" i="1"/>
  <c r="T186" i="1"/>
  <c r="T155" i="1"/>
  <c r="T228" i="1"/>
  <c r="Q50" i="1"/>
  <c r="R50" i="1" s="1"/>
  <c r="T50" i="1" s="1"/>
  <c r="T67" i="1"/>
  <c r="T132" i="1"/>
  <c r="V4" i="1"/>
  <c r="T222" i="1"/>
  <c r="Q11" i="1"/>
  <c r="R11" i="1" s="1"/>
  <c r="V54" i="1"/>
  <c r="T168" i="1"/>
  <c r="R192" i="1"/>
  <c r="T192" i="1" s="1"/>
  <c r="R209" i="1"/>
  <c r="T209" i="1" s="1"/>
  <c r="T219" i="1"/>
  <c r="T187" i="1"/>
  <c r="T233" i="1"/>
  <c r="T234" i="1"/>
  <c r="T52" i="1"/>
  <c r="T96" i="1"/>
  <c r="T140" i="1"/>
  <c r="T194" i="1"/>
  <c r="R223" i="1"/>
  <c r="T223" i="1" s="1"/>
  <c r="R20" i="1"/>
  <c r="T20" i="1" s="1"/>
  <c r="R28" i="1"/>
  <c r="T28" i="1" s="1"/>
  <c r="R133" i="1"/>
  <c r="T133" i="1" s="1"/>
  <c r="Q32" i="1"/>
  <c r="R32" i="1" s="1"/>
  <c r="T32" i="1" s="1"/>
  <c r="T131" i="1"/>
  <c r="V28" i="1"/>
  <c r="Q16" i="1"/>
  <c r="R16" i="1" s="1"/>
  <c r="T16" i="1" s="1"/>
  <c r="T79" i="1"/>
  <c r="T135" i="1"/>
  <c r="T172" i="1"/>
  <c r="R218" i="1"/>
  <c r="T218" i="1" s="1"/>
  <c r="R110" i="1"/>
  <c r="T110" i="1" s="1"/>
  <c r="T112" i="1"/>
  <c r="R195" i="1"/>
  <c r="T195" i="1" s="1"/>
  <c r="R200" i="1"/>
  <c r="T200" i="1" s="1"/>
  <c r="T210" i="1"/>
  <c r="R4" i="1"/>
  <c r="T4" i="1" s="1"/>
  <c r="V49" i="1"/>
  <c r="V30" i="1"/>
  <c r="R229" i="1"/>
  <c r="T229" i="1" s="1"/>
  <c r="R257" i="1"/>
  <c r="T257" i="1" s="1"/>
  <c r="R148" i="1"/>
  <c r="T148" i="1" s="1"/>
  <c r="R49" i="1"/>
  <c r="T49" i="1" s="1"/>
  <c r="R176" i="1"/>
  <c r="T176" i="1" s="1"/>
  <c r="R190" i="1"/>
  <c r="T190" i="1" s="1"/>
  <c r="T188" i="1"/>
  <c r="Q12" i="1"/>
  <c r="R12" i="1" s="1"/>
  <c r="T12" i="1" s="1"/>
  <c r="V20" i="1"/>
  <c r="R213" i="1"/>
  <c r="T213" i="1" s="1"/>
  <c r="Q34" i="1"/>
  <c r="R34" i="1" s="1"/>
  <c r="T34" i="1" s="1"/>
  <c r="V34" i="1"/>
  <c r="V42" i="1"/>
  <c r="Q205" i="1"/>
  <c r="R205" i="1" s="1"/>
  <c r="T205" i="1" s="1"/>
  <c r="R107" i="1"/>
  <c r="T107" i="1" s="1"/>
  <c r="Q48" i="1"/>
  <c r="R48" i="1" s="1"/>
  <c r="T48" i="1" s="1"/>
  <c r="V48" i="1"/>
  <c r="R116" i="1"/>
  <c r="T116" i="1" s="1"/>
  <c r="R42" i="1"/>
  <c r="T42" i="1" s="1"/>
  <c r="Q150" i="1"/>
  <c r="R150" i="1" s="1"/>
  <c r="T150" i="1" s="1"/>
  <c r="Q37" i="1"/>
  <c r="R37" i="1" s="1"/>
  <c r="T37" i="1" s="1"/>
  <c r="Q88" i="1"/>
  <c r="R88" i="1" s="1"/>
  <c r="T88" i="1" s="1"/>
  <c r="R255" i="1"/>
  <c r="T255" i="1" s="1"/>
  <c r="Q13" i="1"/>
  <c r="R13" i="1" s="1"/>
  <c r="T13" i="1" s="1"/>
  <c r="V13" i="1"/>
  <c r="V45" i="1"/>
  <c r="R45" i="1"/>
  <c r="T45" i="1" s="1"/>
  <c r="Q264" i="1"/>
  <c r="R264" i="1" s="1"/>
  <c r="T264" i="1" s="1"/>
  <c r="Q40" i="1"/>
  <c r="R40" i="1" s="1"/>
  <c r="T40" i="1" s="1"/>
  <c r="V40" i="1"/>
  <c r="R54" i="1"/>
  <c r="T54" i="1" s="1"/>
  <c r="Q208" i="1"/>
  <c r="R208" i="1" s="1"/>
  <c r="T208" i="1" s="1"/>
  <c r="Q8" i="1"/>
  <c r="R8" i="1" s="1"/>
  <c r="Q5" i="1"/>
  <c r="R5" i="1" s="1"/>
  <c r="V5" i="1"/>
  <c r="Q10" i="1"/>
  <c r="R10" i="1" s="1"/>
  <c r="Q17" i="1"/>
  <c r="R17" i="1" s="1"/>
  <c r="T17" i="1" s="1"/>
  <c r="V17" i="1"/>
  <c r="Q193" i="1"/>
  <c r="R193" i="1" s="1"/>
  <c r="T193" i="1" s="1"/>
  <c r="T225" i="1"/>
  <c r="Q237" i="1"/>
  <c r="R237" i="1" s="1"/>
  <c r="T237" i="1" s="1"/>
  <c r="Q253" i="1"/>
  <c r="R253" i="1" s="1"/>
  <c r="T253" i="1" s="1"/>
</calcChain>
</file>

<file path=xl/sharedStrings.xml><?xml version="1.0" encoding="utf-8"?>
<sst xmlns="http://schemas.openxmlformats.org/spreadsheetml/2006/main" count="3024" uniqueCount="1107">
  <si>
    <t>Start Date</t>
  </si>
  <si>
    <t>Renewal Date</t>
  </si>
  <si>
    <t>Policy No.</t>
  </si>
  <si>
    <t>Policy Holder</t>
  </si>
  <si>
    <t>Regn No</t>
  </si>
  <si>
    <t>Type of Cover</t>
  </si>
  <si>
    <t>Value of Vehicle</t>
  </si>
  <si>
    <t>Premium % Rate</t>
  </si>
  <si>
    <t>Basic Premium</t>
  </si>
  <si>
    <t>Total Premium</t>
  </si>
  <si>
    <t>Outstanding Bal</t>
  </si>
  <si>
    <t># of Payment Installments</t>
  </si>
  <si>
    <t xml:space="preserve">CIC OFFICER </t>
  </si>
  <si>
    <t>CIC Contact #</t>
  </si>
  <si>
    <t>Contact Details</t>
  </si>
  <si>
    <t>301/070/1/006059/2020/04</t>
  </si>
  <si>
    <t>ELLEN CHILEMBA</t>
  </si>
  <si>
    <t>CA60</t>
  </si>
  <si>
    <t>Vehicle Make</t>
  </si>
  <si>
    <t>Mazda Demio</t>
  </si>
  <si>
    <t xml:space="preserve">Comprehensive </t>
  </si>
  <si>
    <t>VAT+Stamp duty</t>
  </si>
  <si>
    <t>Commission Amount (12.5%)</t>
  </si>
  <si>
    <t xml:space="preserve">Doreen </t>
  </si>
  <si>
    <t>0991194272</t>
  </si>
  <si>
    <t>0999328606</t>
  </si>
  <si>
    <t>Gloria Mwasangwale</t>
  </si>
  <si>
    <t>Volkswagon Jetta</t>
  </si>
  <si>
    <t>COMP</t>
  </si>
  <si>
    <t>CA 1202</t>
  </si>
  <si>
    <t>P/101/01/1002/2017/00500</t>
  </si>
  <si>
    <t>Alinane</t>
  </si>
  <si>
    <t>0994221670</t>
  </si>
  <si>
    <t>301/086/1/000596/2020/06</t>
  </si>
  <si>
    <t>ERIC CHIMALIRO</t>
  </si>
  <si>
    <t>0888555983</t>
  </si>
  <si>
    <t>0992957051</t>
  </si>
  <si>
    <t>BX8602</t>
  </si>
  <si>
    <t>PRIVATE</t>
  </si>
  <si>
    <t>COMMERCIAL</t>
  </si>
  <si>
    <t>Daihatsu Mov</t>
  </si>
  <si>
    <t>0991194274</t>
  </si>
  <si>
    <t>Public Liability Amount</t>
  </si>
  <si>
    <t>301/070/1/007355/2020/07</t>
  </si>
  <si>
    <t>SABINA MMANGA</t>
  </si>
  <si>
    <t>0990278664</t>
  </si>
  <si>
    <t>BX5668</t>
  </si>
  <si>
    <t>Mazda Versia</t>
  </si>
  <si>
    <t>Georgina Nthara</t>
  </si>
  <si>
    <t>0992891059</t>
  </si>
  <si>
    <t>301/070/1/007411/2020/07</t>
  </si>
  <si>
    <t>MPHATSO DAKAMAU</t>
  </si>
  <si>
    <t>0999157078</t>
  </si>
  <si>
    <t>Station Wagon</t>
  </si>
  <si>
    <t>0992891060</t>
  </si>
  <si>
    <t>INSTALLMENT PAYMENT DATE/S</t>
  </si>
  <si>
    <t>Premium Paid</t>
  </si>
  <si>
    <t>301/070/1/002202/2018/06</t>
  </si>
  <si>
    <t>JEPTHA MTEMA</t>
  </si>
  <si>
    <t>DA9755</t>
  </si>
  <si>
    <t>DA3510</t>
  </si>
  <si>
    <t>Nissan Tiida Latio</t>
  </si>
  <si>
    <t>Third Party</t>
  </si>
  <si>
    <t>0992891061</t>
  </si>
  <si>
    <t>0992891062</t>
  </si>
  <si>
    <t>301/070/1/00758/2020/07</t>
  </si>
  <si>
    <t>GIFT LIVATA</t>
  </si>
  <si>
    <t>0999200108</t>
  </si>
  <si>
    <t>301/070/1/007647/2020/07</t>
  </si>
  <si>
    <t>0882252324</t>
  </si>
  <si>
    <t>BU6885</t>
  </si>
  <si>
    <t>Toyota Belta</t>
  </si>
  <si>
    <t>P/101/03/1002/2020/00384</t>
  </si>
  <si>
    <t>Aggrey Kaputeni</t>
  </si>
  <si>
    <t>0999981255</t>
  </si>
  <si>
    <t>BS9159</t>
  </si>
  <si>
    <t>Toyota Corolla</t>
  </si>
  <si>
    <t>301/070/1/007806/2020/08</t>
  </si>
  <si>
    <t>PETER MALITON</t>
  </si>
  <si>
    <t>OWEN MULUZI</t>
  </si>
  <si>
    <t>0999984353</t>
  </si>
  <si>
    <t>BV350</t>
  </si>
  <si>
    <t>Toyota Prado</t>
  </si>
  <si>
    <t>301/070/1/007804/2020/08</t>
  </si>
  <si>
    <t>TEMWA MGANGA</t>
  </si>
  <si>
    <t>0881624665</t>
  </si>
  <si>
    <t>BX6988</t>
  </si>
  <si>
    <t>Third Party(3months)</t>
  </si>
  <si>
    <t>301/070/1/008100/2020/08</t>
  </si>
  <si>
    <t>CA4573</t>
  </si>
  <si>
    <t>Volkswagon Golf</t>
  </si>
  <si>
    <t>20Aug2020(date1)</t>
  </si>
  <si>
    <t>301/070/1/007982/2020/08</t>
  </si>
  <si>
    <t>NA4819</t>
  </si>
  <si>
    <t>Toyota Passo</t>
  </si>
  <si>
    <t>14Aug2020(date1) 21Aug2020(date2)</t>
  </si>
  <si>
    <t>TOTALS</t>
  </si>
  <si>
    <t xml:space="preserve">REMINDER DATES </t>
  </si>
  <si>
    <t>COMMENTS</t>
  </si>
  <si>
    <t>Sent reminder on 9sept. Remind on Fri11sept</t>
  </si>
  <si>
    <t>301/070/1/008686/2020/09</t>
  </si>
  <si>
    <t>Alinafe C Maliton</t>
  </si>
  <si>
    <t>0994097290</t>
  </si>
  <si>
    <t>BX7285</t>
  </si>
  <si>
    <t>Madza Demio</t>
  </si>
  <si>
    <t>0992891064</t>
  </si>
  <si>
    <t>301/070/1/008778/2020/09</t>
  </si>
  <si>
    <t>0888367212</t>
  </si>
  <si>
    <t>BU4902</t>
  </si>
  <si>
    <t>Nissan Note</t>
  </si>
  <si>
    <t>0992891065</t>
  </si>
  <si>
    <t>JERRY ZIMBA</t>
  </si>
  <si>
    <t>25Oct2020(date1) 25Nov2020(date2)</t>
  </si>
  <si>
    <t>0991194273</t>
  </si>
  <si>
    <t xml:space="preserve">5SEPT2020(date1) 14OCT2020(date2) </t>
  </si>
  <si>
    <t>6Aug2020(date1) 14Oct2020(date2)</t>
  </si>
  <si>
    <t>STATUS</t>
  </si>
  <si>
    <t xml:space="preserve">Closed </t>
  </si>
  <si>
    <t>Closed</t>
  </si>
  <si>
    <t>Pending</t>
  </si>
  <si>
    <t>16NOV2020(date1)</t>
  </si>
  <si>
    <t>301/070/1/009231/2020</t>
  </si>
  <si>
    <t>SIMEON MPESI</t>
  </si>
  <si>
    <t>0999137200</t>
  </si>
  <si>
    <t>NS5411</t>
  </si>
  <si>
    <t>Daihatsu Mira</t>
  </si>
  <si>
    <t>Akim Mdala</t>
  </si>
  <si>
    <t>0999364575</t>
  </si>
  <si>
    <t>301/070/1/009685/2020</t>
  </si>
  <si>
    <t>NE6221</t>
  </si>
  <si>
    <t>BMW</t>
  </si>
  <si>
    <t>301/071/1/000230/2020</t>
  </si>
  <si>
    <t xml:space="preserve">MITCH PHARMACY </t>
  </si>
  <si>
    <t>0999142804</t>
  </si>
  <si>
    <t>BX 4301</t>
  </si>
  <si>
    <t>MAXMILLE ENDURO</t>
  </si>
  <si>
    <t>0999364576</t>
  </si>
  <si>
    <t>NE8597</t>
  </si>
  <si>
    <t>22Oct2020(date1) 14Dec2020(date2)</t>
  </si>
  <si>
    <t>25Sept2020(date1) 20Oct2020(date2)</t>
  </si>
  <si>
    <t>301/070/1/010276/2020</t>
  </si>
  <si>
    <t>MWAYI KAMANGA</t>
  </si>
  <si>
    <t/>
  </si>
  <si>
    <t>TO5222</t>
  </si>
  <si>
    <t>TOYOTA COROLLA</t>
  </si>
  <si>
    <t>Doreen</t>
  </si>
  <si>
    <t xml:space="preserve">18Nov2020(date1) 29Jan2021(date2) </t>
  </si>
  <si>
    <t>301/070/1/010602/2021</t>
  </si>
  <si>
    <t>LL 9971</t>
  </si>
  <si>
    <t>FORD RANGER</t>
  </si>
  <si>
    <t>Letitia Kachingwe</t>
  </si>
  <si>
    <t>0884748525</t>
  </si>
  <si>
    <t>CA 805</t>
  </si>
  <si>
    <t>BV 7759</t>
  </si>
  <si>
    <t>301/070/1/011319/2021</t>
  </si>
  <si>
    <t>ASAWITSWANI CHALAMANDA</t>
  </si>
  <si>
    <t>0999927222</t>
  </si>
  <si>
    <t>BX 4011</t>
  </si>
  <si>
    <t>NISSAN CARAVAN</t>
  </si>
  <si>
    <t>301/070/1/001651/2017</t>
  </si>
  <si>
    <t>0999963304</t>
  </si>
  <si>
    <t>CA 1733</t>
  </si>
  <si>
    <t>301/070/1/011600/2021</t>
  </si>
  <si>
    <t>Rose Stella Phiri</t>
  </si>
  <si>
    <t>MJ 1715</t>
  </si>
  <si>
    <t xml:space="preserve">NISSAN TIIDA  </t>
  </si>
  <si>
    <t>2Mar2021(date1)</t>
  </si>
  <si>
    <t>Gina</t>
  </si>
  <si>
    <t>7Jan2021(date1) 11Mar2021(date2)</t>
  </si>
  <si>
    <t>301/070/1/011638/2021</t>
  </si>
  <si>
    <t>Elmalec T. Mpesi</t>
  </si>
  <si>
    <t>0999917275</t>
  </si>
  <si>
    <t>BS6150</t>
  </si>
  <si>
    <t>NISSAN TIIDA LATIO</t>
  </si>
  <si>
    <t>301/070/1/0002931/2021</t>
  </si>
  <si>
    <t>Jerry Zimba</t>
  </si>
  <si>
    <t>Nissan NV350</t>
  </si>
  <si>
    <t>16Mar2021(Date1)</t>
  </si>
  <si>
    <t>BY 4364</t>
  </si>
  <si>
    <t>301/070/1/011886/2021</t>
  </si>
  <si>
    <t>Wyson Ben Mwabvula</t>
  </si>
  <si>
    <t>BW 2022</t>
  </si>
  <si>
    <t>Mitsubushi Pajero</t>
  </si>
  <si>
    <t>0999692936</t>
  </si>
  <si>
    <t>301/070/1/011908/2021</t>
  </si>
  <si>
    <t>CA 1480</t>
  </si>
  <si>
    <t>Toyota Hilux D</t>
  </si>
  <si>
    <t>Mwai Chikadza</t>
  </si>
  <si>
    <t xml:space="preserve">Officer Responsible </t>
  </si>
  <si>
    <t>Will</t>
  </si>
  <si>
    <t>Koy</t>
  </si>
  <si>
    <t>Kettie</t>
  </si>
  <si>
    <t>301/070/1/012132/2021</t>
  </si>
  <si>
    <t>Witness M T Alfonso</t>
  </si>
  <si>
    <t>0999406471</t>
  </si>
  <si>
    <t>BW3622</t>
  </si>
  <si>
    <t>14Apr2021(date1)</t>
  </si>
  <si>
    <t>301/070/1/006104/2020</t>
  </si>
  <si>
    <t>Clement Phiri</t>
  </si>
  <si>
    <t>0999204416</t>
  </si>
  <si>
    <t>NB 5707</t>
  </si>
  <si>
    <t>19Feb2021(date1) 18May2021(date2)</t>
  </si>
  <si>
    <t>301/06/1/000596/2021</t>
  </si>
  <si>
    <t>Eric Chimaliro</t>
  </si>
  <si>
    <t>301/070/1/00025/2021</t>
  </si>
  <si>
    <t>Enson Lweysa</t>
  </si>
  <si>
    <t>0881073833</t>
  </si>
  <si>
    <t>BS 7355</t>
  </si>
  <si>
    <t>FORD</t>
  </si>
  <si>
    <t>301/070/1/012999/2021</t>
  </si>
  <si>
    <t>Agness Shella</t>
  </si>
  <si>
    <t>0991512157</t>
  </si>
  <si>
    <t>BZ 7044</t>
  </si>
  <si>
    <t>301/070/1/013245/2021</t>
  </si>
  <si>
    <t>Neriwell C Matupa</t>
  </si>
  <si>
    <t>MN 9019</t>
  </si>
  <si>
    <t>Toyota Vitz</t>
  </si>
  <si>
    <t>Third party</t>
  </si>
  <si>
    <t>Andrew Gondwe</t>
  </si>
  <si>
    <t>301/080/1/003294/2021</t>
  </si>
  <si>
    <t>Mandinda Chiumia</t>
  </si>
  <si>
    <t>0888563330</t>
  </si>
  <si>
    <t>0999742844</t>
  </si>
  <si>
    <t>MC 8896</t>
  </si>
  <si>
    <t>Mazda Bongo</t>
  </si>
  <si>
    <t>0991854615</t>
  </si>
  <si>
    <t>301/080/1/003303/2021/06</t>
  </si>
  <si>
    <t>Patrick James Chikowi</t>
  </si>
  <si>
    <t>0882955846</t>
  </si>
  <si>
    <t>SA 1209</t>
  </si>
  <si>
    <t>Medson Kalambule</t>
  </si>
  <si>
    <t>0884849320</t>
  </si>
  <si>
    <t>NB 3487</t>
  </si>
  <si>
    <t>Ford Everest</t>
  </si>
  <si>
    <t>301/070/1/013198/2021/06</t>
  </si>
  <si>
    <t>Mwachi Limited</t>
  </si>
  <si>
    <t>CZ 6277</t>
  </si>
  <si>
    <t>BQ761</t>
  </si>
  <si>
    <t>Daihatsu Esse</t>
  </si>
  <si>
    <t>099915707</t>
  </si>
  <si>
    <t>NE 8597</t>
  </si>
  <si>
    <t>VW TGUAN</t>
  </si>
  <si>
    <t>MWAI</t>
  </si>
  <si>
    <t>301/070/1/0022O2/2018/06</t>
  </si>
  <si>
    <t>JEPHTA MTEMA</t>
  </si>
  <si>
    <t>DA 351</t>
  </si>
  <si>
    <t>THIRD PARTY</t>
  </si>
  <si>
    <t>N/E</t>
  </si>
  <si>
    <t>TOYOTA PASSO</t>
  </si>
  <si>
    <t>THRD PARTY</t>
  </si>
  <si>
    <t>301/070/1/007587/2020</t>
  </si>
  <si>
    <t>LA8761</t>
  </si>
  <si>
    <t>BMW X5</t>
  </si>
  <si>
    <t>301/080/1/003480/2021</t>
  </si>
  <si>
    <t>NARDIN J. KAMBA</t>
  </si>
  <si>
    <t>0990200108</t>
  </si>
  <si>
    <t>BZ2727</t>
  </si>
  <si>
    <t>TOYOTA DYNA</t>
  </si>
  <si>
    <t>AGGREY KAPUTENI</t>
  </si>
  <si>
    <t>VOLKSWAGEN</t>
  </si>
  <si>
    <t>BV 350</t>
  </si>
  <si>
    <t>TOYOTA PRADO</t>
  </si>
  <si>
    <t>ANDREW</t>
  </si>
  <si>
    <t>JOSEPH</t>
  </si>
  <si>
    <t>301/070/1/013770/2021</t>
  </si>
  <si>
    <t>LL 4733</t>
  </si>
  <si>
    <t>TOYOTA RAV 4</t>
  </si>
  <si>
    <t>INNOCENT  CHAMWALIRA</t>
  </si>
  <si>
    <t>301/070/1/007804/2020</t>
  </si>
  <si>
    <t>VOLKSWAGEN JETTA</t>
  </si>
  <si>
    <t>301/070/1/007982/2020</t>
  </si>
  <si>
    <t>RU 9555</t>
  </si>
  <si>
    <t>Mazda Versa</t>
  </si>
  <si>
    <t>GLORIA MWASANGWALE</t>
  </si>
  <si>
    <t>301/080/1/003617/2021/09</t>
  </si>
  <si>
    <t>HELLEN PHIRI</t>
  </si>
  <si>
    <t>0997967550</t>
  </si>
  <si>
    <t>SA 8487</t>
  </si>
  <si>
    <t>TOYOTA HILUX</t>
  </si>
  <si>
    <t>301/070/1/014627/2021/09</t>
  </si>
  <si>
    <t>STEVEN CHIUMIA</t>
  </si>
  <si>
    <t>0992613670</t>
  </si>
  <si>
    <t>LL 8110</t>
  </si>
  <si>
    <t>P/101/03/1002/2021/09</t>
  </si>
  <si>
    <t>Date in 3 months</t>
  </si>
  <si>
    <t>ALLAN BANDA</t>
  </si>
  <si>
    <t>0999989202</t>
  </si>
  <si>
    <t>CA 5783</t>
  </si>
  <si>
    <t>AUDI Q5</t>
  </si>
  <si>
    <t>BU 9971</t>
  </si>
  <si>
    <t>VOLKSWAGEN POLO</t>
  </si>
  <si>
    <t>BU 6183</t>
  </si>
  <si>
    <t>Joseph</t>
  </si>
  <si>
    <t>ZA2765</t>
  </si>
  <si>
    <t>Mazda</t>
  </si>
  <si>
    <t>301/070/1/015075/2021/10</t>
  </si>
  <si>
    <t>21-0ct-21</t>
  </si>
  <si>
    <t>MITCH PHARMACY</t>
  </si>
  <si>
    <t>CP273</t>
  </si>
  <si>
    <t>Toyota Fortuner</t>
  </si>
  <si>
    <t>141/301/1/104780/2021/10</t>
  </si>
  <si>
    <t>Simeon Mpesi</t>
  </si>
  <si>
    <t>301/070/1/015301/2021/11</t>
  </si>
  <si>
    <t>Wongani Chinamale</t>
  </si>
  <si>
    <t>NN4238</t>
  </si>
  <si>
    <t>Mazda Verisa</t>
  </si>
  <si>
    <t>Skumdana</t>
  </si>
  <si>
    <t>0881865400</t>
  </si>
  <si>
    <t xml:space="preserve">    </t>
  </si>
  <si>
    <t>301/070/3/006062/2021/11</t>
  </si>
  <si>
    <t>BMW 3 Series</t>
  </si>
  <si>
    <t>301/070/1/015446/2021/11</t>
  </si>
  <si>
    <t>NE5188</t>
  </si>
  <si>
    <t>Toyota Sienta</t>
  </si>
  <si>
    <t>301/070/1/015444/2021/11</t>
  </si>
  <si>
    <t>NE6403</t>
  </si>
  <si>
    <t>Mercedez-Benz</t>
  </si>
  <si>
    <t>301/070/1/015471/2021/11</t>
  </si>
  <si>
    <t>Atupele Malema</t>
  </si>
  <si>
    <t>CK7614</t>
  </si>
  <si>
    <t>Nissan Latio</t>
  </si>
  <si>
    <t>301/070/1/015480/2021/11</t>
  </si>
  <si>
    <t>Chimwemwe L Banda</t>
  </si>
  <si>
    <t>0888720852</t>
  </si>
  <si>
    <t>KU876</t>
  </si>
  <si>
    <t>08849177</t>
  </si>
  <si>
    <t>301/070/1/015470/2021/11</t>
  </si>
  <si>
    <t>Penina Kasiya</t>
  </si>
  <si>
    <t>0884269903</t>
  </si>
  <si>
    <t>Toyota Carina</t>
  </si>
  <si>
    <t>SA5164</t>
  </si>
  <si>
    <t>301/070/1/015927/2021/12</t>
  </si>
  <si>
    <t>Wezi Esther Mkwaila</t>
  </si>
  <si>
    <t>BW 7610</t>
  </si>
  <si>
    <t>SUZUKI VITARA</t>
  </si>
  <si>
    <t>301/070/1/015848/2021/12</t>
  </si>
  <si>
    <t>Francis Juwao Phiri</t>
  </si>
  <si>
    <t>NB 9261</t>
  </si>
  <si>
    <t>NISSAN CLIPP</t>
  </si>
  <si>
    <t>GNTHARA</t>
  </si>
  <si>
    <t>301/070/1/016080/2021/12</t>
  </si>
  <si>
    <t>Patrick Mwapanya</t>
  </si>
  <si>
    <t>LA 9476</t>
  </si>
  <si>
    <t>TOYOTA</t>
  </si>
  <si>
    <t>Driver Details</t>
  </si>
  <si>
    <t>301/070/3/006750/2022/01</t>
  </si>
  <si>
    <t>Innocent Chamwalira</t>
  </si>
  <si>
    <t>301/070/3/006750/2022/02</t>
  </si>
  <si>
    <t>0999142805</t>
  </si>
  <si>
    <t>DAIHATSU MIRA</t>
  </si>
  <si>
    <t>301/070/1/016546/2022/01</t>
  </si>
  <si>
    <t>Stanley Anselmo</t>
  </si>
  <si>
    <t>NS 5675</t>
  </si>
  <si>
    <t>Nissan Blue Bird</t>
  </si>
  <si>
    <t>0881745625</t>
  </si>
  <si>
    <t>301/080/1/004069/2022/01</t>
  </si>
  <si>
    <t>Sanderson Kuyeli</t>
  </si>
  <si>
    <t>Emily Kuyeli</t>
  </si>
  <si>
    <t>0991157214</t>
  </si>
  <si>
    <t>CK 2221</t>
  </si>
  <si>
    <t>Toyota Hilux</t>
  </si>
  <si>
    <t>141/301/1/110167/2022/01</t>
  </si>
  <si>
    <t>Jedidah Solomon Thindwa Mr.</t>
  </si>
  <si>
    <t>DZ 9275</t>
  </si>
  <si>
    <t>Mistubish EK Wagon</t>
  </si>
  <si>
    <t>301/070/1/016291/2022/01</t>
  </si>
  <si>
    <t>Allan Tokenge Banda</t>
  </si>
  <si>
    <t>BY 1646</t>
  </si>
  <si>
    <t>Ford Ranger</t>
  </si>
  <si>
    <t xml:space="preserve">  </t>
  </si>
  <si>
    <t>301/070/3/007111/2022/04</t>
  </si>
  <si>
    <t>Hendrix Banda Wonderford</t>
  </si>
  <si>
    <t>Enson Lwesya</t>
  </si>
  <si>
    <t>0</t>
  </si>
  <si>
    <t>CZ 2189</t>
  </si>
  <si>
    <t>301/070/1/016642/2022/01</t>
  </si>
  <si>
    <t>Mitch Pharmacy</t>
  </si>
  <si>
    <t>MHG 6916</t>
  </si>
  <si>
    <t>Honda Fit</t>
  </si>
  <si>
    <t>301/070/1/015095/2021</t>
  </si>
  <si>
    <t>Kettie Mwansangwale</t>
  </si>
  <si>
    <t>301/070/1/016676/2022/01</t>
  </si>
  <si>
    <t>Will Kaputeni</t>
  </si>
  <si>
    <t>0880691924</t>
  </si>
  <si>
    <t>IT 8789</t>
  </si>
  <si>
    <t>Volkswagen Polo</t>
  </si>
  <si>
    <t>0996627207</t>
  </si>
  <si>
    <t>Emmanuel MTEMA</t>
  </si>
  <si>
    <t>Catherine Mpesi</t>
  </si>
  <si>
    <t>0888771242</t>
  </si>
  <si>
    <t>Winnie Shella</t>
  </si>
  <si>
    <t>Sungani Phiri</t>
  </si>
  <si>
    <t>Medson Kalambula</t>
  </si>
  <si>
    <t>301/070/1/00996720/12</t>
  </si>
  <si>
    <t>Sophie Makoloma</t>
  </si>
  <si>
    <t>BN 3775</t>
  </si>
  <si>
    <t>Toyota Starl</t>
  </si>
  <si>
    <t>Nomsah Chikowi</t>
  </si>
  <si>
    <t>301/080/1/004170/2022/02</t>
  </si>
  <si>
    <t>Edward D Maferano</t>
  </si>
  <si>
    <t>MHG 6859</t>
  </si>
  <si>
    <t>NISSAN VANETTE</t>
  </si>
  <si>
    <t>301/070/1/016803/2022/02</t>
  </si>
  <si>
    <t>Victoria Juwao</t>
  </si>
  <si>
    <t>CA 499</t>
  </si>
  <si>
    <t>Nissan March</t>
  </si>
  <si>
    <t>301/070/1/016817/2022/02</t>
  </si>
  <si>
    <t>Babettie Abigail Juwayeyi</t>
  </si>
  <si>
    <t>Babettie A Juwayeyi</t>
  </si>
  <si>
    <t>PE 9371</t>
  </si>
  <si>
    <t>301/070/1/011319/2021/02</t>
  </si>
  <si>
    <t>Nissan VANETTE</t>
  </si>
  <si>
    <t>301/070/1/016864/2022/02</t>
  </si>
  <si>
    <t>Calum Luke Hill</t>
  </si>
  <si>
    <t>Ireen M Chinamale</t>
  </si>
  <si>
    <t>LA 7856</t>
  </si>
  <si>
    <t>301/070/1/016867/2022/02</t>
  </si>
  <si>
    <t>Joshua Ben Zilinde</t>
  </si>
  <si>
    <t>NU 5627</t>
  </si>
  <si>
    <t>Toyota Fanca</t>
  </si>
  <si>
    <t>301/070/3/007389/2022/05</t>
  </si>
  <si>
    <t>Jeptha Mtema</t>
  </si>
  <si>
    <t>CA1733</t>
  </si>
  <si>
    <t>P/101/03/1009/2022/00088</t>
  </si>
  <si>
    <t>Juwayeyi A. Ephile</t>
  </si>
  <si>
    <t>TO 1382</t>
  </si>
  <si>
    <t>301/070/3/007489/2022/05</t>
  </si>
  <si>
    <t>Clement Nazombe</t>
  </si>
  <si>
    <t>BT 4193</t>
  </si>
  <si>
    <t>MAZDA DEMIO</t>
  </si>
  <si>
    <t>Wongani</t>
  </si>
  <si>
    <t>WilliamKoy</t>
  </si>
  <si>
    <t>Wiil</t>
  </si>
  <si>
    <t>301/070/3/00718/2022/06</t>
  </si>
  <si>
    <t>Nissan Tiida</t>
  </si>
  <si>
    <t>Nardin Kamba</t>
  </si>
  <si>
    <t>Owen Muluzi</t>
  </si>
  <si>
    <t>Temwa Mganga</t>
  </si>
  <si>
    <t>Hellen Phiri</t>
  </si>
  <si>
    <t>Steven Chiumia</t>
  </si>
  <si>
    <t>Mphatso Dakamau</t>
  </si>
  <si>
    <t>Chimwemwe Banda</t>
  </si>
  <si>
    <t>141/301/1/112924/2022</t>
  </si>
  <si>
    <t>Elmelec T. Mpesi</t>
  </si>
  <si>
    <t>BS 6150</t>
  </si>
  <si>
    <t>301/080/3/001795/2022/03</t>
  </si>
  <si>
    <t>301/070/1/017523/2022/04</t>
  </si>
  <si>
    <t>Agness Msango</t>
  </si>
  <si>
    <t>Blessings  Chafuwa</t>
  </si>
  <si>
    <t>0991953516</t>
  </si>
  <si>
    <t>MHG 9892</t>
  </si>
  <si>
    <t>Toyota Ractis</t>
  </si>
  <si>
    <t>0996745859</t>
  </si>
  <si>
    <t>DOREEN</t>
  </si>
  <si>
    <t>301/070/1/017157/2022/03</t>
  </si>
  <si>
    <t>Kondwani Munthali</t>
  </si>
  <si>
    <t>0992033100</t>
  </si>
  <si>
    <t>MHG 7079</t>
  </si>
  <si>
    <t>301/070/1/017610/2022/04</t>
  </si>
  <si>
    <t>Felix Ng'oma</t>
  </si>
  <si>
    <t>MN 5634</t>
  </si>
  <si>
    <t>Nissan Seren</t>
  </si>
  <si>
    <t>0997036463</t>
  </si>
  <si>
    <t>301/080/1/004349/2022/04</t>
  </si>
  <si>
    <t>Garry Ganiza Chilinga</t>
  </si>
  <si>
    <t>PE 401</t>
  </si>
  <si>
    <t>0994324626</t>
  </si>
  <si>
    <t>301/070/1/017478/2022/04</t>
  </si>
  <si>
    <t>Vivian Limbe</t>
  </si>
  <si>
    <t>LL 8542</t>
  </si>
  <si>
    <t>Toyota Mark X</t>
  </si>
  <si>
    <t>Third Pary</t>
  </si>
  <si>
    <t>301/070/1/017160/2022/03</t>
  </si>
  <si>
    <t>Ireen M. Chinamale</t>
  </si>
  <si>
    <t>NE 3320</t>
  </si>
  <si>
    <t>0888359240</t>
  </si>
  <si>
    <t>301/070/1/000658/2017/02</t>
  </si>
  <si>
    <t>Martha Ngalawa</t>
  </si>
  <si>
    <t>Sadrack Mphamba</t>
  </si>
  <si>
    <t>BS 8207</t>
  </si>
  <si>
    <t>Toyota Advan</t>
  </si>
  <si>
    <t>301/070/CA1480</t>
  </si>
  <si>
    <t>301/070/3/007750/2022/06</t>
  </si>
  <si>
    <t>301/070/3/008022/2022/07</t>
  </si>
  <si>
    <t>141/301/1/113683/2022</t>
  </si>
  <si>
    <t>BV 5528</t>
  </si>
  <si>
    <t>301/070/1/017303/2022/03</t>
  </si>
  <si>
    <t>BT 4774</t>
  </si>
  <si>
    <t>Mazda 3</t>
  </si>
  <si>
    <t>301/070/1/011052/2022/04</t>
  </si>
  <si>
    <t>Maggie Yauvwira Phiri</t>
  </si>
  <si>
    <t>NU 7755</t>
  </si>
  <si>
    <t>Daihatsu Berg</t>
  </si>
  <si>
    <t>Andrew</t>
  </si>
  <si>
    <t>301/070/1/016434/2022/01</t>
  </si>
  <si>
    <t>ZA 6694</t>
  </si>
  <si>
    <t>301/071/1/000230/18</t>
  </si>
  <si>
    <t>301/080/1/004390/2022</t>
  </si>
  <si>
    <t>Babetti Abigail Juwayeyi</t>
  </si>
  <si>
    <t>BX 3297</t>
  </si>
  <si>
    <t>Toyota Dyna</t>
  </si>
  <si>
    <t>301/070/1/017690/2022</t>
  </si>
  <si>
    <t>Tionge F Mlotha</t>
  </si>
  <si>
    <t>0994250318</t>
  </si>
  <si>
    <t>0999284967/ 0888563330</t>
  </si>
  <si>
    <t>BN 383</t>
  </si>
  <si>
    <t>301/070/1/017716/2022/04</t>
  </si>
  <si>
    <t>Chimwemwe Mboma</t>
  </si>
  <si>
    <t>0999532688</t>
  </si>
  <si>
    <t>BZ 310</t>
  </si>
  <si>
    <t>Honda Freed</t>
  </si>
  <si>
    <t>Comprehensive</t>
  </si>
  <si>
    <t>301/070/1/017736/2020</t>
  </si>
  <si>
    <t>Charles Kadwa</t>
  </si>
  <si>
    <t>0888663775</t>
  </si>
  <si>
    <t>NS 5423</t>
  </si>
  <si>
    <t>301/070/3/008340/2022/08</t>
  </si>
  <si>
    <t>Witness Mikeolex T. Alfonso</t>
  </si>
  <si>
    <t>BW 3622</t>
  </si>
  <si>
    <t>Mistubishi</t>
  </si>
  <si>
    <t>301/070/1/017911/2022/05</t>
  </si>
  <si>
    <t>Miracle C Ndonani</t>
  </si>
  <si>
    <t>0999535651</t>
  </si>
  <si>
    <t>LL 10021</t>
  </si>
  <si>
    <t>BMW 1 Series</t>
  </si>
  <si>
    <t>301/070/1/018166/2022/05</t>
  </si>
  <si>
    <t>Kunozga Mlowoka</t>
  </si>
  <si>
    <t>0886027878</t>
  </si>
  <si>
    <t>MZ 10178</t>
  </si>
  <si>
    <t>301/070/1/018161/2022/05</t>
  </si>
  <si>
    <t>Anthony Hugh Alexander</t>
  </si>
  <si>
    <t>0982111026</t>
  </si>
  <si>
    <t>LL 10353</t>
  </si>
  <si>
    <t>Toyota Rav 4</t>
  </si>
  <si>
    <t>301/070/1/018198/2022/05</t>
  </si>
  <si>
    <t xml:space="preserve">Peace Lusinga </t>
  </si>
  <si>
    <t>0881334205</t>
  </si>
  <si>
    <t>NA 2179</t>
  </si>
  <si>
    <t>Mistubishi Pajero</t>
  </si>
  <si>
    <t>301/070/1/018207/2022/05</t>
  </si>
  <si>
    <t>Wongani Kazinga</t>
  </si>
  <si>
    <t>MJ 2166</t>
  </si>
  <si>
    <t>Mazda Axela</t>
  </si>
  <si>
    <t>301/070/5/010412/2022/08</t>
  </si>
  <si>
    <t>Rashid Hussein</t>
  </si>
  <si>
    <t>0999774477</t>
  </si>
  <si>
    <t>IT 1646</t>
  </si>
  <si>
    <t>Volvo</t>
  </si>
  <si>
    <t>301/070/1/018232/2022/06</t>
  </si>
  <si>
    <t>Tambuzgani Msiska</t>
  </si>
  <si>
    <t>BZ 6908</t>
  </si>
  <si>
    <t>Mercedes Benz</t>
  </si>
  <si>
    <t>301/070/3/008714/2022/09</t>
  </si>
  <si>
    <t>301/070/1/018427/2022/06</t>
  </si>
  <si>
    <t>BX 8602</t>
  </si>
  <si>
    <t>Commercial</t>
  </si>
  <si>
    <t>301/070/3/008876/2022/09</t>
  </si>
  <si>
    <t>301/070/3/009022/2022/09</t>
  </si>
  <si>
    <t>Toyota Vits</t>
  </si>
  <si>
    <t>301/070/1/018560/2022/06</t>
  </si>
  <si>
    <t>Joybel Hiwa</t>
  </si>
  <si>
    <t>RU 2987</t>
  </si>
  <si>
    <t>301/070/1/018649/2022/07</t>
  </si>
  <si>
    <t>CA 3328</t>
  </si>
  <si>
    <t>301/070/1/018509/2022/06</t>
  </si>
  <si>
    <t>Dalitso Chimombo</t>
  </si>
  <si>
    <t>BZ 10983</t>
  </si>
  <si>
    <t>301/080/3/002192/2022/10</t>
  </si>
  <si>
    <t>Mandida Chiumia</t>
  </si>
  <si>
    <t>301/070/1/018799/2022/07</t>
  </si>
  <si>
    <t>Betty Purity Kamanga</t>
  </si>
  <si>
    <t>0884273757</t>
  </si>
  <si>
    <t>301/070/3/0099256/2022/10</t>
  </si>
  <si>
    <t>301/070/1/018890/2022</t>
  </si>
  <si>
    <t>LL 10711</t>
  </si>
  <si>
    <t>Nissan Dualis</t>
  </si>
  <si>
    <t>301/080/1/004738/2022/07</t>
  </si>
  <si>
    <t>Charity Chavula Shaba</t>
  </si>
  <si>
    <t>0991132741</t>
  </si>
  <si>
    <t>NA 7710</t>
  </si>
  <si>
    <t>Midibus</t>
  </si>
  <si>
    <t>301/070/3/009362/2022/08</t>
  </si>
  <si>
    <t>Gift Livata</t>
  </si>
  <si>
    <t>LA 8761</t>
  </si>
  <si>
    <t>301/070/1/019156/2022/08</t>
  </si>
  <si>
    <t>Emmanuel Chimkonda</t>
  </si>
  <si>
    <t>DA 8992</t>
  </si>
  <si>
    <t>301/070/1/019147/2022/08</t>
  </si>
  <si>
    <t>Charles Dominic Kadwa</t>
  </si>
  <si>
    <t>0998350859</t>
  </si>
  <si>
    <t>BU 5958</t>
  </si>
  <si>
    <t>Toyota Noah</t>
  </si>
  <si>
    <t>301/070/3/009567/2022/11</t>
  </si>
  <si>
    <t>301/070/1/019296/2022/08</t>
  </si>
  <si>
    <t>Yamikani Banda</t>
  </si>
  <si>
    <t xml:space="preserve">Thandie Msukuma Banda </t>
  </si>
  <si>
    <t>0996257667</t>
  </si>
  <si>
    <t>BY 6603</t>
  </si>
  <si>
    <t>301/070/1/019338/2022/08</t>
  </si>
  <si>
    <t>Emmanuel Lusinga</t>
  </si>
  <si>
    <t>0999946646</t>
  </si>
  <si>
    <t>BS 4167</t>
  </si>
  <si>
    <t>301/070/1/019399/2022/08</t>
  </si>
  <si>
    <t>52 DC 9</t>
  </si>
  <si>
    <t>Tata Indica 2007</t>
  </si>
  <si>
    <t>301/070/1/019398/2022/08</t>
  </si>
  <si>
    <t>Doreen Hlezipe Ndlovu</t>
  </si>
  <si>
    <t>BZ 5582</t>
  </si>
  <si>
    <t xml:space="preserve">Suzuki Swift </t>
  </si>
  <si>
    <t>301/070/1/019753/2022/09</t>
  </si>
  <si>
    <t>Gerald Nkhonje</t>
  </si>
  <si>
    <t>Joel Phiri</t>
  </si>
  <si>
    <t>BV 3601</t>
  </si>
  <si>
    <t>PATIENCE</t>
  </si>
  <si>
    <t>301/070/1/019760/2022/09</t>
  </si>
  <si>
    <t>Bryer Winston Mlowoka</t>
  </si>
  <si>
    <t>BZ 657</t>
  </si>
  <si>
    <t>Toyota Axio</t>
  </si>
  <si>
    <t>Volkswagen</t>
  </si>
  <si>
    <t>141/301/1/118954/2022/06</t>
  </si>
  <si>
    <t>Mauapasula R Chikuta</t>
  </si>
  <si>
    <t>0884729054</t>
  </si>
  <si>
    <t>LA 7361</t>
  </si>
  <si>
    <t>301/070/1/019403/2022/08</t>
  </si>
  <si>
    <t>RU 10102</t>
  </si>
  <si>
    <t>Mazda CX-3</t>
  </si>
  <si>
    <t>301/070/1/019396/2022/08</t>
  </si>
  <si>
    <t>Renneck Zimba</t>
  </si>
  <si>
    <t>MZ 276</t>
  </si>
  <si>
    <t>301/070/3/009648/2022/08</t>
  </si>
  <si>
    <t>NA 4819</t>
  </si>
  <si>
    <t>301/070/1/019457/2022/08</t>
  </si>
  <si>
    <t>Nickson Zinyongo</t>
  </si>
  <si>
    <t>LL 5000N</t>
  </si>
  <si>
    <t>Toyota Vangu</t>
  </si>
  <si>
    <t>BT 10154</t>
  </si>
  <si>
    <t>Mistubishi Mirage</t>
  </si>
  <si>
    <t>Odetta</t>
  </si>
  <si>
    <t>Wongie</t>
  </si>
  <si>
    <t>Sabina</t>
  </si>
  <si>
    <t>Jephta Mtema</t>
  </si>
  <si>
    <t>Chimwemwe Lisuntha Banda</t>
  </si>
  <si>
    <t>301/070/1/019914/2022/09</t>
  </si>
  <si>
    <t>MZ 10639</t>
  </si>
  <si>
    <t>Renault Duster</t>
  </si>
  <si>
    <t>301/070/1/019971/2022/09</t>
  </si>
  <si>
    <t>0999940707</t>
  </si>
  <si>
    <t>KK 7555</t>
  </si>
  <si>
    <t>301/070/1/019970/2022/09</t>
  </si>
  <si>
    <t>Malikha Allieth</t>
  </si>
  <si>
    <t>LL 11242</t>
  </si>
  <si>
    <t>0995607048/0888854195</t>
  </si>
  <si>
    <t>301/070/1/019980/2022/09</t>
  </si>
  <si>
    <t>MJ 7160</t>
  </si>
  <si>
    <t>301/070/3/010269/2022/09</t>
  </si>
  <si>
    <t>Davie Chiphwanya</t>
  </si>
  <si>
    <t>0994144864</t>
  </si>
  <si>
    <t>CA 4143</t>
  </si>
  <si>
    <t>301/070/1/019828/2022</t>
  </si>
  <si>
    <t>Blessings Linje</t>
  </si>
  <si>
    <t>NB 9933</t>
  </si>
  <si>
    <t>301/080/3/002392/2022/09</t>
  </si>
  <si>
    <t>SA 848</t>
  </si>
  <si>
    <t>301/070/1/019835/2022/09</t>
  </si>
  <si>
    <t>Naeem Sacrain</t>
  </si>
  <si>
    <t>ZOYANA 8</t>
  </si>
  <si>
    <t>Benson Kasiya</t>
  </si>
  <si>
    <t>301/080/1/005002/2022/09</t>
  </si>
  <si>
    <t>Wezzie Mtonga</t>
  </si>
  <si>
    <t>LL 8100</t>
  </si>
  <si>
    <t>301/070/1/020209/2022/10</t>
  </si>
  <si>
    <t>Christopher Chimombo</t>
  </si>
  <si>
    <t>BX 5668</t>
  </si>
  <si>
    <t>301/070/3/010655/2022/01</t>
  </si>
  <si>
    <t>ZA 2765</t>
  </si>
  <si>
    <t>0994692330</t>
  </si>
  <si>
    <t>eds</t>
  </si>
  <si>
    <t>0999658390</t>
  </si>
  <si>
    <t>301/070/1/020574/2022/11</t>
  </si>
  <si>
    <t>Thandie Msukuma Banda</t>
  </si>
  <si>
    <t>NN 9841</t>
  </si>
  <si>
    <t>301/070/3/010917/2022/11</t>
  </si>
  <si>
    <t>NN 4238</t>
  </si>
  <si>
    <t>141/301/3/035523/2022/10</t>
  </si>
  <si>
    <t>NS 5411</t>
  </si>
  <si>
    <t>301/070/5/011610/2022/06</t>
  </si>
  <si>
    <t>Andrew Kunje</t>
  </si>
  <si>
    <t>MZ 10299</t>
  </si>
  <si>
    <t>301/070/3/009555/2022/08</t>
  </si>
  <si>
    <t>301/070/3/009557/2022/08</t>
  </si>
  <si>
    <t>Temwanani Mganga</t>
  </si>
  <si>
    <t>BX 6988</t>
  </si>
  <si>
    <t>Volkswagen J</t>
  </si>
  <si>
    <t>301/070/1/020420/2022/10</t>
  </si>
  <si>
    <t>BY 6038</t>
  </si>
  <si>
    <t>Nissan Navara</t>
  </si>
  <si>
    <t>301/070/1/020649/2022/11</t>
  </si>
  <si>
    <t>Stenford C Kusakala</t>
  </si>
  <si>
    <t>BY 8826</t>
  </si>
  <si>
    <t>CNYIRENDA</t>
  </si>
  <si>
    <t>301/070/3/009386/2022/10</t>
  </si>
  <si>
    <t>301/070/1/020390/2022/10</t>
  </si>
  <si>
    <t>Chindikani Munthali</t>
  </si>
  <si>
    <t>BZ 12272</t>
  </si>
  <si>
    <t>0992421352</t>
  </si>
  <si>
    <t>301/070/1/020696/2022/11</t>
  </si>
  <si>
    <t>Andrea Jahn</t>
  </si>
  <si>
    <t>KA 1943</t>
  </si>
  <si>
    <t>LA 4131</t>
  </si>
  <si>
    <t>Toyota Corrola</t>
  </si>
  <si>
    <t>PPEREKEZANI</t>
  </si>
  <si>
    <t>141/301/1/125949/2022/11</t>
  </si>
  <si>
    <t>Ali Ameer</t>
  </si>
  <si>
    <t>0993199783</t>
  </si>
  <si>
    <t>MJ 5489</t>
  </si>
  <si>
    <t>301/070/3/011185/2022/11</t>
  </si>
  <si>
    <t>0997110739</t>
  </si>
  <si>
    <t>SA 5164</t>
  </si>
  <si>
    <t>301/070/3/011428/2022/12</t>
  </si>
  <si>
    <t>Nissan Clipp</t>
  </si>
  <si>
    <t>301/070/1/020930/2022/12</t>
  </si>
  <si>
    <t>Chimwemwe Nyirongo</t>
  </si>
  <si>
    <t>RU 10129</t>
  </si>
  <si>
    <t>301/070/3/011357/2022/12</t>
  </si>
  <si>
    <t>Tamika Nomuthando Wiyo</t>
  </si>
  <si>
    <t>CA 7519</t>
  </si>
  <si>
    <t>301/080/1/005225/2022/12</t>
  </si>
  <si>
    <t>0996975837</t>
  </si>
  <si>
    <t>DZ 280</t>
  </si>
  <si>
    <t>Mistubishi Cant</t>
  </si>
  <si>
    <t>301/070/1/020968/2022/12</t>
  </si>
  <si>
    <t>Jawad I Patel</t>
  </si>
  <si>
    <t>MHG 5436</t>
  </si>
  <si>
    <t>Toyota Field</t>
  </si>
  <si>
    <t>301/070/3/011412/2022/12</t>
  </si>
  <si>
    <t>BLK 6226</t>
  </si>
  <si>
    <t>ToyotaHilux</t>
  </si>
  <si>
    <t>301/070/1/020997/2022/12</t>
  </si>
  <si>
    <t>Jacqueline M. Huwa</t>
  </si>
  <si>
    <t>NE 7884</t>
  </si>
  <si>
    <t>BMW X1</t>
  </si>
  <si>
    <t>Austin Abillu</t>
  </si>
  <si>
    <t>0999567580</t>
  </si>
  <si>
    <t>MH 10031</t>
  </si>
  <si>
    <t>301/070/1/021016/2022/12</t>
  </si>
  <si>
    <t>301/070/3/011860/2023/01</t>
  </si>
  <si>
    <t>301/070/3/011861/2023/04</t>
  </si>
  <si>
    <t>301/070/1/021337/2023/01</t>
  </si>
  <si>
    <t>Mike Soko</t>
  </si>
  <si>
    <t>0992083163</t>
  </si>
  <si>
    <t>BU 526</t>
  </si>
  <si>
    <t>Toyota</t>
  </si>
  <si>
    <t>301/070/1/021253/2023/01</t>
  </si>
  <si>
    <t>MZ 6890</t>
  </si>
  <si>
    <t>301/070/1/002843/2023/01</t>
  </si>
  <si>
    <t>301/080/1/005359/2023/01</t>
  </si>
  <si>
    <t>LL 11789</t>
  </si>
  <si>
    <t>Hino Dutro</t>
  </si>
  <si>
    <t>301/070/3/012093/2023/01</t>
  </si>
  <si>
    <t>Nissan BlueB</t>
  </si>
  <si>
    <t>Jedidah Solomon Thindwa</t>
  </si>
  <si>
    <t>141/301/5/038403/2023/01</t>
  </si>
  <si>
    <t>301/070/3/012229/2023/01</t>
  </si>
  <si>
    <t>Juwao Phiri</t>
  </si>
  <si>
    <t>301/070/3/012395/2023/05</t>
  </si>
  <si>
    <t>301/070/3/012405/2023/02</t>
  </si>
  <si>
    <t>301/070/3/012476/2023/2</t>
  </si>
  <si>
    <t>Amos Kainja</t>
  </si>
  <si>
    <t>0996632168</t>
  </si>
  <si>
    <t>141/302/1/030669/2023/02</t>
  </si>
  <si>
    <t>Edward Maferano</t>
  </si>
  <si>
    <t>0995458660</t>
  </si>
  <si>
    <t>MHG 5869</t>
  </si>
  <si>
    <t>Nissan Vanette</t>
  </si>
  <si>
    <t>141/301/1/13039/2023/03</t>
  </si>
  <si>
    <t>Brown Kachingwe Madula</t>
  </si>
  <si>
    <t>BN 9251</t>
  </si>
  <si>
    <t>Nissan Sunny</t>
  </si>
  <si>
    <t>141/301/3/040533/2023/03</t>
  </si>
  <si>
    <t>301/070/3/012749/06</t>
  </si>
  <si>
    <t>Kondani Muthali</t>
  </si>
  <si>
    <t xml:space="preserve">PRIVATE </t>
  </si>
  <si>
    <t>NN 10038</t>
  </si>
  <si>
    <t>301/070/3/013078/2023/04</t>
  </si>
  <si>
    <t>Blessings Chafuwa</t>
  </si>
  <si>
    <t>301/070/3/013027/2023/06</t>
  </si>
  <si>
    <t>301/070/3/013004/2023/06</t>
  </si>
  <si>
    <t>301/070/1/021983/2023/03</t>
  </si>
  <si>
    <t>LL 1073</t>
  </si>
  <si>
    <t>BMW 318 I</t>
  </si>
  <si>
    <t>301/070/1/011500/2021/03</t>
  </si>
  <si>
    <t>301/070/1/021860/2023/03</t>
  </si>
  <si>
    <t>Charles B Nyirenda</t>
  </si>
  <si>
    <t>0991770789</t>
  </si>
  <si>
    <t>CP 7074</t>
  </si>
  <si>
    <t>VW Passat</t>
  </si>
  <si>
    <t>301/070/3/012607/2023/05</t>
  </si>
  <si>
    <t>Clement Nazomba</t>
  </si>
  <si>
    <t>NE 6403</t>
  </si>
  <si>
    <t>Mercedez Benz</t>
  </si>
  <si>
    <t>301/070/3/012878/2023/06</t>
  </si>
  <si>
    <t>141/301/1/132625/2023/05</t>
  </si>
  <si>
    <t>BLK 8016</t>
  </si>
  <si>
    <t>Mazda S Wagon</t>
  </si>
  <si>
    <t>301/070/3/012231/2023</t>
  </si>
  <si>
    <t>NE 5548</t>
  </si>
  <si>
    <t>VW Polo</t>
  </si>
  <si>
    <t>301/070/3/013201/2023/04</t>
  </si>
  <si>
    <t>301/070/3/013209/2023/07</t>
  </si>
  <si>
    <t>141/301/1/131354/2023/03</t>
  </si>
  <si>
    <t>Rashid Mang'anda</t>
  </si>
  <si>
    <t>BW 8333</t>
  </si>
  <si>
    <t>Nissan Bluebird</t>
  </si>
  <si>
    <t>141/301/1/131347/2023/03</t>
  </si>
  <si>
    <t>WilliamKoy Ng'oma</t>
  </si>
  <si>
    <t>NB 7470</t>
  </si>
  <si>
    <t xml:space="preserve">Suzuki Alto </t>
  </si>
  <si>
    <t>141/301/1/131454/2023/04</t>
  </si>
  <si>
    <t>NU 638</t>
  </si>
  <si>
    <t>Micro-Bus</t>
  </si>
  <si>
    <t>301/080/3/003153/2023/04</t>
  </si>
  <si>
    <t>Chinsisi Sato</t>
  </si>
  <si>
    <t>0994205151</t>
  </si>
  <si>
    <t>NS 8828</t>
  </si>
  <si>
    <t>141/302/1/031182/2023/04</t>
  </si>
  <si>
    <t>Zaithwa Driving School</t>
  </si>
  <si>
    <t>MHG 6498</t>
  </si>
  <si>
    <t>Mistubishi Canter</t>
  </si>
  <si>
    <t>301/070/3/013473/2023/08</t>
  </si>
  <si>
    <t>301/070/1/022275/2023/04</t>
  </si>
  <si>
    <t>Nixion Zinyongo</t>
  </si>
  <si>
    <t>IT 3424</t>
  </si>
  <si>
    <t>BMW-X1</t>
  </si>
  <si>
    <t>301/070/5/015081/2023/02</t>
  </si>
  <si>
    <t>301/070/1/022439/2023/05</t>
  </si>
  <si>
    <t>Bonface B. Ndawala</t>
  </si>
  <si>
    <t>0883698056</t>
  </si>
  <si>
    <t>KU 555 B</t>
  </si>
  <si>
    <t>301/080/3/003199/2023/05</t>
  </si>
  <si>
    <t>Godwin GI Kaonongera</t>
  </si>
  <si>
    <t>BU 506</t>
  </si>
  <si>
    <t>Mazda Titan</t>
  </si>
  <si>
    <t>301/080/1/005589/2023/05</t>
  </si>
  <si>
    <t>DZ 4402</t>
  </si>
  <si>
    <t>Tata 1210</t>
  </si>
  <si>
    <t>301/070/5011472/2022/05</t>
  </si>
  <si>
    <t>141/302/1/031098/2023/03</t>
  </si>
  <si>
    <t>Daron Driving School</t>
  </si>
  <si>
    <t>KA 1578</t>
  </si>
  <si>
    <t>Mistubishi EK Wagon</t>
  </si>
  <si>
    <t>301/070/3/013745/2023/08</t>
  </si>
  <si>
    <t>Anthony H. Alexander</t>
  </si>
  <si>
    <t>301/070/3/013746/2023/08</t>
  </si>
  <si>
    <t>Kunogza Mlowoka</t>
  </si>
  <si>
    <t>301/070/1/022468/2023/05</t>
  </si>
  <si>
    <t>Naledi Lisuntha</t>
  </si>
  <si>
    <t>0998480890</t>
  </si>
  <si>
    <t>LL 10189</t>
  </si>
  <si>
    <t>RU 1794</t>
  </si>
  <si>
    <t>Nissan 1 Tonner</t>
  </si>
  <si>
    <t>141/301/1/133202/2023/05</t>
  </si>
  <si>
    <t>Alinafe Malitoni</t>
  </si>
  <si>
    <t>BX 7285</t>
  </si>
  <si>
    <t>301/070/1/022209/2023/04</t>
  </si>
  <si>
    <t>MHG 9716</t>
  </si>
  <si>
    <t>301/070/3/1/013849/2023/08</t>
  </si>
  <si>
    <t>Suzuki Swift</t>
  </si>
  <si>
    <t>301/070/3/013858/2023/09</t>
  </si>
  <si>
    <t>301/070/3/013857/2023/09</t>
  </si>
  <si>
    <t>301/070/1/022505/2023/05</t>
  </si>
  <si>
    <t>Edina Banda</t>
  </si>
  <si>
    <t>0993446622</t>
  </si>
  <si>
    <t>LA 5959</t>
  </si>
  <si>
    <t>301/070/1/022502/2023/05</t>
  </si>
  <si>
    <t>Amakhosi H Jere</t>
  </si>
  <si>
    <t>KU 7863</t>
  </si>
  <si>
    <t>301/070/1/022561/2023/06</t>
  </si>
  <si>
    <t>Shakira Mposa</t>
  </si>
  <si>
    <t>IT 9222</t>
  </si>
  <si>
    <t>P/101/03/1001/2023/00045</t>
  </si>
  <si>
    <t>Charity Phiri</t>
  </si>
  <si>
    <t>BT 4611</t>
  </si>
  <si>
    <t>301/070/3/013988/2023/09</t>
  </si>
  <si>
    <t>0996727325</t>
  </si>
  <si>
    <t>301/070/3/013951/2023/09</t>
  </si>
  <si>
    <t>301/080/1/005689/2023/06</t>
  </si>
  <si>
    <t>BM 7175</t>
  </si>
  <si>
    <t>301/070/3/014157/2023/09</t>
  </si>
  <si>
    <t>301/070/3/014228/2023/07</t>
  </si>
  <si>
    <t>301/070/3/013343/2023/07</t>
  </si>
  <si>
    <t>301/070/1/022183/2023/04</t>
  </si>
  <si>
    <t>LL 12175</t>
  </si>
  <si>
    <t>Daihatsu Move</t>
  </si>
  <si>
    <t>301/080/3/003152/2023/04</t>
  </si>
  <si>
    <t>Nardin Jackmam Kamba</t>
  </si>
  <si>
    <t>Nardin Jackman Kamba</t>
  </si>
  <si>
    <t>BZ 2727</t>
  </si>
  <si>
    <t>301/070/1/022940/2023/07</t>
  </si>
  <si>
    <t>Dyson Mthawanji</t>
  </si>
  <si>
    <t>0995787117</t>
  </si>
  <si>
    <t>NB 6749</t>
  </si>
  <si>
    <t>PETER</t>
  </si>
  <si>
    <t>301/070/3/014454/2023/10</t>
  </si>
  <si>
    <t>301/070/1/022947/2023/07</t>
  </si>
  <si>
    <t>MHG 6619</t>
  </si>
  <si>
    <t>P/101/03/</t>
  </si>
  <si>
    <t>141/301/1/132550/2023/05</t>
  </si>
  <si>
    <t>Martha Kamwaza Mtambalika</t>
  </si>
  <si>
    <t>MC 4518</t>
  </si>
  <si>
    <t>Toyota Ipsum</t>
  </si>
  <si>
    <t>0995652470</t>
  </si>
  <si>
    <t>141/301/1/136454/2023/07</t>
  </si>
  <si>
    <t>Romeo Nyondo</t>
  </si>
  <si>
    <t>MJ 3893</t>
  </si>
  <si>
    <t>KOY</t>
  </si>
  <si>
    <t>141/301/1/135454/2023/07</t>
  </si>
  <si>
    <t>Kondwani Kammwamba</t>
  </si>
  <si>
    <t>BV 4813</t>
  </si>
  <si>
    <t>141/301/1/135931/2023</t>
  </si>
  <si>
    <t>Naeem Sacranie</t>
  </si>
  <si>
    <t>HUSN 4</t>
  </si>
  <si>
    <t>Kia Sportage</t>
  </si>
  <si>
    <t>301/080/3/003478/2023/10</t>
  </si>
  <si>
    <t>Toyota Hiace</t>
  </si>
  <si>
    <t>301/070/1/023258/2023/08</t>
  </si>
  <si>
    <t>IT 5481</t>
  </si>
  <si>
    <t>301/070/1/023283/2023/08</t>
  </si>
  <si>
    <t>301/070/1/022757/2023/06</t>
  </si>
  <si>
    <t>Alllan T Banda</t>
  </si>
  <si>
    <t>Allan T Banda</t>
  </si>
  <si>
    <t>Audi Q5</t>
  </si>
  <si>
    <t>301/080/1/005840/2023/08</t>
  </si>
  <si>
    <t>BW 4335</t>
  </si>
  <si>
    <t>Hino</t>
  </si>
  <si>
    <t>Medison Kalambule/Patrick Chikowi</t>
  </si>
  <si>
    <t>141/301/1/136808/2023/08</t>
  </si>
  <si>
    <t>Yamikani Anna M Banda</t>
  </si>
  <si>
    <t>301/070/5/015520/2023/09</t>
  </si>
  <si>
    <t>Alinafe James Kalizang'oma</t>
  </si>
  <si>
    <t>0996127146</t>
  </si>
  <si>
    <t>BP 8695</t>
  </si>
  <si>
    <t>Nissan J26</t>
  </si>
  <si>
    <t>301/070/3/014828/2023/11</t>
  </si>
  <si>
    <t>P/101/03/1002/2023/00493</t>
  </si>
  <si>
    <t>Agricultural Transformation Initiative</t>
  </si>
  <si>
    <t>BW 3895</t>
  </si>
  <si>
    <t xml:space="preserve"> </t>
  </si>
  <si>
    <t>301/070/3/015023/2023/08</t>
  </si>
  <si>
    <t>Doreen H Ndhlovu</t>
  </si>
  <si>
    <t>301/080/1/005810/2023/08</t>
  </si>
  <si>
    <t>NA 4808</t>
  </si>
  <si>
    <t>0884335223</t>
  </si>
  <si>
    <t>301/070/3/014827/2023/11</t>
  </si>
  <si>
    <t>VW J</t>
  </si>
  <si>
    <t>koy</t>
  </si>
  <si>
    <t>301/070/1/023062/2023/07</t>
  </si>
  <si>
    <t>Topsy Chiyagwaza Mhango</t>
  </si>
  <si>
    <t>TO 8760</t>
  </si>
  <si>
    <t>Toyota Raum</t>
  </si>
  <si>
    <t>301/070/3/014658/2023/10</t>
  </si>
  <si>
    <t>301/070/3/014538/2023/10</t>
  </si>
  <si>
    <t xml:space="preserve">Chimwemwe Banda </t>
  </si>
  <si>
    <t>141/301/1/137830/2023/08</t>
  </si>
  <si>
    <t>Andrew Tyme Makwinja</t>
  </si>
  <si>
    <t>MH 9782</t>
  </si>
  <si>
    <t>301/080/1/005870/2023/08</t>
  </si>
  <si>
    <t>Gift Kalos</t>
  </si>
  <si>
    <t>0881975699</t>
  </si>
  <si>
    <t>MH 10549</t>
  </si>
  <si>
    <t>Hino Ranger</t>
  </si>
  <si>
    <t>301/070/3/014575/2023/10</t>
  </si>
  <si>
    <t>141/301/1/138186/2023/09</t>
  </si>
  <si>
    <t>Winstone Chambote</t>
  </si>
  <si>
    <t>MJ 2168</t>
  </si>
  <si>
    <t>Private</t>
  </si>
  <si>
    <t>301/070/3/015078/2023/08</t>
  </si>
  <si>
    <t>NN 6590</t>
  </si>
  <si>
    <t>301/086/1/001231/2023/08</t>
  </si>
  <si>
    <t>Godwin G.I. Kaonongera</t>
  </si>
  <si>
    <t>Godwin G.I Kaonongera</t>
  </si>
  <si>
    <t>LL 12932</t>
  </si>
  <si>
    <t>Mahindra Tra</t>
  </si>
  <si>
    <t>301/070/1/019403/2023/08</t>
  </si>
  <si>
    <t>BW 4571</t>
  </si>
  <si>
    <t>BW 4238</t>
  </si>
  <si>
    <t>BS 9159</t>
  </si>
  <si>
    <t>P/101/03/1002/2023/00388</t>
  </si>
  <si>
    <t>Mubbunu Pamela</t>
  </si>
  <si>
    <t>BW 3134</t>
  </si>
  <si>
    <t>Afela</t>
  </si>
  <si>
    <t>301/070/3/015483/2023/09</t>
  </si>
  <si>
    <t>141/301/1/138620/2023/09</t>
  </si>
  <si>
    <t>Harry Chambwinja</t>
  </si>
  <si>
    <t>BT 7504</t>
  </si>
  <si>
    <t>Suzuki Alto</t>
  </si>
  <si>
    <t>141/301/1/138589/2023/09</t>
  </si>
  <si>
    <t>Naeem Sacraine</t>
  </si>
  <si>
    <t>P/101/03/1002/2021/00552</t>
  </si>
  <si>
    <t>Allan Banda</t>
  </si>
  <si>
    <t>KA 7488</t>
  </si>
  <si>
    <t>Nissan Vanett</t>
  </si>
  <si>
    <t>301/070/3/015497/2023/12</t>
  </si>
  <si>
    <t>Renault Dust</t>
  </si>
  <si>
    <t>Comp</t>
  </si>
  <si>
    <t>BMNDAU</t>
  </si>
  <si>
    <t>301/080/3/003689/2023/12</t>
  </si>
  <si>
    <t>Samson Katengeza</t>
  </si>
  <si>
    <t>LL 11085</t>
  </si>
  <si>
    <t>301/070/3/015364/2023/12</t>
  </si>
  <si>
    <t>301/070/3/015024/2023/08</t>
  </si>
  <si>
    <t>52 CD 9</t>
  </si>
  <si>
    <t>Tata Indica</t>
  </si>
  <si>
    <t>301/080/1/005906/2023/09</t>
  </si>
  <si>
    <t>301/070/3/015559/2023/12</t>
  </si>
  <si>
    <t>301/070/1/023577/2023/09</t>
  </si>
  <si>
    <t>LL 12914</t>
  </si>
  <si>
    <t>P/101/03/1002/2023/00562</t>
  </si>
  <si>
    <t>Nipamkumar Pujara</t>
  </si>
  <si>
    <t>DAL 117</t>
  </si>
  <si>
    <t>Toyota Land Cruiser</t>
  </si>
  <si>
    <t>301/070/1/023621/2023/09</t>
  </si>
  <si>
    <t>Asantie Violet Mussa-Gama</t>
  </si>
  <si>
    <t>0888153655</t>
  </si>
  <si>
    <t>ZA 10954</t>
  </si>
  <si>
    <t>Mr. J Phiri</t>
  </si>
  <si>
    <t>301/080/1/005956/2023/09</t>
  </si>
  <si>
    <t>Sella Jumbo</t>
  </si>
  <si>
    <t>BV 5178</t>
  </si>
  <si>
    <t>Toyota Coaster</t>
  </si>
  <si>
    <t>301/070/1/023623/2023/09</t>
  </si>
  <si>
    <t>MHG 6302</t>
  </si>
  <si>
    <t>301/070/1/023691/2023/09</t>
  </si>
  <si>
    <t>Ruth Muriithi</t>
  </si>
  <si>
    <t>NS 3468</t>
  </si>
  <si>
    <t>Toyota Rush</t>
  </si>
  <si>
    <t>301/070/1/023724/2023/10</t>
  </si>
  <si>
    <t>William Dodoli</t>
  </si>
  <si>
    <t>0995299821</t>
  </si>
  <si>
    <t>KU 859</t>
  </si>
  <si>
    <t>301/080/1/005992/2023/10</t>
  </si>
  <si>
    <t>LL 13238</t>
  </si>
  <si>
    <t>wongie</t>
  </si>
  <si>
    <t>301/070/1/023778/2023/10</t>
  </si>
  <si>
    <t>NB 483</t>
  </si>
  <si>
    <t>301/070/1/023679/2023</t>
  </si>
  <si>
    <t>Ireen Chinamale</t>
  </si>
  <si>
    <t>CK 5335</t>
  </si>
  <si>
    <t>301/080/1/003523/2023/11</t>
  </si>
  <si>
    <t>Comphrehensive</t>
  </si>
  <si>
    <t>Officer Responsible</t>
  </si>
  <si>
    <t>Policy Number</t>
  </si>
  <si>
    <t>Date In 3 Months</t>
  </si>
  <si>
    <t>End Date</t>
  </si>
  <si>
    <t>Contact</t>
  </si>
  <si>
    <t>Purpose Type</t>
  </si>
  <si>
    <t>Reg No.</t>
  </si>
  <si>
    <t>Outstanding Balance</t>
  </si>
  <si>
    <t xml:space="preserve">PRIME OFFICER </t>
  </si>
  <si>
    <t>PRIME Contact #</t>
  </si>
  <si>
    <t>William</t>
  </si>
  <si>
    <t>301/080/1/006017/2023/10</t>
  </si>
  <si>
    <t>BZ 15412</t>
  </si>
  <si>
    <t>301/070/1/023871/2023/10</t>
  </si>
  <si>
    <t>Leah Munthali</t>
  </si>
  <si>
    <t>0888714682</t>
  </si>
  <si>
    <t>CP 2392</t>
  </si>
  <si>
    <t>Toyota Yaris</t>
  </si>
  <si>
    <t>301/070/1/024011/2023/11</t>
  </si>
  <si>
    <t>Isaac Matsobane Gwangwa</t>
  </si>
  <si>
    <t>0997692861</t>
  </si>
  <si>
    <t>JS 28 LT</t>
  </si>
  <si>
    <t>Mr J Phiri</t>
  </si>
  <si>
    <t>0884520673</t>
  </si>
  <si>
    <t>301/080/1/006097/2023/11</t>
  </si>
  <si>
    <t>Gift Zimuka</t>
  </si>
  <si>
    <t>0888102000</t>
  </si>
  <si>
    <t xml:space="preserve">Officer_Responsible </t>
  </si>
  <si>
    <t>Policy_No</t>
  </si>
  <si>
    <t>Start_Date</t>
  </si>
  <si>
    <t>Driver_Details</t>
  </si>
  <si>
    <t>Policy_Holder</t>
  </si>
  <si>
    <t>Renewal_Date</t>
  </si>
  <si>
    <t>Date_in_3months</t>
  </si>
  <si>
    <t>Contact_Details</t>
  </si>
  <si>
    <t>Regn_No</t>
  </si>
  <si>
    <t>PURPOSE_TYPE</t>
  </si>
  <si>
    <t>Vehicle_Make</t>
  </si>
  <si>
    <t>Type_of_Cover</t>
  </si>
  <si>
    <t>Value_of_Vehicle</t>
  </si>
  <si>
    <t>Basic_Premium</t>
  </si>
  <si>
    <t>Public_Liability_Amount</t>
  </si>
  <si>
    <t>Total_Premium</t>
  </si>
  <si>
    <t>Premium_Paid</t>
  </si>
  <si>
    <t>Outstanding_Bal</t>
  </si>
  <si>
    <t xml:space="preserve">REMINDER_DATES </t>
  </si>
  <si>
    <t>VAT_Stamp_duty</t>
  </si>
  <si>
    <t>Commission_Amount</t>
  </si>
  <si>
    <t>14Jul2020 4Aug2020(date2) 14Dec2020(date3)</t>
  </si>
  <si>
    <t>Premium_Rate</t>
  </si>
  <si>
    <t>No_of_Payment_Installments</t>
  </si>
  <si>
    <t>cic_officer</t>
  </si>
  <si>
    <t xml:space="preserve">Commission_Amount </t>
  </si>
  <si>
    <t xml:space="preserve">REUNION_OFFICER </t>
  </si>
  <si>
    <t>CIC_Contact</t>
  </si>
  <si>
    <t>iNSTALLMENT_PAYMENT_DATES</t>
  </si>
  <si>
    <t>cic-contacts</t>
  </si>
  <si>
    <t>Public_Liability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</si>
</sst>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_(* #,##0.000_);_(* \(#,##0.000\);_(* &quot;-&quot;??_);_(@_)"/>
    <numFmt numFmtId="166" formatCode="0.0%"/>
    <numFmt numFmtId="167" formatCode="m/d/yy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4" fontId="1" fillId="12" borderId="0">
      <alignment horizontal="left"/>
    </xf>
    <xf numFmtId="17" fontId="1" fillId="12" borderId="0">
      <alignment horizontal="left" vertical="center"/>
    </xf>
    <xf numFmtId="17" fontId="1" fillId="12" borderId="0">
      <alignment horizontal="left"/>
    </xf>
    <xf numFmtId="17" fontId="1" fillId="12" borderId="0">
      <alignment horizontal="left"/>
    </xf>
    <xf numFmtId="17" fontId="1" fillId="12" borderId="0">
      <alignment horizontal="left"/>
    </xf>
    <xf numFmtId="17" fontId="1" fillId="12" borderId="0">
      <alignment horizontal="left"/>
    </xf>
    <xf numFmtId="9" fontId="1" fillId="0" borderId="0" applyFont="0" applyFill="0" applyBorder="0" applyAlignment="0" applyProtection="0"/>
  </cellStyleXfs>
  <cellXfs count="27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5" fontId="0" fillId="0" borderId="0" xfId="0" applyNumberFormat="1"/>
    <xf numFmtId="0" fontId="3" fillId="5" borderId="0" xfId="0" applyFont="1" applyFill="1" applyAlignment="1">
      <alignment vertical="center" wrapText="1"/>
    </xf>
    <xf numFmtId="15" fontId="0" fillId="5" borderId="0" xfId="0" applyNumberFormat="1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0" fillId="5" borderId="0" xfId="0" applyFill="1"/>
    <xf numFmtId="15" fontId="0" fillId="5" borderId="0" xfId="0" applyNumberFormat="1" applyFill="1"/>
    <xf numFmtId="0" fontId="0" fillId="0" borderId="0" xfId="0" quotePrefix="1"/>
    <xf numFmtId="43" fontId="3" fillId="0" borderId="0" xfId="1" applyFont="1" applyAlignment="1">
      <alignment vertical="center" wrapText="1"/>
    </xf>
    <xf numFmtId="43" fontId="3" fillId="5" borderId="0" xfId="1" applyFont="1" applyFill="1" applyAlignment="1">
      <alignment vertical="center" wrapText="1"/>
    </xf>
    <xf numFmtId="43" fontId="0" fillId="0" borderId="0" xfId="1" applyFont="1"/>
    <xf numFmtId="43" fontId="0" fillId="5" borderId="0" xfId="1" applyFont="1" applyFill="1"/>
    <xf numFmtId="43" fontId="3" fillId="2" borderId="0" xfId="1" applyFont="1" applyFill="1" applyAlignment="1">
      <alignment vertical="center" wrapText="1"/>
    </xf>
    <xf numFmtId="0" fontId="3" fillId="3" borderId="0" xfId="0" applyFont="1" applyFill="1"/>
    <xf numFmtId="0" fontId="3" fillId="3" borderId="0" xfId="0" applyFont="1" applyFill="1" applyAlignment="1">
      <alignment wrapText="1"/>
    </xf>
    <xf numFmtId="43" fontId="3" fillId="3" borderId="0" xfId="1" applyFont="1" applyFill="1"/>
    <xf numFmtId="43" fontId="3" fillId="3" borderId="1" xfId="1" applyFont="1" applyFill="1" applyBorder="1"/>
    <xf numFmtId="0" fontId="3" fillId="3" borderId="1" xfId="0" applyFont="1" applyFill="1" applyBorder="1"/>
    <xf numFmtId="0" fontId="3" fillId="5" borderId="0" xfId="0" applyFont="1" applyFill="1"/>
    <xf numFmtId="43" fontId="3" fillId="5" borderId="1" xfId="1" applyFont="1" applyFill="1" applyBorder="1"/>
    <xf numFmtId="43" fontId="0" fillId="2" borderId="0" xfId="1" applyFont="1" applyFill="1"/>
    <xf numFmtId="43" fontId="3" fillId="2" borderId="0" xfId="1" applyFont="1" applyFill="1"/>
    <xf numFmtId="43" fontId="3" fillId="2" borderId="1" xfId="1" applyFont="1" applyFill="1" applyBorder="1"/>
    <xf numFmtId="43" fontId="4" fillId="5" borderId="0" xfId="1" applyFont="1" applyFill="1" applyAlignment="1">
      <alignment vertical="center" wrapText="1"/>
    </xf>
    <xf numFmtId="43" fontId="2" fillId="5" borderId="0" xfId="1" applyFont="1" applyFill="1"/>
    <xf numFmtId="43" fontId="4" fillId="5" borderId="0" xfId="1" applyFont="1" applyFill="1"/>
    <xf numFmtId="43" fontId="0" fillId="0" borderId="0" xfId="0" applyNumberFormat="1" applyAlignment="1">
      <alignment wrapText="1"/>
    </xf>
    <xf numFmtId="0" fontId="3" fillId="6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43" fontId="0" fillId="6" borderId="0" xfId="0" applyNumberFormat="1" applyFill="1" applyAlignment="1">
      <alignment wrapText="1"/>
    </xf>
    <xf numFmtId="0" fontId="3" fillId="7" borderId="0" xfId="0" applyFont="1" applyFill="1" applyAlignment="1">
      <alignment vertical="center" wrapText="1"/>
    </xf>
    <xf numFmtId="15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43" fontId="0" fillId="7" borderId="0" xfId="0" applyNumberFormat="1" applyFill="1" applyAlignment="1">
      <alignment wrapText="1"/>
    </xf>
    <xf numFmtId="15" fontId="0" fillId="6" borderId="0" xfId="0" applyNumberFormat="1" applyFill="1" applyAlignment="1">
      <alignment wrapText="1"/>
    </xf>
    <xf numFmtId="1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15" fontId="0" fillId="5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15" fontId="0" fillId="6" borderId="0" xfId="0" applyNumberFormat="1" applyFill="1" applyAlignment="1">
      <alignment horizontal="left"/>
    </xf>
    <xf numFmtId="0" fontId="0" fillId="7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/>
    </xf>
    <xf numFmtId="17" fontId="5" fillId="0" borderId="0" xfId="0" applyNumberFormat="1" applyFont="1" applyAlignment="1">
      <alignment horizontal="left"/>
    </xf>
    <xf numFmtId="0" fontId="8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horizontal="left"/>
    </xf>
    <xf numFmtId="10" fontId="0" fillId="0" borderId="0" xfId="1" applyNumberFormat="1" applyFont="1"/>
    <xf numFmtId="166" fontId="0" fillId="0" borderId="0" xfId="1" applyNumberFormat="1" applyFont="1"/>
    <xf numFmtId="0" fontId="3" fillId="6" borderId="0" xfId="0" applyFont="1" applyFill="1" applyAlignment="1">
      <alignment vertical="center"/>
    </xf>
    <xf numFmtId="15" fontId="0" fillId="6" borderId="0" xfId="0" applyNumberFormat="1" applyFill="1"/>
    <xf numFmtId="0" fontId="0" fillId="6" borderId="0" xfId="0" applyFill="1"/>
    <xf numFmtId="0" fontId="3" fillId="6" borderId="0" xfId="0" applyFont="1" applyFill="1"/>
    <xf numFmtId="15" fontId="0" fillId="5" borderId="0" xfId="0" applyNumberFormat="1" applyFill="1" applyAlignment="1">
      <alignment vertical="center"/>
    </xf>
    <xf numFmtId="16" fontId="0" fillId="0" borderId="0" xfId="0" applyNumberFormat="1"/>
    <xf numFmtId="43" fontId="3" fillId="5" borderId="0" xfId="1" applyFont="1" applyFill="1" applyBorder="1"/>
    <xf numFmtId="0" fontId="7" fillId="9" borderId="0" xfId="0" applyFont="1" applyFill="1" applyAlignment="1">
      <alignment wrapText="1"/>
    </xf>
    <xf numFmtId="0" fontId="0" fillId="9" borderId="0" xfId="0" applyFill="1"/>
    <xf numFmtId="15" fontId="0" fillId="9" borderId="0" xfId="0" applyNumberFormat="1" applyFill="1" applyAlignment="1">
      <alignment wrapText="1"/>
    </xf>
    <xf numFmtId="0" fontId="0" fillId="9" borderId="0" xfId="0" applyFill="1" applyAlignment="1">
      <alignment wrapText="1"/>
    </xf>
    <xf numFmtId="0" fontId="0" fillId="9" borderId="0" xfId="0" quotePrefix="1" applyFill="1" applyAlignment="1">
      <alignment wrapText="1"/>
    </xf>
    <xf numFmtId="165" fontId="0" fillId="9" borderId="0" xfId="1" applyNumberFormat="1" applyFont="1" applyFill="1"/>
    <xf numFmtId="0" fontId="0" fillId="9" borderId="0" xfId="0" applyFill="1" applyAlignment="1">
      <alignment horizontal="left"/>
    </xf>
    <xf numFmtId="16" fontId="0" fillId="9" borderId="0" xfId="0" applyNumberFormat="1" applyFill="1"/>
    <xf numFmtId="0" fontId="4" fillId="0" borderId="0" xfId="0" applyFont="1" applyAlignment="1">
      <alignment wrapText="1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left" wrapText="1"/>
    </xf>
    <xf numFmtId="0" fontId="13" fillId="9" borderId="0" xfId="0" applyFont="1" applyFill="1" applyAlignment="1">
      <alignment horizontal="left" wrapText="1"/>
    </xf>
    <xf numFmtId="0" fontId="1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2" fillId="0" borderId="0" xfId="0" applyFont="1"/>
    <xf numFmtId="14" fontId="0" fillId="5" borderId="0" xfId="0" applyNumberFormat="1" applyFill="1"/>
    <xf numFmtId="14" fontId="0" fillId="6" borderId="0" xfId="0" applyNumberFormat="1" applyFill="1"/>
    <xf numFmtId="0" fontId="0" fillId="0" borderId="0" xfId="0" applyAlignment="1">
      <alignment vertical="center"/>
    </xf>
    <xf numFmtId="165" fontId="0" fillId="0" borderId="0" xfId="1" applyNumberFormat="1" applyFont="1" applyFill="1"/>
    <xf numFmtId="17" fontId="15" fillId="0" borderId="0" xfId="0" applyNumberFormat="1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16" fillId="0" borderId="0" xfId="0" quotePrefix="1" applyFont="1" applyAlignment="1">
      <alignment horizontal="left" wrapText="1"/>
    </xf>
    <xf numFmtId="15" fontId="15" fillId="6" borderId="0" xfId="0" applyNumberFormat="1" applyFont="1" applyFill="1" applyAlignment="1">
      <alignment horizontal="left" wrapText="1"/>
    </xf>
    <xf numFmtId="43" fontId="0" fillId="5" borderId="0" xfId="1" applyFont="1" applyFill="1" applyAlignment="1"/>
    <xf numFmtId="0" fontId="0" fillId="7" borderId="0" xfId="0" applyFill="1"/>
    <xf numFmtId="16" fontId="0" fillId="0" borderId="0" xfId="0" applyNumberFormat="1" applyAlignment="1">
      <alignment horizontal="left" vertical="top" wrapText="1"/>
    </xf>
    <xf numFmtId="16" fontId="0" fillId="6" borderId="0" xfId="0" applyNumberFormat="1" applyFill="1" applyAlignment="1">
      <alignment horizontal="left" vertical="top" wrapText="1"/>
    </xf>
    <xf numFmtId="16" fontId="0" fillId="5" borderId="0" xfId="0" applyNumberFormat="1" applyFill="1" applyAlignment="1">
      <alignment horizontal="left" vertical="top" wrapText="1"/>
    </xf>
    <xf numFmtId="0" fontId="4" fillId="9" borderId="0" xfId="0" applyFont="1" applyFill="1" applyAlignment="1">
      <alignment wrapText="1"/>
    </xf>
    <xf numFmtId="16" fontId="0" fillId="6" borderId="0" xfId="0" applyNumberFormat="1" applyFill="1"/>
    <xf numFmtId="16" fontId="0" fillId="5" borderId="0" xfId="0" applyNumberFormat="1" applyFill="1"/>
    <xf numFmtId="16" fontId="0" fillId="0" borderId="0" xfId="0" quotePrefix="1" applyNumberFormat="1"/>
    <xf numFmtId="16" fontId="0" fillId="9" borderId="0" xfId="0" quotePrefix="1" applyNumberFormat="1" applyFill="1"/>
    <xf numFmtId="14" fontId="0" fillId="6" borderId="0" xfId="0" applyNumberFormat="1" applyFill="1" applyAlignment="1">
      <alignment wrapText="1"/>
    </xf>
    <xf numFmtId="15" fontId="0" fillId="10" borderId="0" xfId="0" applyNumberFormat="1" applyFill="1" applyAlignment="1">
      <alignment vertical="center"/>
    </xf>
    <xf numFmtId="0" fontId="0" fillId="10" borderId="0" xfId="0" applyFill="1" applyAlignment="1">
      <alignment vertical="center"/>
    </xf>
    <xf numFmtId="0" fontId="0" fillId="10" borderId="0" xfId="0" applyFill="1"/>
    <xf numFmtId="0" fontId="0" fillId="10" borderId="0" xfId="0" applyFill="1" applyAlignment="1">
      <alignment wrapText="1"/>
    </xf>
    <xf numFmtId="43" fontId="0" fillId="10" borderId="0" xfId="1" applyFont="1" applyFill="1"/>
    <xf numFmtId="10" fontId="0" fillId="10" borderId="0" xfId="1" applyNumberFormat="1" applyFont="1" applyFill="1"/>
    <xf numFmtId="43" fontId="2" fillId="10" borderId="0" xfId="1" applyFont="1" applyFill="1"/>
    <xf numFmtId="0" fontId="3" fillId="11" borderId="0" xfId="0" applyFont="1" applyFill="1" applyAlignment="1">
      <alignment vertical="center" wrapText="1"/>
    </xf>
    <xf numFmtId="0" fontId="3" fillId="11" borderId="0" xfId="0" applyFont="1" applyFill="1" applyAlignment="1">
      <alignment vertical="center"/>
    </xf>
    <xf numFmtId="16" fontId="0" fillId="7" borderId="0" xfId="0" applyNumberFormat="1" applyFill="1" applyAlignment="1">
      <alignment horizontal="left" vertical="top" wrapText="1"/>
    </xf>
    <xf numFmtId="0" fontId="15" fillId="7" borderId="0" xfId="0" applyFont="1" applyFill="1" applyAlignment="1">
      <alignment horizontal="left" wrapText="1"/>
    </xf>
    <xf numFmtId="16" fontId="0" fillId="7" borderId="0" xfId="0" applyNumberFormat="1" applyFill="1"/>
    <xf numFmtId="0" fontId="15" fillId="6" borderId="0" xfId="0" applyFont="1" applyFill="1" applyAlignment="1">
      <alignment horizontal="left" wrapText="1"/>
    </xf>
    <xf numFmtId="14" fontId="0" fillId="5" borderId="0" xfId="0" applyNumberFormat="1" applyFill="1" applyAlignment="1">
      <alignment wrapText="1"/>
    </xf>
    <xf numFmtId="16" fontId="0" fillId="0" borderId="0" xfId="0" applyNumberFormat="1" applyAlignment="1">
      <alignment horizontal="left"/>
    </xf>
    <xf numFmtId="16" fontId="0" fillId="6" borderId="0" xfId="0" applyNumberFormat="1" applyFill="1" applyAlignment="1">
      <alignment horizontal="left"/>
    </xf>
    <xf numFmtId="16" fontId="0" fillId="0" borderId="0" xfId="0" quotePrefix="1" applyNumberFormat="1" applyAlignment="1">
      <alignment horizontal="left"/>
    </xf>
    <xf numFmtId="16" fontId="0" fillId="7" borderId="0" xfId="0" applyNumberFormat="1" applyFill="1" applyAlignment="1">
      <alignment horizontal="left"/>
    </xf>
    <xf numFmtId="14" fontId="0" fillId="5" borderId="0" xfId="1" applyNumberFormat="1" applyFont="1" applyFill="1" applyAlignment="1">
      <alignment horizontal="left" wrapText="1"/>
    </xf>
    <xf numFmtId="14" fontId="0" fillId="0" borderId="0" xfId="0" applyNumberFormat="1" applyAlignment="1">
      <alignment horizontal="left"/>
    </xf>
    <xf numFmtId="16" fontId="3" fillId="0" borderId="0" xfId="0" applyNumberFormat="1" applyFont="1" applyAlignment="1">
      <alignment horizontal="left" vertical="center"/>
    </xf>
    <xf numFmtId="16" fontId="3" fillId="6" borderId="0" xfId="0" applyNumberFormat="1" applyFont="1" applyFill="1" applyAlignment="1">
      <alignment horizontal="left" vertical="center"/>
    </xf>
    <xf numFmtId="16" fontId="3" fillId="5" borderId="0" xfId="0" applyNumberFormat="1" applyFont="1" applyFill="1" applyAlignment="1">
      <alignment horizontal="left" vertical="center"/>
    </xf>
    <xf numFmtId="16" fontId="3" fillId="7" borderId="0" xfId="0" applyNumberFormat="1" applyFont="1" applyFill="1" applyAlignment="1">
      <alignment horizontal="left" vertical="center"/>
    </xf>
    <xf numFmtId="16" fontId="0" fillId="0" borderId="0" xfId="0" applyNumberFormat="1" applyAlignment="1">
      <alignment horizontal="left" vertical="center"/>
    </xf>
    <xf numFmtId="16" fontId="0" fillId="6" borderId="0" xfId="0" applyNumberFormat="1" applyFill="1" applyAlignment="1">
      <alignment horizontal="left" vertical="center"/>
    </xf>
    <xf numFmtId="0" fontId="12" fillId="9" borderId="0" xfId="0" applyFont="1" applyFill="1" applyAlignment="1">
      <alignment wrapText="1"/>
    </xf>
    <xf numFmtId="14" fontId="15" fillId="5" borderId="0" xfId="0" applyNumberFormat="1" applyFont="1" applyFill="1" applyAlignment="1">
      <alignment horizontal="left" wrapText="1"/>
    </xf>
    <xf numFmtId="16" fontId="0" fillId="0" borderId="0" xfId="0" applyNumberFormat="1" applyAlignment="1">
      <alignment horizontal="left" vertical="top"/>
    </xf>
    <xf numFmtId="16" fontId="0" fillId="6" borderId="0" xfId="0" applyNumberFormat="1" applyFill="1" applyAlignment="1">
      <alignment horizontal="left" vertical="top"/>
    </xf>
    <xf numFmtId="16" fontId="0" fillId="5" borderId="0" xfId="0" applyNumberFormat="1" applyFill="1" applyAlignment="1">
      <alignment horizontal="left" vertical="top"/>
    </xf>
    <xf numFmtId="16" fontId="0" fillId="0" borderId="0" xfId="0" quotePrefix="1" applyNumberFormat="1" applyAlignment="1">
      <alignment horizontal="left" vertical="top"/>
    </xf>
    <xf numFmtId="16" fontId="0" fillId="7" borderId="0" xfId="0" applyNumberFormat="1" applyFill="1" applyAlignment="1">
      <alignment horizontal="left" vertical="top"/>
    </xf>
    <xf numFmtId="0" fontId="0" fillId="7" borderId="0" xfId="0" applyFill="1" applyAlignment="1">
      <alignment horizontal="left"/>
    </xf>
    <xf numFmtId="14" fontId="0" fillId="5" borderId="0" xfId="0" applyNumberFormat="1" applyFill="1" applyAlignment="1">
      <alignment horizontal="left"/>
    </xf>
    <xf numFmtId="14" fontId="0" fillId="6" borderId="0" xfId="0" applyNumberFormat="1" applyFill="1" applyAlignment="1">
      <alignment horizontal="left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wrapText="1"/>
    </xf>
    <xf numFmtId="0" fontId="18" fillId="10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7" fillId="3" borderId="0" xfId="0" applyFont="1" applyFill="1" applyAlignment="1">
      <alignment wrapText="1"/>
    </xf>
    <xf numFmtId="0" fontId="20" fillId="0" borderId="0" xfId="0" applyFont="1" applyAlignment="1">
      <alignment wrapText="1"/>
    </xf>
    <xf numFmtId="17" fontId="19" fillId="0" borderId="0" xfId="0" applyNumberFormat="1" applyFont="1" applyAlignment="1">
      <alignment horizontal="left" wrapText="1"/>
    </xf>
    <xf numFmtId="17" fontId="22" fillId="0" borderId="0" xfId="0" applyNumberFormat="1" applyFont="1" applyAlignment="1">
      <alignment horizontal="left" wrapText="1"/>
    </xf>
    <xf numFmtId="17" fontId="21" fillId="0" borderId="0" xfId="0" applyNumberFormat="1" applyFont="1" applyAlignment="1">
      <alignment horizontal="left" wrapText="1"/>
    </xf>
    <xf numFmtId="17" fontId="5" fillId="0" borderId="0" xfId="0" quotePrefix="1" applyNumberFormat="1" applyFont="1" applyAlignment="1">
      <alignment horizontal="left" wrapText="1"/>
    </xf>
    <xf numFmtId="17" fontId="5" fillId="0" borderId="0" xfId="0" applyNumberFormat="1" applyFont="1" applyAlignment="1">
      <alignment horizontal="left" wrapText="1"/>
    </xf>
    <xf numFmtId="43" fontId="5" fillId="0" borderId="0" xfId="1" applyFont="1" applyFill="1" applyAlignment="1">
      <alignment horizontal="left" wrapText="1"/>
    </xf>
    <xf numFmtId="9" fontId="5" fillId="0" borderId="0" xfId="0" applyNumberFormat="1" applyFont="1" applyAlignment="1">
      <alignment horizontal="left" wrapText="1"/>
    </xf>
    <xf numFmtId="43" fontId="21" fillId="5" borderId="0" xfId="1" applyFont="1" applyFill="1" applyAlignment="1">
      <alignment horizontal="left" wrapText="1"/>
    </xf>
    <xf numFmtId="17" fontId="19" fillId="5" borderId="0" xfId="0" applyNumberFormat="1" applyFont="1" applyFill="1" applyAlignment="1">
      <alignment horizontal="left" wrapText="1"/>
    </xf>
    <xf numFmtId="17" fontId="19" fillId="2" borderId="0" xfId="0" applyNumberFormat="1" applyFont="1" applyFill="1" applyAlignment="1">
      <alignment horizontal="left" wrapText="1"/>
    </xf>
    <xf numFmtId="17" fontId="21" fillId="6" borderId="0" xfId="0" applyNumberFormat="1" applyFont="1" applyFill="1" applyAlignment="1">
      <alignment horizontal="left" wrapText="1"/>
    </xf>
    <xf numFmtId="14" fontId="0" fillId="7" borderId="0" xfId="0" applyNumberFormat="1" applyFill="1" applyAlignment="1">
      <alignment horizontal="left"/>
    </xf>
    <xf numFmtId="14" fontId="0" fillId="9" borderId="0" xfId="0" applyNumberFormat="1" applyFill="1"/>
    <xf numFmtId="0" fontId="0" fillId="9" borderId="0" xfId="0" quotePrefix="1" applyFill="1"/>
    <xf numFmtId="14" fontId="1" fillId="0" borderId="0" xfId="1" applyNumberFormat="1" applyFont="1" applyFill="1" applyAlignment="1">
      <alignment horizontal="left" vertical="top"/>
    </xf>
    <xf numFmtId="14" fontId="1" fillId="7" borderId="0" xfId="1" applyNumberFormat="1" applyFont="1" applyFill="1" applyAlignment="1">
      <alignment horizontal="left" vertical="top"/>
    </xf>
    <xf numFmtId="14" fontId="1" fillId="6" borderId="0" xfId="1" applyNumberFormat="1" applyFont="1" applyFill="1" applyAlignment="1">
      <alignment horizontal="left" vertical="top"/>
    </xf>
    <xf numFmtId="14" fontId="1" fillId="5" borderId="0" xfId="1" applyNumberFormat="1" applyFont="1" applyFill="1" applyAlignment="1">
      <alignment horizontal="left" vertical="top"/>
    </xf>
    <xf numFmtId="14" fontId="0" fillId="0" borderId="0" xfId="1" quotePrefix="1" applyNumberFormat="1" applyFont="1" applyFill="1" applyAlignment="1">
      <alignment horizontal="left" vertical="top"/>
    </xf>
    <xf numFmtId="0" fontId="1" fillId="0" borderId="0" xfId="9" applyNumberFormat="1" applyFont="1" applyFill="1" applyAlignment="1">
      <alignment horizontal="left" vertical="top"/>
    </xf>
    <xf numFmtId="0" fontId="1" fillId="0" borderId="0" xfId="1" applyNumberFormat="1" applyFont="1" applyFill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4" fontId="0" fillId="5" borderId="0" xfId="0" applyNumberFormat="1" applyFill="1" applyAlignment="1">
      <alignment horizontal="left" vertical="top"/>
    </xf>
    <xf numFmtId="14" fontId="0" fillId="6" borderId="0" xfId="0" applyNumberFormat="1" applyFill="1" applyAlignment="1">
      <alignment horizontal="left" vertical="top"/>
    </xf>
    <xf numFmtId="14" fontId="0" fillId="0" borderId="0" xfId="1" applyNumberFormat="1" applyFont="1" applyFill="1" applyAlignment="1">
      <alignment horizontal="left" vertical="top"/>
    </xf>
    <xf numFmtId="16" fontId="0" fillId="13" borderId="0" xfId="0" applyNumberFormat="1" applyFill="1" applyAlignment="1">
      <alignment horizontal="left" vertical="top" wrapText="1"/>
    </xf>
    <xf numFmtId="14" fontId="19" fillId="8" borderId="0" xfId="0" applyNumberFormat="1" applyFont="1" applyFill="1" applyAlignment="1">
      <alignment wrapText="1"/>
    </xf>
    <xf numFmtId="43" fontId="0" fillId="8" borderId="0" xfId="1" applyFont="1" applyFill="1"/>
    <xf numFmtId="0" fontId="23" fillId="0" borderId="0" xfId="0" applyFont="1"/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wrapText="1"/>
    </xf>
    <xf numFmtId="14" fontId="0" fillId="6" borderId="0" xfId="1" applyNumberFormat="1" applyFont="1" applyFill="1" applyAlignment="1">
      <alignment horizontal="left" vertical="top"/>
    </xf>
    <xf numFmtId="167" fontId="3" fillId="0" borderId="0" xfId="0" applyNumberFormat="1" applyFont="1" applyAlignment="1">
      <alignment vertical="center"/>
    </xf>
    <xf numFmtId="167" fontId="0" fillId="9" borderId="0" xfId="0" applyNumberFormat="1" applyFill="1"/>
    <xf numFmtId="167" fontId="0" fillId="0" borderId="0" xfId="0" applyNumberFormat="1"/>
    <xf numFmtId="167" fontId="0" fillId="0" borderId="0" xfId="0" applyNumberFormat="1" applyAlignment="1">
      <alignment horizontal="left"/>
    </xf>
    <xf numFmtId="167" fontId="0" fillId="0" borderId="0" xfId="0" applyNumberFormat="1" applyAlignment="1">
      <alignment horizontal="left" vertical="top" wrapText="1"/>
    </xf>
    <xf numFmtId="167" fontId="16" fillId="0" borderId="0" xfId="0" applyNumberFormat="1" applyFont="1" applyAlignment="1">
      <alignment horizontal="left" wrapText="1"/>
    </xf>
    <xf numFmtId="167" fontId="0" fillId="0" borderId="0" xfId="0" applyNumberFormat="1" applyAlignment="1">
      <alignment horizontal="left" vertical="center"/>
    </xf>
    <xf numFmtId="167" fontId="0" fillId="0" borderId="0" xfId="0" applyNumberFormat="1" applyAlignment="1">
      <alignment horizontal="left" vertical="top"/>
    </xf>
    <xf numFmtId="167" fontId="1" fillId="0" borderId="0" xfId="1" applyNumberFormat="1" applyFont="1" applyFill="1" applyAlignment="1">
      <alignment horizontal="left" vertical="top"/>
    </xf>
    <xf numFmtId="0" fontId="3" fillId="0" borderId="0" xfId="1" applyNumberFormat="1" applyFont="1" applyAlignment="1">
      <alignment vertical="center" wrapText="1"/>
    </xf>
    <xf numFmtId="0" fontId="0" fillId="9" borderId="0" xfId="1" applyNumberFormat="1" applyFont="1" applyFill="1"/>
    <xf numFmtId="0" fontId="0" fillId="0" borderId="0" xfId="1" applyNumberFormat="1" applyFont="1"/>
    <xf numFmtId="0" fontId="0" fillId="0" borderId="0" xfId="1" applyNumberFormat="1" applyFont="1" applyFill="1" applyAlignment="1">
      <alignment horizontal="left"/>
    </xf>
    <xf numFmtId="0" fontId="1" fillId="0" borderId="0" xfId="1" applyNumberFormat="1" applyFont="1"/>
    <xf numFmtId="0" fontId="1" fillId="9" borderId="0" xfId="1" applyNumberFormat="1" applyFont="1" applyFill="1"/>
    <xf numFmtId="0" fontId="1" fillId="0" borderId="0" xfId="1" applyNumberFormat="1" applyFont="1" applyFill="1"/>
    <xf numFmtId="0" fontId="0" fillId="0" borderId="0" xfId="0" applyAlignment="1">
      <alignment horizontal="left" vertical="top" wrapText="1"/>
    </xf>
    <xf numFmtId="0" fontId="0" fillId="0" borderId="0" xfId="1" applyNumberFormat="1" applyFont="1" applyFill="1" applyAlignment="1"/>
    <xf numFmtId="0" fontId="3" fillId="0" borderId="0" xfId="0" applyFont="1" applyAlignment="1">
      <alignment horizontal="left" vertical="center"/>
    </xf>
    <xf numFmtId="0" fontId="0" fillId="0" borderId="0" xfId="1" applyNumberFormat="1" applyFont="1" applyFill="1"/>
    <xf numFmtId="0" fontId="0" fillId="9" borderId="0" xfId="1" applyNumberFormat="1" applyFont="1" applyFill="1" applyAlignment="1"/>
    <xf numFmtId="0" fontId="1" fillId="0" borderId="0" xfId="1" applyNumberFormat="1" applyFont="1" applyFill="1" applyAlignment="1">
      <alignment horizontal="left" vertical="center"/>
    </xf>
    <xf numFmtId="0" fontId="0" fillId="0" borderId="0" xfId="1" applyNumberFormat="1" applyFont="1" applyFill="1" applyAlignment="1">
      <alignment horizontal="left" vertical="top"/>
    </xf>
    <xf numFmtId="0" fontId="0" fillId="0" borderId="0" xfId="0" applyAlignment="1">
      <alignment horizontal="right" vertical="top"/>
    </xf>
    <xf numFmtId="0" fontId="3" fillId="4" borderId="0" xfId="1" applyNumberFormat="1" applyFont="1" applyFill="1" applyAlignment="1">
      <alignment vertical="center" wrapText="1"/>
    </xf>
    <xf numFmtId="0" fontId="0" fillId="4" borderId="0" xfId="1" applyNumberFormat="1" applyFont="1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0" xfId="1" applyNumberFormat="1" applyFont="1" applyFill="1" applyAlignment="1"/>
    <xf numFmtId="0" fontId="0" fillId="4" borderId="0" xfId="0" applyFill="1" applyAlignment="1">
      <alignment horizontal="left" vertical="center"/>
    </xf>
    <xf numFmtId="0" fontId="0" fillId="4" borderId="0" xfId="1" applyNumberFormat="1" applyFont="1" applyFill="1" applyAlignment="1">
      <alignment horizontal="left" vertical="top"/>
    </xf>
    <xf numFmtId="0" fontId="1" fillId="4" borderId="0" xfId="1" applyNumberFormat="1" applyFont="1" applyFill="1" applyAlignment="1">
      <alignment horizontal="left" vertical="top"/>
    </xf>
    <xf numFmtId="0" fontId="1" fillId="4" borderId="0" xfId="1" applyNumberFormat="1" applyFont="1" applyFill="1"/>
    <xf numFmtId="0" fontId="0" fillId="4" borderId="0" xfId="1" applyNumberFormat="1" applyFont="1" applyFill="1" applyAlignment="1">
      <alignment horizontal="left"/>
    </xf>
    <xf numFmtId="0" fontId="1" fillId="4" borderId="0" xfId="1" applyNumberFormat="1" applyFont="1" applyFill="1" applyAlignment="1">
      <alignment horizontal="left" vertical="center"/>
    </xf>
    <xf numFmtId="0" fontId="0" fillId="9" borderId="0" xfId="1" applyNumberFormat="1" applyFont="1" applyFill="1" applyAlignment="1">
      <alignment wrapText="1"/>
    </xf>
    <xf numFmtId="0" fontId="0" fillId="0" borderId="0" xfId="1" applyNumberFormat="1" applyFont="1" applyAlignment="1">
      <alignment wrapText="1"/>
    </xf>
    <xf numFmtId="0" fontId="4" fillId="2" borderId="0" xfId="1" applyNumberFormat="1" applyFont="1" applyFill="1" applyAlignment="1">
      <alignment vertical="center" wrapText="1"/>
    </xf>
    <xf numFmtId="0" fontId="2" fillId="9" borderId="0" xfId="1" applyNumberFormat="1" applyFont="1" applyFill="1" applyAlignment="1">
      <alignment wrapText="1"/>
    </xf>
    <xf numFmtId="0" fontId="2" fillId="2" borderId="0" xfId="1" applyNumberFormat="1" applyFont="1" applyFill="1" applyAlignment="1">
      <alignment wrapText="1"/>
    </xf>
    <xf numFmtId="0" fontId="2" fillId="2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  <xf numFmtId="0" fontId="2" fillId="2" borderId="0" xfId="1" applyNumberFormat="1" applyFont="1" applyFill="1" applyAlignment="1"/>
    <xf numFmtId="0" fontId="2" fillId="9" borderId="0" xfId="1" applyNumberFormat="1" applyFont="1" applyFill="1" applyAlignment="1"/>
    <xf numFmtId="0" fontId="2" fillId="2" borderId="0" xfId="1" applyNumberFormat="1" applyFont="1" applyFill="1" applyAlignment="1">
      <alignment horizontal="left"/>
    </xf>
    <xf numFmtId="0" fontId="2" fillId="2" borderId="0" xfId="1" applyNumberFormat="1" applyFont="1" applyFill="1" applyAlignment="1">
      <alignment horizontal="left" vertical="center"/>
    </xf>
    <xf numFmtId="0" fontId="2" fillId="2" borderId="0" xfId="1" applyNumberFormat="1" applyFont="1" applyFill="1" applyAlignment="1">
      <alignment horizontal="left" vertical="top"/>
    </xf>
    <xf numFmtId="0" fontId="1" fillId="2" borderId="0" xfId="1" applyNumberFormat="1" applyFont="1" applyFill="1" applyAlignment="1">
      <alignment horizontal="left" vertical="top"/>
    </xf>
    <xf numFmtId="0" fontId="1" fillId="0" borderId="0" xfId="1" applyNumberFormat="1" applyFont="1" applyFill="1" applyAlignment="1"/>
    <xf numFmtId="0" fontId="3" fillId="2" borderId="0" xfId="1" applyNumberFormat="1" applyFont="1" applyFill="1" applyAlignment="1">
      <alignment vertical="center" wrapText="1"/>
    </xf>
    <xf numFmtId="0" fontId="0" fillId="2" borderId="0" xfId="1" applyNumberFormat="1" applyFont="1" applyFill="1" applyAlignment="1">
      <alignment wrapText="1"/>
    </xf>
    <xf numFmtId="0" fontId="1" fillId="2" borderId="0" xfId="1" applyNumberFormat="1" applyFont="1" applyFill="1" applyAlignment="1">
      <alignment wrapText="1"/>
    </xf>
    <xf numFmtId="0" fontId="1" fillId="9" borderId="0" xfId="1" applyNumberFormat="1" applyFont="1" applyFill="1" applyAlignment="1">
      <alignment wrapText="1"/>
    </xf>
    <xf numFmtId="0" fontId="0" fillId="2" borderId="0" xfId="0" applyFill="1" applyAlignment="1">
      <alignment horizontal="left" vertical="top" wrapText="1"/>
    </xf>
    <xf numFmtId="0" fontId="0" fillId="2" borderId="0" xfId="0" applyFill="1"/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center"/>
    </xf>
    <xf numFmtId="0" fontId="0" fillId="9" borderId="0" xfId="0" quotePrefix="1" applyFill="1" applyAlignment="1">
      <alignment horizontal="left"/>
    </xf>
    <xf numFmtId="14" fontId="3" fillId="11" borderId="0" xfId="0" applyNumberFormat="1" applyFont="1" applyFill="1" applyAlignment="1">
      <alignment vertical="center"/>
    </xf>
    <xf numFmtId="14" fontId="3" fillId="11" borderId="0" xfId="0" applyNumberFormat="1" applyFont="1" applyFill="1" applyAlignment="1">
      <alignment vertical="center" wrapText="1"/>
    </xf>
    <xf numFmtId="0" fontId="3" fillId="11" borderId="0" xfId="1" applyNumberFormat="1" applyFont="1" applyFill="1" applyAlignment="1">
      <alignment vertical="center" wrapText="1"/>
    </xf>
    <xf numFmtId="0" fontId="1" fillId="5" borderId="0" xfId="1" applyNumberFormat="1" applyFont="1" applyFill="1" applyAlignment="1"/>
    <xf numFmtId="0" fontId="0" fillId="5" borderId="0" xfId="2" applyNumberFormat="1" applyFont="1" applyFill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left" vertical="top"/>
    </xf>
    <xf numFmtId="0" fontId="0" fillId="5" borderId="0" xfId="1" applyNumberFormat="1" applyFont="1" applyFill="1"/>
    <xf numFmtId="0" fontId="0" fillId="5" borderId="0" xfId="1" applyNumberFormat="1" applyFont="1" applyFill="1" applyAlignment="1"/>
    <xf numFmtId="0" fontId="0" fillId="5" borderId="0" xfId="1" applyNumberFormat="1" applyFont="1" applyFill="1" applyAlignment="1">
      <alignment horizontal="left"/>
    </xf>
    <xf numFmtId="0" fontId="4" fillId="11" borderId="0" xfId="1" applyNumberFormat="1" applyFont="1" applyFill="1" applyAlignment="1">
      <alignment vertical="center" wrapText="1"/>
    </xf>
    <xf numFmtId="0" fontId="2" fillId="2" borderId="0" xfId="0" applyFont="1" applyFill="1"/>
    <xf numFmtId="0" fontId="0" fillId="2" borderId="0" xfId="1" applyNumberFormat="1" applyFont="1" applyFill="1"/>
    <xf numFmtId="14" fontId="19" fillId="8" borderId="0" xfId="0" applyNumberFormat="1" applyFont="1" applyFill="1" applyAlignment="1">
      <alignment horizontal="left" vertical="top" wrapText="1"/>
    </xf>
    <xf numFmtId="17" fontId="19" fillId="8" borderId="0" xfId="0" applyNumberFormat="1" applyFont="1" applyFill="1" applyAlignment="1">
      <alignment horizontal="left" wrapText="1"/>
    </xf>
    <xf numFmtId="17" fontId="2" fillId="8" borderId="0" xfId="0" applyNumberFormat="1" applyFont="1" applyFill="1" applyAlignment="1">
      <alignment horizontal="left" vertical="center" wrapText="1"/>
    </xf>
    <xf numFmtId="0" fontId="2" fillId="8" borderId="0" xfId="0" applyFont="1" applyFill="1" applyAlignment="1">
      <alignment horizontal="left" vertical="center" wrapText="1"/>
    </xf>
    <xf numFmtId="17" fontId="3" fillId="8" borderId="0" xfId="0" applyNumberFormat="1" applyFont="1" applyFill="1" applyAlignment="1">
      <alignment horizontal="left" vertical="center" wrapText="1"/>
    </xf>
    <xf numFmtId="17" fontId="0" fillId="8" borderId="0" xfId="0" applyNumberFormat="1" applyFill="1" applyAlignment="1">
      <alignment horizontal="left" vertical="center" wrapText="1"/>
    </xf>
    <xf numFmtId="17" fontId="6" fillId="8" borderId="0" xfId="0" applyNumberFormat="1" applyFont="1" applyFill="1" applyAlignment="1">
      <alignment horizontal="left" wrapText="1"/>
    </xf>
    <xf numFmtId="0" fontId="6" fillId="8" borderId="0" xfId="0" applyFont="1" applyFill="1" applyAlignment="1">
      <alignment horizontal="left" wrapText="1"/>
    </xf>
    <xf numFmtId="17" fontId="0" fillId="8" borderId="0" xfId="0" applyNumberFormat="1" applyFill="1" applyAlignment="1">
      <alignment horizontal="left" vertical="center"/>
    </xf>
    <xf numFmtId="17" fontId="0" fillId="8" borderId="0" xfId="0" applyNumberFormat="1" applyFill="1" applyAlignment="1">
      <alignment horizontal="left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15" fontId="0" fillId="6" borderId="0" xfId="0" applyNumberFormat="1" applyFill="1" applyAlignment="1">
      <alignment vertical="center"/>
    </xf>
    <xf numFmtId="15" fontId="0" fillId="0" borderId="0" xfId="0" applyNumberFormat="1" applyAlignment="1">
      <alignment vertical="center"/>
    </xf>
    <xf numFmtId="15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15" fontId="0" fillId="5" borderId="0" xfId="0" applyNumberFormat="1" applyFill="1" applyAlignment="1">
      <alignment horizontal="center" vertical="center"/>
    </xf>
    <xf numFmtId="0" fontId="19" fillId="8" borderId="0" xfId="0" applyFont="1" applyFill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43" fontId="0" fillId="0" borderId="0" xfId="1" applyFont="1" applyAlignment="1">
      <alignment horizontal="center" vertical="center"/>
    </xf>
    <xf numFmtId="43" fontId="0" fillId="5" borderId="0" xfId="1" applyFont="1" applyFill="1" applyAlignment="1">
      <alignment horizontal="center"/>
    </xf>
    <xf numFmtId="14" fontId="0" fillId="6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</cellXfs>
  <cellStyles count="10">
    <cellStyle name="Comma" xfId="1" builtinId="3"/>
    <cellStyle name="Currency" xfId="2" builtinId="4"/>
    <cellStyle name="custom" xfId="7" xr:uid="{00000000-0005-0000-0000-000002000000}"/>
    <cellStyle name="Normal" xfId="0" builtinId="0"/>
    <cellStyle name="Percent" xfId="9" builtinId="5"/>
    <cellStyle name="Style 1" xfId="3" xr:uid="{00000000-0005-0000-0000-000005000000}"/>
    <cellStyle name="Style 2" xfId="4" xr:uid="{00000000-0005-0000-0000-000006000000}"/>
    <cellStyle name="Style 3" xfId="5" xr:uid="{00000000-0005-0000-0000-000007000000}"/>
    <cellStyle name="Style 4" xfId="6" xr:uid="{00000000-0005-0000-0000-000008000000}"/>
    <cellStyle name="Style 5" xfId="8" xr:uid="{00000000-0005-0000-0000-000009000000}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fitToPage="1"/>
  </sheetPr>
  <dimension ref="A1:VB273"/>
  <sheetViews>
    <sheetView tabSelected="1" topLeftCell="N1" zoomScale="175" zoomScaleNormal="175" workbookViewId="0">
      <selection activeCell="P1" sqref="P1"/>
    </sheetView>
  </sheetViews>
  <sheetFormatPr defaultRowHeight="14.4" x14ac:dyDescent="0.3"/>
  <cols>
    <col min="1" max="1" width="14" style="55" customWidth="1"/>
    <col min="2" max="2" width="26.44140625" customWidth="1"/>
    <col min="3" max="3" width="16.33203125" style="179" customWidth="1"/>
    <col min="4" max="4" width="11.6640625" style="32" customWidth="1"/>
    <col min="5" max="5" width="11" style="7" customWidth="1"/>
    <col min="6" max="6" width="25.5546875" style="1" customWidth="1"/>
    <col min="7" max="7" width="25" style="1" customWidth="1"/>
    <col min="8" max="8" width="14.6640625" style="1" customWidth="1"/>
    <col min="9" max="9" width="10" customWidth="1"/>
    <col min="10" max="10" width="13.5546875" style="1" hidden="1" customWidth="1"/>
    <col min="11" max="11" width="15.77734375" style="1" customWidth="1"/>
    <col min="12" max="12" width="15.109375" customWidth="1"/>
    <col min="13" max="13" width="17.6640625" style="188" customWidth="1"/>
    <col min="14" max="14" width="11.33203125" style="188" customWidth="1"/>
    <col min="15" max="16" width="17.44140625" style="188" customWidth="1"/>
    <col min="17" max="17" width="15.44140625" style="188" customWidth="1"/>
    <col min="18" max="19" width="14.5546875" style="202" customWidth="1"/>
    <col min="20" max="20" width="15.5546875" style="216" customWidth="1"/>
    <col min="21" max="21" width="11.88671875" style="227" customWidth="1"/>
    <col min="22" max="22" width="13" style="213" customWidth="1"/>
    <col min="23" max="23" width="16.44140625" style="1" customWidth="1"/>
    <col min="24" max="24" width="13.33203125" style="1" customWidth="1"/>
    <col min="25" max="25" width="18.5546875" style="36" customWidth="1"/>
    <col min="26" max="26" width="18.5546875" style="32" customWidth="1"/>
    <col min="27" max="27" width="21" style="1" customWidth="1"/>
  </cols>
  <sheetData>
    <row r="1" spans="1:28" s="2" customFormat="1" ht="43.2" x14ac:dyDescent="0.3">
      <c r="A1" s="3" t="s">
        <v>1076</v>
      </c>
      <c r="B1" s="2" t="s">
        <v>1077</v>
      </c>
      <c r="C1" s="177" t="s">
        <v>1078</v>
      </c>
      <c r="D1" s="31" t="s">
        <v>1082</v>
      </c>
      <c r="E1" s="5" t="s">
        <v>1081</v>
      </c>
      <c r="F1" s="3" t="s">
        <v>1080</v>
      </c>
      <c r="G1" s="3" t="s">
        <v>1079</v>
      </c>
      <c r="H1" s="3" t="s">
        <v>1083</v>
      </c>
      <c r="I1" s="2" t="s">
        <v>1084</v>
      </c>
      <c r="J1" s="3" t="s">
        <v>1085</v>
      </c>
      <c r="K1" s="3" t="s">
        <v>1086</v>
      </c>
      <c r="L1" s="3" t="s">
        <v>1087</v>
      </c>
      <c r="M1" s="186" t="s">
        <v>1088</v>
      </c>
      <c r="N1" s="186" t="s">
        <v>1098</v>
      </c>
      <c r="O1" s="186" t="s">
        <v>1089</v>
      </c>
      <c r="P1" s="186" t="s">
        <v>1106</v>
      </c>
      <c r="Q1" s="186" t="s">
        <v>1095</v>
      </c>
      <c r="R1" s="201" t="s">
        <v>1091</v>
      </c>
      <c r="S1" s="201" t="s">
        <v>1092</v>
      </c>
      <c r="T1" s="214" t="s">
        <v>1093</v>
      </c>
      <c r="U1" s="226" t="s">
        <v>1099</v>
      </c>
      <c r="V1" s="186" t="s">
        <v>1096</v>
      </c>
      <c r="W1" s="3" t="s">
        <v>1100</v>
      </c>
      <c r="X1" s="3" t="s">
        <v>1105</v>
      </c>
      <c r="Y1" s="34" t="s">
        <v>1104</v>
      </c>
      <c r="Z1" s="31" t="s">
        <v>1094</v>
      </c>
      <c r="AA1" s="3" t="s">
        <v>98</v>
      </c>
      <c r="AB1" s="2" t="s">
        <v>116</v>
      </c>
    </row>
    <row r="2" spans="1:28" s="67" customFormat="1" x14ac:dyDescent="0.3">
      <c r="A2" s="66" t="s">
        <v>189</v>
      </c>
      <c r="B2" s="67" t="s">
        <v>15</v>
      </c>
      <c r="C2" s="178">
        <v>43930</v>
      </c>
      <c r="D2" s="68"/>
      <c r="E2" s="68">
        <v>44294</v>
      </c>
      <c r="F2" s="69" t="s">
        <v>16</v>
      </c>
      <c r="G2" s="69"/>
      <c r="H2" s="70" t="s">
        <v>35</v>
      </c>
      <c r="I2" s="67" t="s">
        <v>17</v>
      </c>
      <c r="J2" s="69" t="s">
        <v>38</v>
      </c>
      <c r="K2" s="69" t="s">
        <v>19</v>
      </c>
      <c r="L2" s="69" t="s">
        <v>20</v>
      </c>
      <c r="M2" s="187">
        <v>2500000</v>
      </c>
      <c r="N2" s="197">
        <v>0.04</v>
      </c>
      <c r="O2" s="187">
        <f>M2*N2</f>
        <v>100000</v>
      </c>
      <c r="P2" s="187">
        <v>0</v>
      </c>
      <c r="Q2" s="187">
        <f>(O2+P2)*16.5%+1000</f>
        <v>17500</v>
      </c>
      <c r="R2" s="187">
        <f>SUM(O2:Q2)</f>
        <v>117500</v>
      </c>
      <c r="S2" s="187">
        <v>117500</v>
      </c>
      <c r="T2" s="215">
        <f>R2-S2</f>
        <v>0</v>
      </c>
      <c r="U2" s="212">
        <v>1</v>
      </c>
      <c r="V2" s="212">
        <f>O2*12.5%</f>
        <v>12500</v>
      </c>
      <c r="W2" s="69" t="s">
        <v>23</v>
      </c>
      <c r="X2" s="70" t="s">
        <v>24</v>
      </c>
      <c r="Y2" s="35">
        <v>43930</v>
      </c>
      <c r="Z2" s="32"/>
      <c r="AA2" s="69"/>
      <c r="AB2" s="67" t="s">
        <v>118</v>
      </c>
    </row>
    <row r="3" spans="1:28" x14ac:dyDescent="0.3">
      <c r="A3" s="51" t="s">
        <v>189</v>
      </c>
      <c r="B3" t="s">
        <v>33</v>
      </c>
      <c r="C3" s="179">
        <v>43984</v>
      </c>
      <c r="D3" s="38"/>
      <c r="E3" s="6">
        <v>44348</v>
      </c>
      <c r="F3" s="1" t="s">
        <v>34</v>
      </c>
      <c r="G3" s="1" t="s">
        <v>34</v>
      </c>
      <c r="H3" s="8" t="s">
        <v>36</v>
      </c>
      <c r="I3" t="s">
        <v>37</v>
      </c>
      <c r="J3" s="1" t="s">
        <v>39</v>
      </c>
      <c r="K3" s="1" t="s">
        <v>40</v>
      </c>
      <c r="L3" s="1" t="s">
        <v>20</v>
      </c>
      <c r="M3" s="188">
        <v>2000000</v>
      </c>
      <c r="N3" s="188">
        <v>0.05</v>
      </c>
      <c r="O3" s="188">
        <f>M3*N3</f>
        <v>100000</v>
      </c>
      <c r="P3" s="188">
        <v>12000</v>
      </c>
      <c r="Q3" s="188">
        <f>(O3+P3)*16.5%+1000</f>
        <v>19480</v>
      </c>
      <c r="R3" s="202">
        <f>SUM(O3:Q3)</f>
        <v>131480</v>
      </c>
      <c r="S3" s="202">
        <v>131480</v>
      </c>
      <c r="U3" s="227">
        <v>1</v>
      </c>
      <c r="V3" s="213">
        <f>O3*12.5%</f>
        <v>12500</v>
      </c>
      <c r="W3" s="1" t="s">
        <v>23</v>
      </c>
      <c r="X3" s="8" t="s">
        <v>41</v>
      </c>
      <c r="Y3" s="35">
        <v>43984</v>
      </c>
      <c r="AB3" t="s">
        <v>118</v>
      </c>
    </row>
    <row r="4" spans="1:28" s="67" customFormat="1" x14ac:dyDescent="0.3">
      <c r="A4" s="66" t="s">
        <v>189</v>
      </c>
      <c r="B4" s="67" t="s">
        <v>43</v>
      </c>
      <c r="C4" s="178">
        <v>44022</v>
      </c>
      <c r="D4" s="68"/>
      <c r="E4" s="68">
        <v>44386</v>
      </c>
      <c r="F4" s="69" t="s">
        <v>44</v>
      </c>
      <c r="G4" s="69" t="s">
        <v>44</v>
      </c>
      <c r="H4" s="70" t="s">
        <v>45</v>
      </c>
      <c r="I4" s="67" t="s">
        <v>46</v>
      </c>
      <c r="J4" s="69" t="s">
        <v>38</v>
      </c>
      <c r="K4" s="69" t="s">
        <v>47</v>
      </c>
      <c r="L4" s="69" t="s">
        <v>20</v>
      </c>
      <c r="M4" s="187">
        <v>3000000</v>
      </c>
      <c r="N4" s="187">
        <v>0.04</v>
      </c>
      <c r="O4" s="187">
        <f>M4*N4</f>
        <v>120000</v>
      </c>
      <c r="P4" s="187">
        <v>0</v>
      </c>
      <c r="Q4" s="187">
        <f>(O4+P4)*16.5%+1000</f>
        <v>20800</v>
      </c>
      <c r="R4" s="187">
        <f t="shared" ref="R4:R9" si="0">SUM(O4:Q4)</f>
        <v>140800</v>
      </c>
      <c r="S4" s="187">
        <v>140800</v>
      </c>
      <c r="T4" s="215">
        <f>R4-S4</f>
        <v>0</v>
      </c>
      <c r="U4" s="212">
        <v>1</v>
      </c>
      <c r="V4" s="212">
        <f t="shared" ref="V4:V9" si="1">O4*12.5%</f>
        <v>15000</v>
      </c>
      <c r="W4" s="69" t="s">
        <v>48</v>
      </c>
      <c r="X4" s="70" t="s">
        <v>49</v>
      </c>
      <c r="Y4" s="35">
        <v>44022</v>
      </c>
      <c r="Z4" s="32"/>
      <c r="AA4" s="69"/>
      <c r="AB4" s="67" t="s">
        <v>118</v>
      </c>
    </row>
    <row r="5" spans="1:28" ht="43.2" x14ac:dyDescent="0.3">
      <c r="A5" s="51" t="s">
        <v>189</v>
      </c>
      <c r="B5" t="s">
        <v>50</v>
      </c>
      <c r="C5" s="179">
        <v>44026</v>
      </c>
      <c r="D5" s="38"/>
      <c r="E5" s="6">
        <v>44390</v>
      </c>
      <c r="F5" s="1" t="s">
        <v>51</v>
      </c>
      <c r="G5" s="1" t="s">
        <v>51</v>
      </c>
      <c r="H5" s="8" t="s">
        <v>52</v>
      </c>
      <c r="I5" t="s">
        <v>137</v>
      </c>
      <c r="J5" s="1" t="s">
        <v>38</v>
      </c>
      <c r="K5" s="1" t="s">
        <v>53</v>
      </c>
      <c r="L5" s="1" t="s">
        <v>20</v>
      </c>
      <c r="M5" s="188">
        <v>10000000</v>
      </c>
      <c r="N5" s="188">
        <v>0.04</v>
      </c>
      <c r="O5" s="188">
        <f>M5*N5</f>
        <v>400000</v>
      </c>
      <c r="P5" s="188">
        <v>0</v>
      </c>
      <c r="Q5" s="188">
        <f>(O5+P5)*16.5%+1000</f>
        <v>67000</v>
      </c>
      <c r="R5" s="202">
        <f t="shared" si="0"/>
        <v>467000</v>
      </c>
      <c r="S5" s="202">
        <v>467000</v>
      </c>
      <c r="U5" s="227">
        <v>3</v>
      </c>
      <c r="V5" s="213">
        <f t="shared" si="1"/>
        <v>50000</v>
      </c>
      <c r="W5" s="1" t="s">
        <v>48</v>
      </c>
      <c r="X5" s="8" t="s">
        <v>54</v>
      </c>
      <c r="Y5" s="35" t="s">
        <v>1097</v>
      </c>
      <c r="AB5" t="s">
        <v>117</v>
      </c>
    </row>
    <row r="6" spans="1:28" s="67" customFormat="1" x14ac:dyDescent="0.3">
      <c r="A6" s="66" t="s">
        <v>189</v>
      </c>
      <c r="B6" s="67" t="s">
        <v>57</v>
      </c>
      <c r="C6" s="178">
        <v>44028</v>
      </c>
      <c r="D6" s="68"/>
      <c r="E6" s="68">
        <v>44392</v>
      </c>
      <c r="F6" s="69" t="s">
        <v>58</v>
      </c>
      <c r="G6" s="69" t="s">
        <v>58</v>
      </c>
      <c r="H6" s="69"/>
      <c r="I6" s="67" t="s">
        <v>59</v>
      </c>
      <c r="J6" s="69" t="s">
        <v>38</v>
      </c>
      <c r="K6" s="69" t="s">
        <v>61</v>
      </c>
      <c r="L6" s="69" t="s">
        <v>62</v>
      </c>
      <c r="M6" s="187">
        <v>0</v>
      </c>
      <c r="N6" s="187">
        <v>0</v>
      </c>
      <c r="O6" s="187">
        <v>70900</v>
      </c>
      <c r="P6" s="187">
        <v>0</v>
      </c>
      <c r="Q6" s="187">
        <v>0</v>
      </c>
      <c r="R6" s="187">
        <f t="shared" si="0"/>
        <v>70900</v>
      </c>
      <c r="S6" s="187">
        <v>70900</v>
      </c>
      <c r="T6" s="215">
        <f>R6-S6</f>
        <v>0</v>
      </c>
      <c r="U6" s="212">
        <v>1</v>
      </c>
      <c r="V6" s="212">
        <f t="shared" si="1"/>
        <v>8862.5</v>
      </c>
      <c r="W6" s="69" t="s">
        <v>48</v>
      </c>
      <c r="X6" s="70" t="s">
        <v>63</v>
      </c>
      <c r="Y6" s="35">
        <v>44028</v>
      </c>
      <c r="Z6" s="32"/>
      <c r="AA6" s="69"/>
      <c r="AB6" s="67" t="s">
        <v>117</v>
      </c>
    </row>
    <row r="7" spans="1:28" x14ac:dyDescent="0.3">
      <c r="A7" s="51" t="s">
        <v>189</v>
      </c>
      <c r="B7" t="s">
        <v>57</v>
      </c>
      <c r="C7" s="179">
        <v>44028</v>
      </c>
      <c r="D7" s="38"/>
      <c r="E7" s="6">
        <v>44392</v>
      </c>
      <c r="F7" s="1" t="s">
        <v>58</v>
      </c>
      <c r="G7" s="1" t="s">
        <v>387</v>
      </c>
      <c r="H7" s="8" t="s">
        <v>386</v>
      </c>
      <c r="I7" t="s">
        <v>60</v>
      </c>
      <c r="J7" s="1" t="s">
        <v>38</v>
      </c>
      <c r="K7" s="1" t="s">
        <v>61</v>
      </c>
      <c r="L7" s="1" t="s">
        <v>62</v>
      </c>
      <c r="M7" s="188">
        <v>0</v>
      </c>
      <c r="N7" s="188">
        <v>0</v>
      </c>
      <c r="O7" s="188">
        <v>70900</v>
      </c>
      <c r="P7" s="188">
        <v>0</v>
      </c>
      <c r="Q7" s="188">
        <v>0</v>
      </c>
      <c r="R7" s="202">
        <f t="shared" si="0"/>
        <v>70900</v>
      </c>
      <c r="S7" s="202">
        <v>70900</v>
      </c>
      <c r="U7" s="227">
        <v>1</v>
      </c>
      <c r="V7" s="213">
        <f t="shared" si="1"/>
        <v>8862.5</v>
      </c>
      <c r="W7" s="1" t="s">
        <v>48</v>
      </c>
      <c r="X7" s="8" t="s">
        <v>64</v>
      </c>
      <c r="Y7" s="35">
        <v>44028</v>
      </c>
      <c r="AB7" t="s">
        <v>117</v>
      </c>
    </row>
    <row r="8" spans="1:28" x14ac:dyDescent="0.3">
      <c r="A8" s="51" t="s">
        <v>189</v>
      </c>
      <c r="B8" t="s">
        <v>65</v>
      </c>
      <c r="C8" s="179">
        <v>44036</v>
      </c>
      <c r="D8" s="38"/>
      <c r="E8" s="6">
        <v>44400</v>
      </c>
      <c r="F8" s="1" t="s">
        <v>66</v>
      </c>
      <c r="G8" s="1" t="s">
        <v>66</v>
      </c>
      <c r="H8" s="8" t="s">
        <v>67</v>
      </c>
      <c r="I8" t="s">
        <v>251</v>
      </c>
      <c r="J8" s="1" t="s">
        <v>38</v>
      </c>
      <c r="K8" s="1" t="s">
        <v>53</v>
      </c>
      <c r="L8" s="1" t="s">
        <v>20</v>
      </c>
      <c r="M8" s="188">
        <v>15000000</v>
      </c>
      <c r="N8" s="188">
        <v>0.04</v>
      </c>
      <c r="O8" s="188">
        <f>M8*N8</f>
        <v>600000</v>
      </c>
      <c r="P8" s="188">
        <v>0</v>
      </c>
      <c r="Q8" s="188">
        <f>(O8+P8)*16.5%+1000</f>
        <v>100000</v>
      </c>
      <c r="R8" s="202">
        <f t="shared" si="0"/>
        <v>700000</v>
      </c>
      <c r="S8" s="202">
        <v>700000</v>
      </c>
      <c r="U8" s="227">
        <v>1</v>
      </c>
      <c r="V8" s="213">
        <f t="shared" si="1"/>
        <v>75000</v>
      </c>
      <c r="W8" s="1" t="s">
        <v>23</v>
      </c>
      <c r="X8" s="8" t="s">
        <v>24</v>
      </c>
      <c r="Y8" s="35">
        <v>44036</v>
      </c>
      <c r="Z8" s="38">
        <v>44036</v>
      </c>
      <c r="AB8" t="s">
        <v>118</v>
      </c>
    </row>
    <row r="9" spans="1:28" s="67" customFormat="1" ht="28.8" x14ac:dyDescent="0.3">
      <c r="A9" s="66" t="s">
        <v>189</v>
      </c>
      <c r="B9" s="67" t="s">
        <v>68</v>
      </c>
      <c r="C9" s="178">
        <v>44040</v>
      </c>
      <c r="D9" s="68"/>
      <c r="E9" s="68">
        <v>44132</v>
      </c>
      <c r="F9" s="69" t="s">
        <v>78</v>
      </c>
      <c r="G9" s="69"/>
      <c r="H9" s="70" t="s">
        <v>69</v>
      </c>
      <c r="I9" s="67" t="s">
        <v>70</v>
      </c>
      <c r="J9" s="69" t="s">
        <v>38</v>
      </c>
      <c r="K9" s="69" t="s">
        <v>71</v>
      </c>
      <c r="L9" s="69" t="s">
        <v>87</v>
      </c>
      <c r="M9" s="187">
        <v>0</v>
      </c>
      <c r="N9" s="187">
        <v>0</v>
      </c>
      <c r="O9" s="187">
        <v>35950</v>
      </c>
      <c r="P9" s="187">
        <v>0</v>
      </c>
      <c r="Q9" s="187">
        <v>0</v>
      </c>
      <c r="R9" s="187">
        <f t="shared" si="0"/>
        <v>35950</v>
      </c>
      <c r="S9" s="187">
        <v>35950</v>
      </c>
      <c r="T9" s="215">
        <f>R9-S9</f>
        <v>0</v>
      </c>
      <c r="U9" s="212">
        <v>1</v>
      </c>
      <c r="V9" s="212">
        <f t="shared" si="1"/>
        <v>4493.75</v>
      </c>
      <c r="W9" s="69" t="s">
        <v>48</v>
      </c>
      <c r="X9" s="70" t="s">
        <v>64</v>
      </c>
      <c r="Y9" s="35">
        <v>44040</v>
      </c>
      <c r="Z9" s="32"/>
      <c r="AA9" s="69"/>
      <c r="AB9" s="67" t="s">
        <v>118</v>
      </c>
    </row>
    <row r="10" spans="1:28" ht="28.8" x14ac:dyDescent="0.3">
      <c r="A10" s="51" t="s">
        <v>189</v>
      </c>
      <c r="B10" t="s">
        <v>77</v>
      </c>
      <c r="C10" s="179">
        <v>44048</v>
      </c>
      <c r="D10" s="38"/>
      <c r="E10" s="6">
        <v>44412</v>
      </c>
      <c r="F10" s="1" t="s">
        <v>79</v>
      </c>
      <c r="G10" s="1" t="s">
        <v>79</v>
      </c>
      <c r="H10" s="8" t="s">
        <v>80</v>
      </c>
      <c r="I10" t="s">
        <v>81</v>
      </c>
      <c r="J10" s="1" t="s">
        <v>38</v>
      </c>
      <c r="K10" s="1" t="s">
        <v>82</v>
      </c>
      <c r="L10" s="1" t="s">
        <v>20</v>
      </c>
      <c r="M10" s="188">
        <v>10000000</v>
      </c>
      <c r="N10" s="188">
        <v>0.04</v>
      </c>
      <c r="O10" s="188">
        <f t="shared" ref="O10:O17" si="2">M10*N10</f>
        <v>400000</v>
      </c>
      <c r="P10" s="188">
        <v>0</v>
      </c>
      <c r="Q10" s="188">
        <f t="shared" ref="Q10:Q26" si="3">(O10+P10)*16.5%+1000</f>
        <v>67000</v>
      </c>
      <c r="R10" s="202">
        <f t="shared" ref="R10:R24" si="4">SUM(O10:Q10)</f>
        <v>467000</v>
      </c>
      <c r="S10" s="202">
        <v>467000</v>
      </c>
      <c r="T10" s="216">
        <v>0</v>
      </c>
      <c r="U10" s="227">
        <v>2</v>
      </c>
      <c r="V10" s="213">
        <f t="shared" ref="V10:V31" si="5">O10*12.5%</f>
        <v>50000</v>
      </c>
      <c r="W10" s="1" t="s">
        <v>23</v>
      </c>
      <c r="X10" s="8" t="s">
        <v>24</v>
      </c>
      <c r="Y10" s="37" t="s">
        <v>115</v>
      </c>
      <c r="Z10" s="33" t="s">
        <v>114</v>
      </c>
      <c r="AA10" s="30" t="s">
        <v>99</v>
      </c>
      <c r="AB10" t="s">
        <v>117</v>
      </c>
    </row>
    <row r="11" spans="1:28" ht="28.8" x14ac:dyDescent="0.3">
      <c r="A11" s="51" t="s">
        <v>189</v>
      </c>
      <c r="B11" t="s">
        <v>83</v>
      </c>
      <c r="C11" s="179">
        <v>44048</v>
      </c>
      <c r="D11" s="38"/>
      <c r="E11" s="6">
        <v>44412</v>
      </c>
      <c r="F11" s="1" t="s">
        <v>84</v>
      </c>
      <c r="G11" s="1" t="s">
        <v>84</v>
      </c>
      <c r="H11" s="8" t="s">
        <v>85</v>
      </c>
      <c r="I11" t="s">
        <v>86</v>
      </c>
      <c r="J11" s="1" t="s">
        <v>38</v>
      </c>
      <c r="K11" s="1" t="s">
        <v>27</v>
      </c>
      <c r="L11" s="1" t="s">
        <v>20</v>
      </c>
      <c r="M11" s="188">
        <v>8000000</v>
      </c>
      <c r="N11" s="188">
        <v>0.04</v>
      </c>
      <c r="O11" s="188">
        <f t="shared" si="2"/>
        <v>320000</v>
      </c>
      <c r="P11" s="188">
        <v>0</v>
      </c>
      <c r="Q11" s="188">
        <f t="shared" si="3"/>
        <v>53800</v>
      </c>
      <c r="R11" s="202">
        <f t="shared" si="4"/>
        <v>373800</v>
      </c>
      <c r="S11" s="202">
        <v>373800</v>
      </c>
      <c r="T11" s="216">
        <v>0</v>
      </c>
      <c r="U11" s="227">
        <v>2</v>
      </c>
      <c r="V11" s="213">
        <f t="shared" si="5"/>
        <v>40000</v>
      </c>
      <c r="W11" s="1" t="s">
        <v>23</v>
      </c>
      <c r="X11" s="8" t="s">
        <v>113</v>
      </c>
      <c r="Y11" s="37" t="s">
        <v>115</v>
      </c>
      <c r="Z11" s="33" t="s">
        <v>114</v>
      </c>
      <c r="AA11" s="30" t="s">
        <v>99</v>
      </c>
      <c r="AB11" t="s">
        <v>117</v>
      </c>
    </row>
    <row r="12" spans="1:28" ht="28.8" x14ac:dyDescent="0.3">
      <c r="A12" s="51" t="s">
        <v>189</v>
      </c>
      <c r="B12" t="s">
        <v>92</v>
      </c>
      <c r="C12" s="179">
        <v>44057</v>
      </c>
      <c r="D12" s="38"/>
      <c r="E12" s="6">
        <v>44421</v>
      </c>
      <c r="F12" s="1" t="s">
        <v>34</v>
      </c>
      <c r="G12" s="1" t="s">
        <v>34</v>
      </c>
      <c r="H12" s="8" t="s">
        <v>36</v>
      </c>
      <c r="I12" t="s">
        <v>93</v>
      </c>
      <c r="J12" s="1" t="s">
        <v>38</v>
      </c>
      <c r="K12" s="1" t="s">
        <v>94</v>
      </c>
      <c r="L12" s="1" t="s">
        <v>20</v>
      </c>
      <c r="M12" s="188">
        <v>2100000</v>
      </c>
      <c r="N12" s="188">
        <v>0.05</v>
      </c>
      <c r="O12" s="188">
        <f t="shared" si="2"/>
        <v>105000</v>
      </c>
      <c r="P12" s="188">
        <v>0</v>
      </c>
      <c r="Q12" s="188">
        <f t="shared" si="3"/>
        <v>18325</v>
      </c>
      <c r="R12" s="202">
        <f t="shared" si="4"/>
        <v>123325</v>
      </c>
      <c r="S12" s="202">
        <v>123325</v>
      </c>
      <c r="T12" s="216">
        <f t="shared" ref="T12:T31" si="6">R12-S12</f>
        <v>0</v>
      </c>
      <c r="U12" s="227">
        <v>2</v>
      </c>
      <c r="V12" s="213">
        <f t="shared" si="5"/>
        <v>13125</v>
      </c>
      <c r="W12" s="1" t="s">
        <v>48</v>
      </c>
      <c r="X12" s="8" t="s">
        <v>64</v>
      </c>
      <c r="Y12" s="36" t="s">
        <v>95</v>
      </c>
      <c r="AB12" t="s">
        <v>117</v>
      </c>
    </row>
    <row r="13" spans="1:28" x14ac:dyDescent="0.3">
      <c r="A13" s="51" t="s">
        <v>189</v>
      </c>
      <c r="B13" t="s">
        <v>88</v>
      </c>
      <c r="C13" s="179">
        <v>44063</v>
      </c>
      <c r="D13" s="38"/>
      <c r="E13" s="6">
        <v>44427</v>
      </c>
      <c r="F13" s="1" t="s">
        <v>78</v>
      </c>
      <c r="G13" s="1" t="s">
        <v>78</v>
      </c>
      <c r="H13" s="8" t="s">
        <v>69</v>
      </c>
      <c r="I13" t="s">
        <v>89</v>
      </c>
      <c r="J13" s="1" t="s">
        <v>38</v>
      </c>
      <c r="K13" s="1" t="s">
        <v>90</v>
      </c>
      <c r="L13" s="1" t="s">
        <v>20</v>
      </c>
      <c r="M13" s="188">
        <v>3000000</v>
      </c>
      <c r="N13" s="188">
        <v>4.4999999999999998E-2</v>
      </c>
      <c r="O13" s="188">
        <f t="shared" si="2"/>
        <v>135000</v>
      </c>
      <c r="P13" s="188">
        <v>0</v>
      </c>
      <c r="Q13" s="188">
        <f t="shared" si="3"/>
        <v>23275</v>
      </c>
      <c r="R13" s="202">
        <f t="shared" si="4"/>
        <v>158275</v>
      </c>
      <c r="S13" s="202">
        <v>158275</v>
      </c>
      <c r="T13" s="216">
        <f t="shared" si="6"/>
        <v>0</v>
      </c>
      <c r="U13" s="227">
        <v>2</v>
      </c>
      <c r="V13" s="213">
        <f t="shared" si="5"/>
        <v>16875</v>
      </c>
      <c r="W13" s="1" t="s">
        <v>48</v>
      </c>
      <c r="X13" s="8" t="s">
        <v>64</v>
      </c>
      <c r="Y13" s="36" t="s">
        <v>91</v>
      </c>
      <c r="Z13" s="32" t="s">
        <v>120</v>
      </c>
      <c r="AB13" t="s">
        <v>117</v>
      </c>
    </row>
    <row r="14" spans="1:28" x14ac:dyDescent="0.3">
      <c r="A14" s="51" t="s">
        <v>189</v>
      </c>
      <c r="B14" t="s">
        <v>100</v>
      </c>
      <c r="C14" s="179">
        <v>44095</v>
      </c>
      <c r="D14" s="38"/>
      <c r="E14" s="6">
        <v>44459</v>
      </c>
      <c r="F14" s="1" t="s">
        <v>101</v>
      </c>
      <c r="G14" s="1" t="s">
        <v>101</v>
      </c>
      <c r="H14" s="8" t="s">
        <v>102</v>
      </c>
      <c r="I14" t="s">
        <v>103</v>
      </c>
      <c r="J14" s="1" t="s">
        <v>38</v>
      </c>
      <c r="K14" s="1" t="s">
        <v>104</v>
      </c>
      <c r="L14" s="1" t="s">
        <v>20</v>
      </c>
      <c r="M14" s="188">
        <v>2800000</v>
      </c>
      <c r="N14" s="188">
        <v>0.04</v>
      </c>
      <c r="O14" s="188">
        <f t="shared" si="2"/>
        <v>112000</v>
      </c>
      <c r="P14" s="188">
        <v>0</v>
      </c>
      <c r="Q14" s="188">
        <f t="shared" si="3"/>
        <v>19480</v>
      </c>
      <c r="R14" s="202">
        <f t="shared" si="4"/>
        <v>131480</v>
      </c>
      <c r="S14" s="202">
        <v>131480</v>
      </c>
      <c r="T14" s="216">
        <f t="shared" si="6"/>
        <v>0</v>
      </c>
      <c r="U14" s="227">
        <v>1</v>
      </c>
      <c r="V14" s="213">
        <f t="shared" si="5"/>
        <v>14000</v>
      </c>
      <c r="W14" s="1" t="s">
        <v>48</v>
      </c>
      <c r="X14" s="8" t="s">
        <v>105</v>
      </c>
      <c r="Y14" s="35">
        <v>44095</v>
      </c>
      <c r="AB14" t="s">
        <v>118</v>
      </c>
    </row>
    <row r="15" spans="1:28" s="67" customFormat="1" ht="28.8" x14ac:dyDescent="0.3">
      <c r="A15" s="66" t="s">
        <v>189</v>
      </c>
      <c r="B15" s="67" t="s">
        <v>106</v>
      </c>
      <c r="C15" s="178">
        <v>44099</v>
      </c>
      <c r="D15" s="68"/>
      <c r="E15" s="68">
        <v>44463</v>
      </c>
      <c r="F15" s="69" t="s">
        <v>111</v>
      </c>
      <c r="G15" s="69"/>
      <c r="H15" s="70" t="s">
        <v>107</v>
      </c>
      <c r="I15" s="67" t="s">
        <v>108</v>
      </c>
      <c r="J15" s="69" t="s">
        <v>38</v>
      </c>
      <c r="K15" s="69" t="s">
        <v>109</v>
      </c>
      <c r="L15" s="69" t="s">
        <v>20</v>
      </c>
      <c r="M15" s="187">
        <v>2500000</v>
      </c>
      <c r="N15" s="187">
        <v>0.04</v>
      </c>
      <c r="O15" s="187">
        <f t="shared" si="2"/>
        <v>100000</v>
      </c>
      <c r="P15" s="187">
        <v>0</v>
      </c>
      <c r="Q15" s="187">
        <f t="shared" si="3"/>
        <v>17500</v>
      </c>
      <c r="R15" s="187">
        <f t="shared" si="4"/>
        <v>117500</v>
      </c>
      <c r="S15" s="187">
        <v>117500</v>
      </c>
      <c r="T15" s="215">
        <f t="shared" si="6"/>
        <v>0</v>
      </c>
      <c r="U15" s="212">
        <v>2</v>
      </c>
      <c r="V15" s="212">
        <f t="shared" si="5"/>
        <v>12500</v>
      </c>
      <c r="W15" s="69" t="s">
        <v>48</v>
      </c>
      <c r="X15" s="70" t="s">
        <v>110</v>
      </c>
      <c r="Y15" s="35" t="s">
        <v>139</v>
      </c>
      <c r="Z15" s="32" t="s">
        <v>112</v>
      </c>
      <c r="AA15" s="69"/>
      <c r="AB15" s="67" t="s">
        <v>118</v>
      </c>
    </row>
    <row r="16" spans="1:28" s="67" customFormat="1" ht="28.8" x14ac:dyDescent="0.3">
      <c r="A16" s="66" t="s">
        <v>189</v>
      </c>
      <c r="B16" s="67" t="s">
        <v>121</v>
      </c>
      <c r="C16" s="178">
        <v>44127</v>
      </c>
      <c r="D16" s="68"/>
      <c r="E16" s="68">
        <v>44491</v>
      </c>
      <c r="F16" s="69" t="s">
        <v>122</v>
      </c>
      <c r="G16" s="69"/>
      <c r="H16" s="70" t="s">
        <v>123</v>
      </c>
      <c r="I16" s="67" t="s">
        <v>124</v>
      </c>
      <c r="J16" s="69" t="s">
        <v>38</v>
      </c>
      <c r="K16" s="69" t="s">
        <v>125</v>
      </c>
      <c r="L16" s="69" t="s">
        <v>20</v>
      </c>
      <c r="M16" s="187">
        <v>2000000</v>
      </c>
      <c r="N16" s="187">
        <v>4.4999999999999998E-2</v>
      </c>
      <c r="O16" s="187">
        <f t="shared" si="2"/>
        <v>90000</v>
      </c>
      <c r="P16" s="187">
        <v>0</v>
      </c>
      <c r="Q16" s="187">
        <f t="shared" si="3"/>
        <v>15850</v>
      </c>
      <c r="R16" s="187">
        <f t="shared" si="4"/>
        <v>105850</v>
      </c>
      <c r="S16" s="187">
        <v>105850</v>
      </c>
      <c r="T16" s="215">
        <f t="shared" si="6"/>
        <v>0</v>
      </c>
      <c r="U16" s="212">
        <v>2</v>
      </c>
      <c r="V16" s="212">
        <f t="shared" si="5"/>
        <v>11250</v>
      </c>
      <c r="W16" s="69" t="s">
        <v>126</v>
      </c>
      <c r="X16" s="70" t="s">
        <v>127</v>
      </c>
      <c r="Y16" s="35" t="s">
        <v>138</v>
      </c>
      <c r="Z16" s="32"/>
      <c r="AA16" s="69"/>
      <c r="AB16" s="67" t="s">
        <v>118</v>
      </c>
    </row>
    <row r="17" spans="1:28" s="40" customFormat="1" ht="28.8" x14ac:dyDescent="0.3">
      <c r="A17" s="50" t="s">
        <v>189</v>
      </c>
      <c r="B17" s="39" t="s">
        <v>128</v>
      </c>
      <c r="C17" s="180">
        <v>44153</v>
      </c>
      <c r="D17" s="44"/>
      <c r="E17" s="42">
        <v>44517</v>
      </c>
      <c r="F17" s="40" t="s">
        <v>51</v>
      </c>
      <c r="G17" s="40" t="s">
        <v>51</v>
      </c>
      <c r="H17" s="43" t="s">
        <v>52</v>
      </c>
      <c r="I17" s="40" t="s">
        <v>129</v>
      </c>
      <c r="J17" s="40" t="s">
        <v>38</v>
      </c>
      <c r="K17" s="46" t="s">
        <v>130</v>
      </c>
      <c r="L17" s="40" t="s">
        <v>20</v>
      </c>
      <c r="M17" s="189">
        <v>8000000</v>
      </c>
      <c r="N17">
        <v>0.04</v>
      </c>
      <c r="O17" s="40">
        <f t="shared" si="2"/>
        <v>320000</v>
      </c>
      <c r="P17" s="40">
        <v>0</v>
      </c>
      <c r="Q17">
        <f t="shared" si="3"/>
        <v>53800</v>
      </c>
      <c r="R17" s="203">
        <f t="shared" si="4"/>
        <v>373800</v>
      </c>
      <c r="S17" s="205">
        <v>373800</v>
      </c>
      <c r="T17" s="217">
        <f t="shared" si="6"/>
        <v>0</v>
      </c>
      <c r="U17" s="228">
        <v>2</v>
      </c>
      <c r="V17" s="40">
        <f t="shared" si="5"/>
        <v>40000</v>
      </c>
      <c r="W17" s="40" t="s">
        <v>126</v>
      </c>
      <c r="X17" s="43" t="s">
        <v>127</v>
      </c>
      <c r="Y17" s="45" t="s">
        <v>146</v>
      </c>
      <c r="Z17" s="41"/>
      <c r="AB17" s="40" t="s">
        <v>118</v>
      </c>
    </row>
    <row r="18" spans="1:28" ht="28.8" x14ac:dyDescent="0.3">
      <c r="A18" s="51" t="s">
        <v>189</v>
      </c>
      <c r="B18" t="s">
        <v>131</v>
      </c>
      <c r="C18" s="179">
        <v>44173</v>
      </c>
      <c r="D18" s="38"/>
      <c r="E18" s="6">
        <v>44537</v>
      </c>
      <c r="F18" s="1" t="s">
        <v>132</v>
      </c>
      <c r="G18" s="1" t="s">
        <v>346</v>
      </c>
      <c r="H18" s="8" t="s">
        <v>133</v>
      </c>
      <c r="I18" t="s">
        <v>134</v>
      </c>
      <c r="J18" s="1" t="s">
        <v>38</v>
      </c>
      <c r="K18" s="1" t="s">
        <v>135</v>
      </c>
      <c r="L18" s="1" t="s">
        <v>62</v>
      </c>
      <c r="M18" s="190">
        <v>800000</v>
      </c>
      <c r="N18" s="190">
        <v>0</v>
      </c>
      <c r="O18" s="40">
        <v>30000</v>
      </c>
      <c r="P18" s="190">
        <v>0</v>
      </c>
      <c r="Q18">
        <f t="shared" si="3"/>
        <v>5950</v>
      </c>
      <c r="R18" s="203">
        <f t="shared" si="4"/>
        <v>35950</v>
      </c>
      <c r="S18" s="209">
        <v>35950</v>
      </c>
      <c r="T18" s="217">
        <f t="shared" si="6"/>
        <v>0</v>
      </c>
      <c r="U18" s="228">
        <v>1</v>
      </c>
      <c r="V18" s="40">
        <f t="shared" si="5"/>
        <v>3750</v>
      </c>
      <c r="W18" s="40" t="s">
        <v>126</v>
      </c>
      <c r="X18" s="43" t="s">
        <v>136</v>
      </c>
      <c r="Y18" s="35">
        <v>44173</v>
      </c>
      <c r="AB18" t="s">
        <v>118</v>
      </c>
    </row>
    <row r="19" spans="1:28" ht="28.8" x14ac:dyDescent="0.3">
      <c r="A19" s="52" t="s">
        <v>191</v>
      </c>
      <c r="B19" t="s">
        <v>140</v>
      </c>
      <c r="C19" s="179">
        <v>44188</v>
      </c>
      <c r="D19" s="38"/>
      <c r="E19" s="6">
        <v>44552</v>
      </c>
      <c r="F19" s="1" t="s">
        <v>141</v>
      </c>
      <c r="G19" s="1" t="s">
        <v>141</v>
      </c>
      <c r="H19" s="8" t="s">
        <v>142</v>
      </c>
      <c r="I19" t="s">
        <v>143</v>
      </c>
      <c r="J19" s="1" t="s">
        <v>38</v>
      </c>
      <c r="K19" s="1" t="s">
        <v>144</v>
      </c>
      <c r="L19" s="1" t="s">
        <v>62</v>
      </c>
      <c r="M19" s="190"/>
      <c r="N19" s="190">
        <v>0</v>
      </c>
      <c r="O19" s="40">
        <v>60000</v>
      </c>
      <c r="P19" s="190">
        <v>0</v>
      </c>
      <c r="Q19">
        <f t="shared" si="3"/>
        <v>10900</v>
      </c>
      <c r="R19" s="203">
        <f t="shared" si="4"/>
        <v>70900</v>
      </c>
      <c r="S19" s="209">
        <v>70900</v>
      </c>
      <c r="T19" s="217">
        <f t="shared" si="6"/>
        <v>0</v>
      </c>
      <c r="U19" s="228">
        <v>1</v>
      </c>
      <c r="V19" s="40">
        <f t="shared" si="5"/>
        <v>7500</v>
      </c>
      <c r="W19" s="40" t="s">
        <v>145</v>
      </c>
      <c r="X19" s="8" t="s">
        <v>113</v>
      </c>
      <c r="Y19" s="35">
        <v>44188</v>
      </c>
      <c r="AB19" t="s">
        <v>118</v>
      </c>
    </row>
    <row r="20" spans="1:28" ht="28.8" x14ac:dyDescent="0.3">
      <c r="A20" s="51" t="s">
        <v>189</v>
      </c>
      <c r="B20" t="s">
        <v>147</v>
      </c>
      <c r="C20" s="179">
        <v>44203</v>
      </c>
      <c r="D20" s="38"/>
      <c r="E20" s="6">
        <v>44567</v>
      </c>
      <c r="F20" s="1" t="s">
        <v>132</v>
      </c>
      <c r="G20" s="1" t="s">
        <v>346</v>
      </c>
      <c r="H20" s="8" t="s">
        <v>133</v>
      </c>
      <c r="I20" t="s">
        <v>148</v>
      </c>
      <c r="J20" s="1" t="s">
        <v>38</v>
      </c>
      <c r="K20" s="1" t="s">
        <v>149</v>
      </c>
      <c r="L20" s="1" t="s">
        <v>20</v>
      </c>
      <c r="M20" s="190">
        <v>30000000</v>
      </c>
      <c r="N20" s="190">
        <v>0.04</v>
      </c>
      <c r="O20" s="40">
        <f>M20*N20</f>
        <v>1200000</v>
      </c>
      <c r="P20" s="190">
        <v>0</v>
      </c>
      <c r="Q20">
        <f t="shared" si="3"/>
        <v>199000</v>
      </c>
      <c r="R20" s="203">
        <f t="shared" si="4"/>
        <v>1399000</v>
      </c>
      <c r="S20" s="209">
        <v>1399000</v>
      </c>
      <c r="T20" s="217">
        <f t="shared" si="6"/>
        <v>0</v>
      </c>
      <c r="U20" s="228">
        <v>3</v>
      </c>
      <c r="V20" s="40">
        <f t="shared" si="5"/>
        <v>150000</v>
      </c>
      <c r="W20" s="40" t="s">
        <v>150</v>
      </c>
      <c r="X20" s="43" t="s">
        <v>151</v>
      </c>
      <c r="Y20" s="35" t="s">
        <v>168</v>
      </c>
      <c r="AB20" t="s">
        <v>118</v>
      </c>
    </row>
    <row r="21" spans="1:28" x14ac:dyDescent="0.3">
      <c r="A21" s="51" t="s">
        <v>189</v>
      </c>
      <c r="B21" t="s">
        <v>147</v>
      </c>
      <c r="C21" s="179">
        <v>44203</v>
      </c>
      <c r="D21" s="38"/>
      <c r="E21" s="6">
        <v>44567</v>
      </c>
      <c r="F21" s="1" t="s">
        <v>132</v>
      </c>
      <c r="G21" s="1" t="s">
        <v>346</v>
      </c>
      <c r="H21" s="8" t="s">
        <v>133</v>
      </c>
      <c r="I21" t="s">
        <v>152</v>
      </c>
      <c r="J21" s="1" t="s">
        <v>38</v>
      </c>
      <c r="K21" s="1" t="s">
        <v>125</v>
      </c>
      <c r="L21" s="1" t="s">
        <v>62</v>
      </c>
      <c r="M21" s="190">
        <v>0</v>
      </c>
      <c r="N21" s="190">
        <v>0</v>
      </c>
      <c r="O21" s="190">
        <v>50000</v>
      </c>
      <c r="P21" s="190">
        <v>0</v>
      </c>
      <c r="Q21">
        <f t="shared" si="3"/>
        <v>9250</v>
      </c>
      <c r="R21" s="203">
        <f t="shared" si="4"/>
        <v>59250</v>
      </c>
      <c r="S21" s="209">
        <v>59250</v>
      </c>
      <c r="T21" s="217">
        <f t="shared" si="6"/>
        <v>0</v>
      </c>
      <c r="U21" s="228">
        <v>1</v>
      </c>
      <c r="V21" s="40">
        <f t="shared" si="5"/>
        <v>6250</v>
      </c>
      <c r="W21" s="40" t="s">
        <v>150</v>
      </c>
      <c r="X21" s="43" t="s">
        <v>151</v>
      </c>
      <c r="Y21" s="35">
        <v>44203</v>
      </c>
      <c r="AB21" t="s">
        <v>118</v>
      </c>
    </row>
    <row r="22" spans="1:28" s="67" customFormat="1" x14ac:dyDescent="0.3">
      <c r="A22" s="66" t="s">
        <v>189</v>
      </c>
      <c r="B22" s="67" t="s">
        <v>147</v>
      </c>
      <c r="C22" s="178">
        <v>44203</v>
      </c>
      <c r="D22" s="68"/>
      <c r="E22" s="68">
        <v>44567</v>
      </c>
      <c r="F22" s="69" t="s">
        <v>132</v>
      </c>
      <c r="G22" s="69" t="s">
        <v>346</v>
      </c>
      <c r="H22" s="70" t="s">
        <v>133</v>
      </c>
      <c r="I22" s="67" t="s">
        <v>153</v>
      </c>
      <c r="J22" s="69" t="s">
        <v>38</v>
      </c>
      <c r="K22" s="69" t="s">
        <v>47</v>
      </c>
      <c r="L22" s="69" t="s">
        <v>62</v>
      </c>
      <c r="M22" s="191">
        <v>0</v>
      </c>
      <c r="N22" s="191">
        <v>0</v>
      </c>
      <c r="O22" s="191">
        <v>50000</v>
      </c>
      <c r="P22" s="191">
        <v>0</v>
      </c>
      <c r="Q22" s="67">
        <f t="shared" si="3"/>
        <v>9250</v>
      </c>
      <c r="R22" s="72">
        <f t="shared" si="4"/>
        <v>59250</v>
      </c>
      <c r="S22" s="191">
        <v>59250</v>
      </c>
      <c r="T22" s="218">
        <f t="shared" si="6"/>
        <v>0</v>
      </c>
      <c r="U22" s="229">
        <v>1</v>
      </c>
      <c r="V22" s="72">
        <f t="shared" si="5"/>
        <v>6250</v>
      </c>
      <c r="W22" s="72" t="s">
        <v>150</v>
      </c>
      <c r="X22" s="236" t="s">
        <v>151</v>
      </c>
      <c r="Y22" s="35">
        <v>44203</v>
      </c>
      <c r="Z22" s="32"/>
      <c r="AA22" s="69"/>
      <c r="AB22" s="67" t="s">
        <v>118</v>
      </c>
    </row>
    <row r="23" spans="1:28" ht="28.8" x14ac:dyDescent="0.3">
      <c r="A23" s="51" t="s">
        <v>189</v>
      </c>
      <c r="B23" t="s">
        <v>154</v>
      </c>
      <c r="C23" s="179">
        <v>44243</v>
      </c>
      <c r="D23" s="38"/>
      <c r="E23" s="6">
        <v>44607</v>
      </c>
      <c r="F23" s="1" t="s">
        <v>155</v>
      </c>
      <c r="G23" s="1" t="s">
        <v>155</v>
      </c>
      <c r="H23" s="8" t="s">
        <v>156</v>
      </c>
      <c r="I23" t="s">
        <v>157</v>
      </c>
      <c r="J23" s="1" t="s">
        <v>38</v>
      </c>
      <c r="K23" s="1" t="s">
        <v>158</v>
      </c>
      <c r="L23" s="1" t="s">
        <v>62</v>
      </c>
      <c r="M23" s="190">
        <v>7500000</v>
      </c>
      <c r="N23" s="190">
        <v>0</v>
      </c>
      <c r="O23" s="190">
        <v>100000</v>
      </c>
      <c r="P23" s="190">
        <v>0</v>
      </c>
      <c r="Q23">
        <f t="shared" si="3"/>
        <v>17500</v>
      </c>
      <c r="R23" s="203">
        <f t="shared" si="4"/>
        <v>117500</v>
      </c>
      <c r="S23" s="209">
        <v>117500</v>
      </c>
      <c r="T23" s="217">
        <f t="shared" si="6"/>
        <v>0</v>
      </c>
      <c r="U23" s="228">
        <v>1</v>
      </c>
      <c r="V23" s="40">
        <f t="shared" si="5"/>
        <v>12500</v>
      </c>
      <c r="W23" s="40" t="s">
        <v>150</v>
      </c>
      <c r="X23" s="43" t="s">
        <v>151</v>
      </c>
      <c r="Y23" s="35" t="s">
        <v>201</v>
      </c>
      <c r="AB23" t="s">
        <v>119</v>
      </c>
    </row>
    <row r="24" spans="1:28" x14ac:dyDescent="0.3">
      <c r="A24" s="51" t="s">
        <v>189</v>
      </c>
      <c r="B24" t="s">
        <v>159</v>
      </c>
      <c r="C24" s="179">
        <v>44250</v>
      </c>
      <c r="D24" s="38"/>
      <c r="E24" s="6">
        <v>44614</v>
      </c>
      <c r="F24" s="1" t="s">
        <v>58</v>
      </c>
      <c r="G24" s="1" t="s">
        <v>58</v>
      </c>
      <c r="H24" s="8" t="s">
        <v>160</v>
      </c>
      <c r="I24" t="s">
        <v>161</v>
      </c>
      <c r="J24" s="1" t="s">
        <v>38</v>
      </c>
      <c r="K24" s="1" t="s">
        <v>130</v>
      </c>
      <c r="L24" s="1" t="s">
        <v>62</v>
      </c>
      <c r="M24" s="190">
        <v>0</v>
      </c>
      <c r="N24" s="190">
        <v>0</v>
      </c>
      <c r="O24" s="190">
        <v>60000</v>
      </c>
      <c r="P24" s="190">
        <v>0</v>
      </c>
      <c r="Q24">
        <f t="shared" si="3"/>
        <v>10900</v>
      </c>
      <c r="R24" s="203">
        <f t="shared" si="4"/>
        <v>70900</v>
      </c>
      <c r="S24" s="209">
        <v>70900</v>
      </c>
      <c r="T24" s="217">
        <f t="shared" si="6"/>
        <v>0</v>
      </c>
      <c r="U24" s="228">
        <v>1</v>
      </c>
      <c r="V24" s="40">
        <f t="shared" si="5"/>
        <v>7500</v>
      </c>
      <c r="W24" s="40" t="s">
        <v>150</v>
      </c>
      <c r="X24" s="43" t="s">
        <v>151</v>
      </c>
      <c r="Y24" s="35">
        <v>44250</v>
      </c>
      <c r="AB24" t="s">
        <v>118</v>
      </c>
    </row>
    <row r="25" spans="1:28" x14ac:dyDescent="0.3">
      <c r="A25" s="51" t="s">
        <v>189</v>
      </c>
      <c r="B25" t="s">
        <v>162</v>
      </c>
      <c r="C25" s="179">
        <v>44261</v>
      </c>
      <c r="D25" s="38"/>
      <c r="E25" s="6">
        <v>44625</v>
      </c>
      <c r="F25" s="1" t="s">
        <v>163</v>
      </c>
      <c r="G25" s="1" t="s">
        <v>388</v>
      </c>
      <c r="H25" s="8" t="s">
        <v>389</v>
      </c>
      <c r="I25" t="s">
        <v>164</v>
      </c>
      <c r="J25" s="1" t="s">
        <v>38</v>
      </c>
      <c r="K25" s="1" t="s">
        <v>165</v>
      </c>
      <c r="L25" s="1" t="s">
        <v>62</v>
      </c>
      <c r="M25" s="190">
        <v>3500000</v>
      </c>
      <c r="N25" s="190">
        <v>0</v>
      </c>
      <c r="O25" s="190">
        <v>60000</v>
      </c>
      <c r="P25" s="190">
        <v>0</v>
      </c>
      <c r="Q25">
        <f t="shared" si="3"/>
        <v>10900</v>
      </c>
      <c r="R25" s="203">
        <f t="shared" ref="R25:R31" si="7">SUM(O25:Q25)</f>
        <v>70900</v>
      </c>
      <c r="S25" s="209">
        <v>70900</v>
      </c>
      <c r="T25" s="217">
        <f t="shared" si="6"/>
        <v>0</v>
      </c>
      <c r="U25" s="228">
        <v>1</v>
      </c>
      <c r="V25" s="40">
        <f t="shared" si="5"/>
        <v>7500</v>
      </c>
      <c r="W25" s="40" t="s">
        <v>150</v>
      </c>
      <c r="X25" s="43" t="s">
        <v>151</v>
      </c>
      <c r="Y25" s="35" t="s">
        <v>166</v>
      </c>
      <c r="AB25" t="s">
        <v>119</v>
      </c>
    </row>
    <row r="26" spans="1:28" s="40" customFormat="1" ht="28.8" x14ac:dyDescent="0.3">
      <c r="A26" s="51" t="s">
        <v>189</v>
      </c>
      <c r="B26" s="39" t="s">
        <v>169</v>
      </c>
      <c r="C26" s="180">
        <v>44265</v>
      </c>
      <c r="D26" s="44"/>
      <c r="E26" s="42">
        <v>44629</v>
      </c>
      <c r="F26" s="40" t="s">
        <v>170</v>
      </c>
      <c r="G26" s="40" t="s">
        <v>170</v>
      </c>
      <c r="H26" s="43" t="s">
        <v>171</v>
      </c>
      <c r="I26" s="40" t="s">
        <v>172</v>
      </c>
      <c r="J26" s="40" t="s">
        <v>38</v>
      </c>
      <c r="K26" s="46" t="s">
        <v>173</v>
      </c>
      <c r="L26" s="40" t="s">
        <v>20</v>
      </c>
      <c r="M26" s="189">
        <v>2500000</v>
      </c>
      <c r="N26" s="225">
        <v>0.04</v>
      </c>
      <c r="O26" s="40">
        <f>M26*N26</f>
        <v>100000</v>
      </c>
      <c r="P26" s="40">
        <v>0</v>
      </c>
      <c r="Q26">
        <f t="shared" si="3"/>
        <v>17500</v>
      </c>
      <c r="R26" s="203">
        <f t="shared" si="7"/>
        <v>117500</v>
      </c>
      <c r="S26" s="205">
        <v>117500</v>
      </c>
      <c r="T26" s="217">
        <f t="shared" si="6"/>
        <v>0</v>
      </c>
      <c r="U26" s="228">
        <v>2</v>
      </c>
      <c r="V26" s="40">
        <f t="shared" si="5"/>
        <v>12500</v>
      </c>
      <c r="W26" s="40" t="s">
        <v>150</v>
      </c>
      <c r="X26" s="43" t="s">
        <v>151</v>
      </c>
      <c r="Y26" s="45"/>
      <c r="Z26" s="44">
        <v>44270</v>
      </c>
      <c r="AB26" s="40" t="s">
        <v>119</v>
      </c>
    </row>
    <row r="27" spans="1:28" s="40" customFormat="1" x14ac:dyDescent="0.3">
      <c r="A27" s="51" t="s">
        <v>189</v>
      </c>
      <c r="B27" s="39" t="s">
        <v>174</v>
      </c>
      <c r="C27" s="180">
        <v>44271</v>
      </c>
      <c r="D27" s="44"/>
      <c r="E27" s="42">
        <v>44635</v>
      </c>
      <c r="F27" s="40" t="s">
        <v>175</v>
      </c>
      <c r="G27" s="40" t="s">
        <v>175</v>
      </c>
      <c r="H27" s="43" t="s">
        <v>107</v>
      </c>
      <c r="I27" s="47" t="s">
        <v>178</v>
      </c>
      <c r="J27" s="40" t="s">
        <v>38</v>
      </c>
      <c r="K27" s="46" t="s">
        <v>176</v>
      </c>
      <c r="L27" s="40" t="s">
        <v>20</v>
      </c>
      <c r="M27" s="189">
        <v>7500000</v>
      </c>
      <c r="N27" s="225">
        <v>0.04</v>
      </c>
      <c r="O27" s="40">
        <f>M27*N27</f>
        <v>300000</v>
      </c>
      <c r="P27" s="40">
        <v>80000</v>
      </c>
      <c r="Q27">
        <f>(O27+P27)*16.5%+5000</f>
        <v>67700</v>
      </c>
      <c r="R27" s="203">
        <f t="shared" si="7"/>
        <v>447700</v>
      </c>
      <c r="S27" s="205">
        <v>300000</v>
      </c>
      <c r="T27" s="217">
        <f t="shared" si="6"/>
        <v>147700</v>
      </c>
      <c r="U27" s="228">
        <v>1</v>
      </c>
      <c r="V27" s="40">
        <f t="shared" si="5"/>
        <v>37500</v>
      </c>
      <c r="W27" s="40" t="s">
        <v>150</v>
      </c>
      <c r="X27" s="43" t="s">
        <v>151</v>
      </c>
      <c r="Y27" s="45" t="s">
        <v>177</v>
      </c>
      <c r="Z27" s="44"/>
      <c r="AB27" s="40" t="s">
        <v>119</v>
      </c>
    </row>
    <row r="28" spans="1:28" s="40" customFormat="1" x14ac:dyDescent="0.3">
      <c r="A28" s="53" t="s">
        <v>190</v>
      </c>
      <c r="B28" s="39" t="s">
        <v>179</v>
      </c>
      <c r="C28" s="180">
        <v>44284</v>
      </c>
      <c r="D28" s="44">
        <v>44344</v>
      </c>
      <c r="E28" s="42">
        <v>44648</v>
      </c>
      <c r="F28" s="40" t="s">
        <v>180</v>
      </c>
      <c r="G28" s="40" t="s">
        <v>180</v>
      </c>
      <c r="H28" s="43" t="s">
        <v>183</v>
      </c>
      <c r="I28" s="40" t="s">
        <v>181</v>
      </c>
      <c r="J28" s="40" t="s">
        <v>38</v>
      </c>
      <c r="K28" s="46" t="s">
        <v>182</v>
      </c>
      <c r="L28" s="40" t="s">
        <v>20</v>
      </c>
      <c r="M28" s="189">
        <v>6000000</v>
      </c>
      <c r="N28" s="225">
        <v>0.04</v>
      </c>
      <c r="O28" s="40">
        <f>M28*N28</f>
        <v>240000</v>
      </c>
      <c r="P28" s="40">
        <v>0</v>
      </c>
      <c r="Q28">
        <f>(O28+P28)*16.5%+5000</f>
        <v>44600</v>
      </c>
      <c r="R28" s="203">
        <f t="shared" si="7"/>
        <v>284600</v>
      </c>
      <c r="S28" s="205">
        <v>284600</v>
      </c>
      <c r="T28" s="217">
        <f t="shared" si="6"/>
        <v>0</v>
      </c>
      <c r="U28" s="228">
        <v>1</v>
      </c>
      <c r="V28" s="40">
        <f t="shared" si="5"/>
        <v>30000</v>
      </c>
      <c r="W28" s="40" t="s">
        <v>23</v>
      </c>
      <c r="X28" s="8" t="s">
        <v>113</v>
      </c>
      <c r="Y28" s="45"/>
      <c r="Z28" s="44"/>
    </row>
    <row r="29" spans="1:28" s="40" customFormat="1" x14ac:dyDescent="0.3">
      <c r="A29" s="51" t="s">
        <v>189</v>
      </c>
      <c r="B29" s="39" t="s">
        <v>184</v>
      </c>
      <c r="C29" s="180">
        <v>44285</v>
      </c>
      <c r="D29" s="44">
        <v>44376</v>
      </c>
      <c r="E29" s="42">
        <v>44649</v>
      </c>
      <c r="F29" s="40" t="s">
        <v>58</v>
      </c>
      <c r="G29" s="40" t="s">
        <v>58</v>
      </c>
      <c r="H29" s="8" t="s">
        <v>160</v>
      </c>
      <c r="I29" s="40" t="s">
        <v>185</v>
      </c>
      <c r="J29" s="40" t="s">
        <v>38</v>
      </c>
      <c r="K29" s="46" t="s">
        <v>186</v>
      </c>
      <c r="L29" s="40" t="s">
        <v>20</v>
      </c>
      <c r="M29" s="189">
        <v>15000000</v>
      </c>
      <c r="N29" s="225">
        <v>4.4999999999999998E-2</v>
      </c>
      <c r="O29" s="40">
        <f>M29*N29</f>
        <v>675000</v>
      </c>
      <c r="P29" s="40">
        <v>0</v>
      </c>
      <c r="Q29">
        <f>(O29+P29)*16.5%+5000</f>
        <v>116375</v>
      </c>
      <c r="R29" s="203">
        <f t="shared" si="7"/>
        <v>791375</v>
      </c>
      <c r="S29" s="205">
        <f>271375+520000</f>
        <v>791375</v>
      </c>
      <c r="T29" s="217">
        <f t="shared" si="6"/>
        <v>0</v>
      </c>
      <c r="U29" s="228">
        <v>1</v>
      </c>
      <c r="V29" s="40">
        <f t="shared" si="5"/>
        <v>84375</v>
      </c>
      <c r="W29" s="40" t="s">
        <v>187</v>
      </c>
      <c r="X29" s="43"/>
      <c r="Y29" s="45"/>
      <c r="Z29" s="44"/>
    </row>
    <row r="30" spans="1:28" s="40" customFormat="1" x14ac:dyDescent="0.3">
      <c r="A30" s="54" t="s">
        <v>190</v>
      </c>
      <c r="B30" s="48" t="s">
        <v>192</v>
      </c>
      <c r="C30" s="180">
        <v>44300</v>
      </c>
      <c r="D30" s="44"/>
      <c r="E30" s="42">
        <v>44664</v>
      </c>
      <c r="F30" s="40" t="s">
        <v>193</v>
      </c>
      <c r="G30" s="40" t="s">
        <v>193</v>
      </c>
      <c r="H30" s="8" t="s">
        <v>194</v>
      </c>
      <c r="I30" s="40" t="s">
        <v>195</v>
      </c>
      <c r="J30" s="40" t="s">
        <v>38</v>
      </c>
      <c r="K30" s="46" t="s">
        <v>182</v>
      </c>
      <c r="L30" s="40" t="s">
        <v>20</v>
      </c>
      <c r="M30" s="189">
        <v>6000000</v>
      </c>
      <c r="N30" s="225">
        <v>0.05</v>
      </c>
      <c r="O30" s="40">
        <f>M30*N30</f>
        <v>300000</v>
      </c>
      <c r="P30" s="40">
        <v>0</v>
      </c>
      <c r="Q30">
        <f>(O30+P30)*16.5%+5000</f>
        <v>54500</v>
      </c>
      <c r="R30" s="203">
        <f t="shared" si="7"/>
        <v>354500</v>
      </c>
      <c r="S30" s="205">
        <f>238000+116500</f>
        <v>354500</v>
      </c>
      <c r="T30" s="217">
        <f t="shared" si="6"/>
        <v>0</v>
      </c>
      <c r="U30" s="228">
        <v>1</v>
      </c>
      <c r="V30" s="40">
        <f t="shared" si="5"/>
        <v>37500</v>
      </c>
      <c r="W30" s="40" t="s">
        <v>150</v>
      </c>
      <c r="X30" s="43" t="s">
        <v>151</v>
      </c>
      <c r="Y30" s="45" t="s">
        <v>196</v>
      </c>
      <c r="Z30" s="44"/>
    </row>
    <row r="31" spans="1:28" s="40" customFormat="1" x14ac:dyDescent="0.3">
      <c r="A31" s="50" t="s">
        <v>189</v>
      </c>
      <c r="B31" s="39" t="s">
        <v>197</v>
      </c>
      <c r="C31" s="180">
        <v>44303</v>
      </c>
      <c r="D31" s="44">
        <v>44393</v>
      </c>
      <c r="E31" s="42">
        <v>44667</v>
      </c>
      <c r="F31" s="40" t="s">
        <v>198</v>
      </c>
      <c r="G31" s="40" t="s">
        <v>391</v>
      </c>
      <c r="H31" s="8" t="s">
        <v>199</v>
      </c>
      <c r="I31" s="56" t="s">
        <v>200</v>
      </c>
      <c r="J31" s="40" t="s">
        <v>38</v>
      </c>
      <c r="K31" s="46" t="s">
        <v>94</v>
      </c>
      <c r="L31" s="40" t="s">
        <v>62</v>
      </c>
      <c r="M31" s="189">
        <v>0</v>
      </c>
      <c r="N31" s="225">
        <v>0</v>
      </c>
      <c r="O31" s="40">
        <v>60000</v>
      </c>
      <c r="Q31">
        <f>(O31+P31)*16.5%+5000</f>
        <v>14900</v>
      </c>
      <c r="R31" s="203">
        <f t="shared" si="7"/>
        <v>74900</v>
      </c>
      <c r="S31" s="205">
        <v>74900</v>
      </c>
      <c r="T31" s="217">
        <f t="shared" si="6"/>
        <v>0</v>
      </c>
      <c r="U31" s="228">
        <v>1</v>
      </c>
      <c r="V31" s="40">
        <f t="shared" si="5"/>
        <v>7500</v>
      </c>
      <c r="W31" s="40" t="s">
        <v>150</v>
      </c>
      <c r="X31" s="43" t="s">
        <v>151</v>
      </c>
      <c r="Y31" s="45"/>
      <c r="Z31" s="44"/>
    </row>
    <row r="32" spans="1:28" s="40" customFormat="1" x14ac:dyDescent="0.3">
      <c r="A32" s="50" t="s">
        <v>189</v>
      </c>
      <c r="B32" s="39" t="s">
        <v>202</v>
      </c>
      <c r="C32" s="180">
        <v>44349</v>
      </c>
      <c r="D32" s="44"/>
      <c r="E32" s="42">
        <v>44713</v>
      </c>
      <c r="F32" s="40" t="s">
        <v>203</v>
      </c>
      <c r="G32" s="40" t="s">
        <v>203</v>
      </c>
      <c r="H32" s="8" t="s">
        <v>36</v>
      </c>
      <c r="I32" t="s">
        <v>37</v>
      </c>
      <c r="J32" s="1" t="s">
        <v>39</v>
      </c>
      <c r="K32" s="1" t="s">
        <v>40</v>
      </c>
      <c r="L32" s="1" t="s">
        <v>20</v>
      </c>
      <c r="M32" s="188">
        <v>2000000</v>
      </c>
      <c r="N32" s="188">
        <v>0.05</v>
      </c>
      <c r="O32" s="188">
        <f>M32*N32</f>
        <v>100000</v>
      </c>
      <c r="P32" s="188">
        <v>12000</v>
      </c>
      <c r="Q32" s="188">
        <f t="shared" ref="Q32:Q41" si="8">(O32+P32)*16.5%+5000</f>
        <v>23480</v>
      </c>
      <c r="R32" s="203">
        <f t="shared" ref="R32:R41" si="9">SUM(O32:Q32)</f>
        <v>135480</v>
      </c>
      <c r="S32" s="205">
        <v>135480</v>
      </c>
      <c r="T32" s="217">
        <f t="shared" ref="T32:T41" si="10">R32-S32</f>
        <v>0</v>
      </c>
      <c r="U32" s="228"/>
      <c r="V32" s="40">
        <f t="shared" ref="V32:V41" si="11">O32*12.5%</f>
        <v>12500</v>
      </c>
      <c r="W32" s="40" t="s">
        <v>150</v>
      </c>
      <c r="X32" s="43" t="s">
        <v>151</v>
      </c>
      <c r="Y32" s="45"/>
      <c r="Z32" s="44"/>
    </row>
    <row r="33" spans="1:26" s="40" customFormat="1" x14ac:dyDescent="0.3">
      <c r="A33" s="50" t="s">
        <v>189</v>
      </c>
      <c r="B33" s="39" t="s">
        <v>204</v>
      </c>
      <c r="C33" s="180">
        <v>44350</v>
      </c>
      <c r="D33" s="44">
        <v>44441</v>
      </c>
      <c r="E33" s="42">
        <v>44714</v>
      </c>
      <c r="F33" s="40" t="s">
        <v>205</v>
      </c>
      <c r="G33" s="40" t="s">
        <v>205</v>
      </c>
      <c r="H33" s="8" t="s">
        <v>206</v>
      </c>
      <c r="I33" s="40" t="s">
        <v>207</v>
      </c>
      <c r="J33" s="40" t="s">
        <v>38</v>
      </c>
      <c r="K33" s="46" t="s">
        <v>208</v>
      </c>
      <c r="L33" s="40" t="s">
        <v>20</v>
      </c>
      <c r="M33" s="189">
        <v>2000000</v>
      </c>
      <c r="N33" s="225">
        <v>0.05</v>
      </c>
      <c r="O33" s="188">
        <f>M33*N33</f>
        <v>100000</v>
      </c>
      <c r="P33" s="188">
        <v>0</v>
      </c>
      <c r="Q33" s="188">
        <f t="shared" si="8"/>
        <v>21500</v>
      </c>
      <c r="R33" s="203">
        <f t="shared" si="9"/>
        <v>121500</v>
      </c>
      <c r="S33" s="205">
        <v>121500</v>
      </c>
      <c r="T33" s="217">
        <f t="shared" si="10"/>
        <v>0</v>
      </c>
      <c r="U33" s="228"/>
      <c r="V33" s="40">
        <f t="shared" si="11"/>
        <v>12500</v>
      </c>
      <c r="W33" s="40" t="s">
        <v>150</v>
      </c>
      <c r="X33" s="43" t="s">
        <v>151</v>
      </c>
      <c r="Y33" s="45"/>
      <c r="Z33" s="44"/>
    </row>
    <row r="34" spans="1:26" s="40" customFormat="1" x14ac:dyDescent="0.3">
      <c r="A34" s="50" t="s">
        <v>189</v>
      </c>
      <c r="B34" s="39" t="s">
        <v>209</v>
      </c>
      <c r="C34" s="180">
        <v>44361</v>
      </c>
      <c r="D34" s="44">
        <v>44452</v>
      </c>
      <c r="E34" s="42">
        <v>44725</v>
      </c>
      <c r="F34" s="40" t="s">
        <v>210</v>
      </c>
      <c r="G34" s="40" t="s">
        <v>390</v>
      </c>
      <c r="H34" s="8" t="s">
        <v>211</v>
      </c>
      <c r="I34" s="40" t="s">
        <v>212</v>
      </c>
      <c r="J34" s="40" t="s">
        <v>38</v>
      </c>
      <c r="K34" s="46" t="s">
        <v>19</v>
      </c>
      <c r="L34" s="40" t="s">
        <v>20</v>
      </c>
      <c r="M34" s="189">
        <v>2800000</v>
      </c>
      <c r="N34" s="225">
        <v>0.05</v>
      </c>
      <c r="O34" s="188">
        <f>M34*N34</f>
        <v>140000</v>
      </c>
      <c r="P34" s="188">
        <v>0</v>
      </c>
      <c r="Q34" s="188">
        <f t="shared" si="8"/>
        <v>28100</v>
      </c>
      <c r="R34" s="203">
        <f t="shared" si="9"/>
        <v>168100</v>
      </c>
      <c r="S34" s="205">
        <v>168000</v>
      </c>
      <c r="T34" s="217">
        <f t="shared" si="10"/>
        <v>100</v>
      </c>
      <c r="U34" s="228"/>
      <c r="V34" s="40">
        <f t="shared" si="11"/>
        <v>17500</v>
      </c>
      <c r="W34" s="40" t="s">
        <v>150</v>
      </c>
      <c r="X34" s="43" t="s">
        <v>151</v>
      </c>
      <c r="Y34" s="45"/>
      <c r="Z34" s="44"/>
    </row>
    <row r="35" spans="1:26" s="40" customFormat="1" x14ac:dyDescent="0.3">
      <c r="A35" s="49" t="s">
        <v>191</v>
      </c>
      <c r="B35" s="39" t="s">
        <v>219</v>
      </c>
      <c r="C35" s="180">
        <v>44365</v>
      </c>
      <c r="D35" s="44">
        <v>44456</v>
      </c>
      <c r="E35" s="42">
        <v>44729</v>
      </c>
      <c r="F35" s="40" t="s">
        <v>220</v>
      </c>
      <c r="G35" s="40" t="s">
        <v>220</v>
      </c>
      <c r="H35" s="8" t="s">
        <v>221</v>
      </c>
      <c r="I35" s="40" t="s">
        <v>223</v>
      </c>
      <c r="J35" s="40" t="s">
        <v>38</v>
      </c>
      <c r="K35" s="46" t="s">
        <v>224</v>
      </c>
      <c r="L35" s="40" t="s">
        <v>62</v>
      </c>
      <c r="M35" s="189"/>
      <c r="N35" s="225">
        <v>0</v>
      </c>
      <c r="O35" s="188">
        <v>100000</v>
      </c>
      <c r="P35" s="188">
        <v>0</v>
      </c>
      <c r="Q35" s="188">
        <f t="shared" si="8"/>
        <v>21500</v>
      </c>
      <c r="R35" s="203">
        <f t="shared" si="9"/>
        <v>121500</v>
      </c>
      <c r="S35" s="205">
        <v>121500</v>
      </c>
      <c r="T35" s="217">
        <f t="shared" si="10"/>
        <v>0</v>
      </c>
      <c r="U35" s="228"/>
      <c r="V35" s="40">
        <f t="shared" si="11"/>
        <v>12500</v>
      </c>
      <c r="W35" s="40" t="s">
        <v>218</v>
      </c>
      <c r="X35" s="43" t="s">
        <v>225</v>
      </c>
      <c r="Y35" s="45"/>
      <c r="Z35" s="44"/>
    </row>
    <row r="36" spans="1:26" s="40" customFormat="1" x14ac:dyDescent="0.3">
      <c r="A36" s="75" t="s">
        <v>189</v>
      </c>
      <c r="B36" s="39" t="s">
        <v>204</v>
      </c>
      <c r="C36" s="180">
        <v>44365</v>
      </c>
      <c r="D36" s="44"/>
      <c r="E36" s="42">
        <v>44729</v>
      </c>
      <c r="F36" s="40" t="s">
        <v>205</v>
      </c>
      <c r="G36" s="40" t="s">
        <v>205</v>
      </c>
      <c r="H36" s="8" t="s">
        <v>206</v>
      </c>
      <c r="I36" s="40" t="s">
        <v>271</v>
      </c>
      <c r="J36" s="40" t="s">
        <v>38</v>
      </c>
      <c r="K36" s="46" t="s">
        <v>272</v>
      </c>
      <c r="L36" s="40" t="s">
        <v>62</v>
      </c>
      <c r="M36" s="189">
        <v>0</v>
      </c>
      <c r="N36" s="225">
        <v>0</v>
      </c>
      <c r="O36" s="188">
        <v>60000</v>
      </c>
      <c r="P36" s="188">
        <v>0</v>
      </c>
      <c r="Q36" s="188">
        <f t="shared" si="8"/>
        <v>14900</v>
      </c>
      <c r="R36" s="203">
        <f t="shared" si="9"/>
        <v>74900</v>
      </c>
      <c r="S36" s="205">
        <v>74900</v>
      </c>
      <c r="T36" s="217">
        <f t="shared" si="10"/>
        <v>0</v>
      </c>
      <c r="U36" s="228">
        <v>2</v>
      </c>
      <c r="V36" s="40">
        <f t="shared" si="11"/>
        <v>7500</v>
      </c>
      <c r="W36" s="40" t="s">
        <v>218</v>
      </c>
      <c r="X36" s="43" t="s">
        <v>225</v>
      </c>
      <c r="Y36" s="45"/>
      <c r="Z36" s="44"/>
    </row>
    <row r="37" spans="1:26" s="40" customFormat="1" x14ac:dyDescent="0.3">
      <c r="A37" s="50" t="s">
        <v>189</v>
      </c>
      <c r="B37" s="39" t="s">
        <v>234</v>
      </c>
      <c r="C37" s="180">
        <v>44369</v>
      </c>
      <c r="D37" s="44">
        <v>44460</v>
      </c>
      <c r="E37" s="42">
        <v>44733</v>
      </c>
      <c r="F37" s="40" t="s">
        <v>235</v>
      </c>
      <c r="G37" s="40" t="s">
        <v>392</v>
      </c>
      <c r="H37" s="8" t="s">
        <v>231</v>
      </c>
      <c r="I37" s="40" t="s">
        <v>236</v>
      </c>
      <c r="J37" s="40" t="s">
        <v>38</v>
      </c>
      <c r="K37" s="46" t="s">
        <v>238</v>
      </c>
      <c r="L37" s="40" t="s">
        <v>20</v>
      </c>
      <c r="M37" s="189">
        <v>2500000</v>
      </c>
      <c r="N37" s="225">
        <v>4.4999999999999998E-2</v>
      </c>
      <c r="O37" s="188">
        <f>M37*N37</f>
        <v>112500</v>
      </c>
      <c r="P37" s="188"/>
      <c r="Q37" s="188">
        <f t="shared" si="8"/>
        <v>23562.5</v>
      </c>
      <c r="R37" s="203">
        <f t="shared" si="9"/>
        <v>136062.5</v>
      </c>
      <c r="S37" s="205">
        <v>0</v>
      </c>
      <c r="T37" s="217">
        <f t="shared" si="10"/>
        <v>136062.5</v>
      </c>
      <c r="U37" s="228"/>
      <c r="V37" s="40">
        <f t="shared" si="11"/>
        <v>14062.5</v>
      </c>
      <c r="W37" s="40" t="s">
        <v>218</v>
      </c>
      <c r="X37" s="43" t="s">
        <v>225</v>
      </c>
      <c r="Y37" s="45"/>
      <c r="Z37" s="44"/>
    </row>
    <row r="38" spans="1:26" s="40" customFormat="1" x14ac:dyDescent="0.3">
      <c r="A38" s="50" t="s">
        <v>189</v>
      </c>
      <c r="B38" s="39" t="s">
        <v>234</v>
      </c>
      <c r="C38" s="180">
        <v>44369</v>
      </c>
      <c r="D38" s="44">
        <v>44460</v>
      </c>
      <c r="E38" s="42">
        <v>44733</v>
      </c>
      <c r="F38" s="40" t="s">
        <v>235</v>
      </c>
      <c r="G38" s="40" t="s">
        <v>392</v>
      </c>
      <c r="H38" s="8" t="s">
        <v>231</v>
      </c>
      <c r="I38" s="40" t="s">
        <v>237</v>
      </c>
      <c r="J38" s="40" t="s">
        <v>38</v>
      </c>
      <c r="K38" s="46" t="s">
        <v>76</v>
      </c>
      <c r="L38" s="40" t="s">
        <v>20</v>
      </c>
      <c r="M38" s="189">
        <v>6000000</v>
      </c>
      <c r="N38" s="225">
        <v>4.4999999999999998E-2</v>
      </c>
      <c r="O38" s="188">
        <f>M38*N38</f>
        <v>270000</v>
      </c>
      <c r="P38" s="188"/>
      <c r="Q38" s="188">
        <f t="shared" si="8"/>
        <v>49550</v>
      </c>
      <c r="R38" s="203">
        <f t="shared" si="9"/>
        <v>319550</v>
      </c>
      <c r="S38" s="205">
        <v>0</v>
      </c>
      <c r="T38" s="217">
        <f t="shared" si="10"/>
        <v>319550</v>
      </c>
      <c r="U38" s="228"/>
      <c r="V38" s="40">
        <f t="shared" si="11"/>
        <v>33750</v>
      </c>
      <c r="W38" s="40" t="s">
        <v>218</v>
      </c>
      <c r="X38" s="43" t="s">
        <v>225</v>
      </c>
      <c r="Y38" s="45"/>
      <c r="Z38" s="44"/>
    </row>
    <row r="39" spans="1:26" s="40" customFormat="1" x14ac:dyDescent="0.3">
      <c r="A39" s="50" t="s">
        <v>189</v>
      </c>
      <c r="B39" s="39" t="s">
        <v>226</v>
      </c>
      <c r="C39" s="180">
        <v>44372</v>
      </c>
      <c r="D39" s="44">
        <v>44566</v>
      </c>
      <c r="E39" s="42">
        <v>44736</v>
      </c>
      <c r="F39" s="40" t="s">
        <v>227</v>
      </c>
      <c r="G39" s="40" t="s">
        <v>397</v>
      </c>
      <c r="H39" s="8" t="s">
        <v>228</v>
      </c>
      <c r="I39" s="40" t="s">
        <v>229</v>
      </c>
      <c r="J39" s="40" t="s">
        <v>38</v>
      </c>
      <c r="K39" s="46" t="s">
        <v>158</v>
      </c>
      <c r="L39" s="40" t="s">
        <v>20</v>
      </c>
      <c r="M39" s="189">
        <v>6000000</v>
      </c>
      <c r="N39" s="225">
        <v>4.4999999999999998E-2</v>
      </c>
      <c r="O39" s="188">
        <f>M39*N39</f>
        <v>270000</v>
      </c>
      <c r="P39" s="188"/>
      <c r="Q39" s="188">
        <f t="shared" si="8"/>
        <v>49550</v>
      </c>
      <c r="R39" s="203">
        <f t="shared" si="9"/>
        <v>319550</v>
      </c>
      <c r="S39" s="205">
        <v>150000</v>
      </c>
      <c r="T39" s="217">
        <f t="shared" si="10"/>
        <v>169550</v>
      </c>
      <c r="U39" s="228"/>
      <c r="V39" s="40">
        <f t="shared" si="11"/>
        <v>33750</v>
      </c>
      <c r="W39" s="40" t="s">
        <v>218</v>
      </c>
      <c r="X39" s="43" t="s">
        <v>225</v>
      </c>
      <c r="Y39" s="45"/>
      <c r="Z39" s="44"/>
    </row>
    <row r="40" spans="1:26" s="40" customFormat="1" x14ac:dyDescent="0.3">
      <c r="A40" s="50" t="s">
        <v>189</v>
      </c>
      <c r="B40" s="39" t="s">
        <v>226</v>
      </c>
      <c r="C40" s="180">
        <v>44372</v>
      </c>
      <c r="D40" s="44">
        <v>44566</v>
      </c>
      <c r="E40" s="42">
        <v>44736</v>
      </c>
      <c r="F40" s="40" t="s">
        <v>230</v>
      </c>
      <c r="G40" s="40" t="s">
        <v>230</v>
      </c>
      <c r="H40" s="8" t="s">
        <v>231</v>
      </c>
      <c r="I40" s="40" t="s">
        <v>232</v>
      </c>
      <c r="J40" s="40" t="s">
        <v>38</v>
      </c>
      <c r="K40" s="46" t="s">
        <v>233</v>
      </c>
      <c r="L40" s="40" t="s">
        <v>20</v>
      </c>
      <c r="M40" s="189">
        <v>6000000</v>
      </c>
      <c r="N40" s="225">
        <v>4.4999999999999998E-2</v>
      </c>
      <c r="O40" s="188">
        <f>M40*N40</f>
        <v>270000</v>
      </c>
      <c r="P40" s="188">
        <v>0</v>
      </c>
      <c r="Q40" s="188">
        <f t="shared" si="8"/>
        <v>49550</v>
      </c>
      <c r="R40" s="203">
        <f t="shared" si="9"/>
        <v>319550</v>
      </c>
      <c r="S40" s="205">
        <v>150000</v>
      </c>
      <c r="T40" s="217">
        <f t="shared" si="10"/>
        <v>169550</v>
      </c>
      <c r="U40" s="228"/>
      <c r="V40" s="40">
        <f t="shared" si="11"/>
        <v>33750</v>
      </c>
      <c r="W40" s="40" t="s">
        <v>218</v>
      </c>
      <c r="X40" s="43" t="s">
        <v>225</v>
      </c>
      <c r="Y40" s="45"/>
      <c r="Z40" s="44"/>
    </row>
    <row r="41" spans="1:26" s="40" customFormat="1" x14ac:dyDescent="0.3">
      <c r="A41" s="50" t="s">
        <v>189</v>
      </c>
      <c r="B41" s="39" t="s">
        <v>213</v>
      </c>
      <c r="C41" s="180">
        <v>44372</v>
      </c>
      <c r="D41" s="44">
        <v>44828</v>
      </c>
      <c r="E41" s="42">
        <v>44736</v>
      </c>
      <c r="F41" s="40" t="s">
        <v>214</v>
      </c>
      <c r="G41" s="40" t="s">
        <v>214</v>
      </c>
      <c r="H41" s="8" t="s">
        <v>222</v>
      </c>
      <c r="I41" s="40" t="s">
        <v>215</v>
      </c>
      <c r="J41" s="40" t="s">
        <v>38</v>
      </c>
      <c r="K41" s="46" t="s">
        <v>216</v>
      </c>
      <c r="L41" s="40" t="s">
        <v>217</v>
      </c>
      <c r="M41" s="189">
        <v>3700000</v>
      </c>
      <c r="N41" s="225">
        <v>0</v>
      </c>
      <c r="O41" s="188">
        <v>60000</v>
      </c>
      <c r="P41" s="188">
        <v>0</v>
      </c>
      <c r="Q41" s="188">
        <f t="shared" si="8"/>
        <v>14900</v>
      </c>
      <c r="R41" s="203">
        <f t="shared" si="9"/>
        <v>74900</v>
      </c>
      <c r="S41" s="205">
        <v>74900</v>
      </c>
      <c r="T41" s="217">
        <f t="shared" si="10"/>
        <v>0</v>
      </c>
      <c r="U41" s="228"/>
      <c r="V41" s="40">
        <f t="shared" si="11"/>
        <v>7500</v>
      </c>
      <c r="W41" s="40" t="s">
        <v>218</v>
      </c>
      <c r="X41" s="43" t="s">
        <v>225</v>
      </c>
      <c r="Y41" s="45"/>
      <c r="Z41" s="44"/>
    </row>
    <row r="42" spans="1:26" s="40" customFormat="1" x14ac:dyDescent="0.3">
      <c r="A42" s="50" t="s">
        <v>189</v>
      </c>
      <c r="B42" s="39" t="s">
        <v>50</v>
      </c>
      <c r="C42" s="180">
        <v>44391</v>
      </c>
      <c r="D42" s="44">
        <v>44482</v>
      </c>
      <c r="E42" s="42">
        <v>44754</v>
      </c>
      <c r="F42" s="40" t="s">
        <v>51</v>
      </c>
      <c r="G42" s="40" t="s">
        <v>51</v>
      </c>
      <c r="H42" s="8" t="s">
        <v>239</v>
      </c>
      <c r="I42" s="40" t="s">
        <v>240</v>
      </c>
      <c r="J42" s="40" t="s">
        <v>38</v>
      </c>
      <c r="K42" s="46" t="s">
        <v>241</v>
      </c>
      <c r="L42" s="40" t="s">
        <v>20</v>
      </c>
      <c r="M42" s="189">
        <v>10000000</v>
      </c>
      <c r="N42" s="225">
        <v>4.4999999999999998E-2</v>
      </c>
      <c r="O42" s="188">
        <f>M42*N42</f>
        <v>450000</v>
      </c>
      <c r="P42" s="188">
        <v>0</v>
      </c>
      <c r="Q42" s="188">
        <f t="shared" ref="Q42:Q47" si="12">(O42+P42)*16.5%+5000</f>
        <v>79250</v>
      </c>
      <c r="R42" s="203">
        <f t="shared" ref="R42:R47" si="13">SUM(O42:Q42)</f>
        <v>529250</v>
      </c>
      <c r="S42" s="205">
        <v>267200</v>
      </c>
      <c r="T42" s="217">
        <f t="shared" ref="T42:T47" si="14">R42-S42</f>
        <v>262050</v>
      </c>
      <c r="U42" s="228"/>
      <c r="V42" s="40">
        <f t="shared" ref="V42:V47" si="15">O42*12.5%</f>
        <v>56250</v>
      </c>
      <c r="W42" s="40" t="s">
        <v>242</v>
      </c>
      <c r="X42" s="43"/>
      <c r="Y42" s="45"/>
      <c r="Z42" s="44"/>
    </row>
    <row r="43" spans="1:26" s="40" customFormat="1" x14ac:dyDescent="0.3">
      <c r="A43" s="50" t="s">
        <v>189</v>
      </c>
      <c r="B43" s="39" t="s">
        <v>243</v>
      </c>
      <c r="C43" s="180">
        <v>44393</v>
      </c>
      <c r="D43" s="44"/>
      <c r="E43" s="42">
        <v>44757</v>
      </c>
      <c r="F43" s="40" t="s">
        <v>244</v>
      </c>
      <c r="G43" s="40" t="s">
        <v>244</v>
      </c>
      <c r="H43" s="8" t="s">
        <v>160</v>
      </c>
      <c r="I43" s="40" t="s">
        <v>245</v>
      </c>
      <c r="J43" s="40" t="s">
        <v>38</v>
      </c>
      <c r="K43" s="46" t="s">
        <v>61</v>
      </c>
      <c r="L43" s="40" t="s">
        <v>246</v>
      </c>
      <c r="M43" s="189" t="s">
        <v>247</v>
      </c>
      <c r="N43" s="225"/>
      <c r="O43" s="188">
        <v>60000</v>
      </c>
      <c r="P43" s="188"/>
      <c r="Q43" s="188">
        <f t="shared" si="12"/>
        <v>14900</v>
      </c>
      <c r="R43" s="203">
        <f t="shared" si="13"/>
        <v>74900</v>
      </c>
      <c r="S43" s="205">
        <v>74900</v>
      </c>
      <c r="T43" s="217">
        <f t="shared" si="14"/>
        <v>0</v>
      </c>
      <c r="U43" s="228"/>
      <c r="V43" s="40">
        <f t="shared" si="15"/>
        <v>7500</v>
      </c>
      <c r="W43" s="40" t="s">
        <v>150</v>
      </c>
      <c r="X43" s="43" t="s">
        <v>151</v>
      </c>
      <c r="Y43" s="45"/>
      <c r="Z43" s="44"/>
    </row>
    <row r="44" spans="1:26" s="40" customFormat="1" x14ac:dyDescent="0.3">
      <c r="A44" s="50" t="s">
        <v>189</v>
      </c>
      <c r="B44" s="39" t="s">
        <v>197</v>
      </c>
      <c r="C44" s="180">
        <v>44394</v>
      </c>
      <c r="D44" s="44"/>
      <c r="E44" s="42">
        <v>44667</v>
      </c>
      <c r="F44" s="40" t="s">
        <v>198</v>
      </c>
      <c r="G44" s="40" t="s">
        <v>391</v>
      </c>
      <c r="H44" s="8" t="s">
        <v>199</v>
      </c>
      <c r="I44" s="40" t="s">
        <v>200</v>
      </c>
      <c r="J44" s="40" t="s">
        <v>38</v>
      </c>
      <c r="K44" s="46" t="s">
        <v>248</v>
      </c>
      <c r="L44" s="40" t="s">
        <v>249</v>
      </c>
      <c r="M44" s="189" t="s">
        <v>247</v>
      </c>
      <c r="N44" s="225"/>
      <c r="O44" s="188">
        <v>60000</v>
      </c>
      <c r="P44" s="188"/>
      <c r="Q44" s="188">
        <f t="shared" si="12"/>
        <v>14900</v>
      </c>
      <c r="R44" s="203">
        <f t="shared" si="13"/>
        <v>74900</v>
      </c>
      <c r="S44" s="205">
        <v>74900</v>
      </c>
      <c r="T44" s="217">
        <f t="shared" si="14"/>
        <v>0</v>
      </c>
      <c r="U44" s="228"/>
      <c r="V44" s="40">
        <f t="shared" si="15"/>
        <v>7500</v>
      </c>
      <c r="W44" s="40" t="s">
        <v>150</v>
      </c>
      <c r="X44" s="43" t="s">
        <v>151</v>
      </c>
      <c r="Y44" s="45"/>
      <c r="Z44" s="44"/>
    </row>
    <row r="45" spans="1:26" s="40" customFormat="1" x14ac:dyDescent="0.3">
      <c r="A45" s="50" t="s">
        <v>189</v>
      </c>
      <c r="B45" s="39" t="s">
        <v>250</v>
      </c>
      <c r="C45" s="180">
        <v>44401</v>
      </c>
      <c r="D45" s="44"/>
      <c r="E45" s="42">
        <v>44765</v>
      </c>
      <c r="F45" s="40" t="s">
        <v>66</v>
      </c>
      <c r="G45" s="40" t="s">
        <v>66</v>
      </c>
      <c r="H45" s="8" t="s">
        <v>255</v>
      </c>
      <c r="I45" s="40" t="s">
        <v>251</v>
      </c>
      <c r="J45" s="40" t="s">
        <v>38</v>
      </c>
      <c r="K45" s="46" t="s">
        <v>252</v>
      </c>
      <c r="L45" s="40" t="s">
        <v>20</v>
      </c>
      <c r="M45" s="189">
        <v>15000000</v>
      </c>
      <c r="N45" s="225">
        <v>0.04</v>
      </c>
      <c r="O45" s="188">
        <f>M45*N45</f>
        <v>600000</v>
      </c>
      <c r="P45" s="188"/>
      <c r="Q45" s="188">
        <f t="shared" si="12"/>
        <v>104000</v>
      </c>
      <c r="R45" s="203">
        <f t="shared" si="13"/>
        <v>704000</v>
      </c>
      <c r="S45" s="205">
        <f>354500+ 349500</f>
        <v>704000</v>
      </c>
      <c r="T45" s="217">
        <f t="shared" si="14"/>
        <v>0</v>
      </c>
      <c r="U45" s="228"/>
      <c r="V45" s="40">
        <f t="shared" si="15"/>
        <v>75000</v>
      </c>
      <c r="W45" s="40" t="s">
        <v>263</v>
      </c>
      <c r="X45" s="43"/>
      <c r="Y45" s="45"/>
      <c r="Z45" s="44"/>
    </row>
    <row r="46" spans="1:26" s="40" customFormat="1" x14ac:dyDescent="0.3">
      <c r="A46" s="50" t="s">
        <v>189</v>
      </c>
      <c r="B46" s="39" t="s">
        <v>264</v>
      </c>
      <c r="C46" s="180">
        <v>44404</v>
      </c>
      <c r="D46" s="44"/>
      <c r="E46" s="42">
        <v>44768</v>
      </c>
      <c r="F46" s="40" t="s">
        <v>267</v>
      </c>
      <c r="G46" s="40" t="s">
        <v>346</v>
      </c>
      <c r="H46" s="8"/>
      <c r="I46" s="40" t="s">
        <v>265</v>
      </c>
      <c r="J46" s="40" t="s">
        <v>38</v>
      </c>
      <c r="K46" s="46" t="s">
        <v>266</v>
      </c>
      <c r="L46" s="40" t="s">
        <v>246</v>
      </c>
      <c r="M46" s="189"/>
      <c r="N46" s="225"/>
      <c r="O46" s="188">
        <v>60000</v>
      </c>
      <c r="P46" s="188"/>
      <c r="Q46" s="188">
        <f t="shared" si="12"/>
        <v>14900</v>
      </c>
      <c r="R46" s="203">
        <f t="shared" si="13"/>
        <v>74900</v>
      </c>
      <c r="S46" s="205">
        <v>74900</v>
      </c>
      <c r="T46" s="217">
        <f t="shared" si="14"/>
        <v>0</v>
      </c>
      <c r="U46" s="228"/>
      <c r="V46" s="40">
        <f t="shared" si="15"/>
        <v>7500</v>
      </c>
      <c r="W46" s="40" t="s">
        <v>262</v>
      </c>
      <c r="X46" s="43" t="s">
        <v>225</v>
      </c>
      <c r="Y46" s="45"/>
      <c r="Z46" s="44"/>
    </row>
    <row r="47" spans="1:26" s="40" customFormat="1" x14ac:dyDescent="0.3">
      <c r="A47" s="50" t="s">
        <v>189</v>
      </c>
      <c r="B47" s="39" t="s">
        <v>253</v>
      </c>
      <c r="C47" s="180">
        <v>44408</v>
      </c>
      <c r="D47" s="44"/>
      <c r="E47" s="42">
        <v>44772</v>
      </c>
      <c r="F47" s="40" t="s">
        <v>254</v>
      </c>
      <c r="G47" s="40" t="s">
        <v>435</v>
      </c>
      <c r="H47" s="8"/>
      <c r="I47" s="40" t="s">
        <v>256</v>
      </c>
      <c r="J47" s="40" t="s">
        <v>38</v>
      </c>
      <c r="K47" s="46" t="s">
        <v>257</v>
      </c>
      <c r="L47" s="40" t="s">
        <v>246</v>
      </c>
      <c r="M47" s="189"/>
      <c r="N47" s="225"/>
      <c r="O47" s="188">
        <v>75000</v>
      </c>
      <c r="P47" s="188"/>
      <c r="Q47" s="188">
        <f t="shared" si="12"/>
        <v>17375</v>
      </c>
      <c r="R47" s="203">
        <f t="shared" si="13"/>
        <v>92375</v>
      </c>
      <c r="S47" s="205">
        <v>92375</v>
      </c>
      <c r="T47" s="217">
        <f t="shared" si="14"/>
        <v>0</v>
      </c>
      <c r="U47" s="228"/>
      <c r="V47" s="40">
        <f t="shared" si="15"/>
        <v>9375</v>
      </c>
      <c r="W47" s="40" t="s">
        <v>262</v>
      </c>
      <c r="X47" s="43" t="s">
        <v>225</v>
      </c>
      <c r="Y47" s="45"/>
      <c r="Z47" s="44"/>
    </row>
    <row r="48" spans="1:26" s="40" customFormat="1" x14ac:dyDescent="0.3">
      <c r="A48" s="50" t="s">
        <v>189</v>
      </c>
      <c r="B48" s="39" t="s">
        <v>77</v>
      </c>
      <c r="C48" s="180">
        <v>44413</v>
      </c>
      <c r="D48" s="44"/>
      <c r="E48" s="42">
        <v>44777</v>
      </c>
      <c r="F48" s="40" t="s">
        <v>79</v>
      </c>
      <c r="G48" s="40" t="s">
        <v>436</v>
      </c>
      <c r="H48" s="8" t="s">
        <v>80</v>
      </c>
      <c r="I48" s="40" t="s">
        <v>260</v>
      </c>
      <c r="J48" s="40" t="s">
        <v>38</v>
      </c>
      <c r="K48" s="46" t="s">
        <v>261</v>
      </c>
      <c r="L48" s="40" t="s">
        <v>20</v>
      </c>
      <c r="M48" s="189">
        <v>10000000</v>
      </c>
      <c r="N48" s="225">
        <v>4.4999999999999998E-2</v>
      </c>
      <c r="O48" s="188">
        <f>M48*N48</f>
        <v>450000</v>
      </c>
      <c r="P48" s="188"/>
      <c r="Q48" s="188">
        <f t="shared" ref="Q48:Q53" si="16">(O48+P48)*16.5%+5000</f>
        <v>79250</v>
      </c>
      <c r="R48" s="203">
        <f t="shared" ref="R48:R53" si="17">SUM(O48:Q48)</f>
        <v>529250</v>
      </c>
      <c r="S48" s="205">
        <v>424400</v>
      </c>
      <c r="T48" s="217">
        <f>R48-S48</f>
        <v>104850</v>
      </c>
      <c r="U48" s="228"/>
      <c r="V48" s="40">
        <f t="shared" ref="V48:V54" si="18">O48*12.5%</f>
        <v>56250</v>
      </c>
      <c r="W48" s="40" t="s">
        <v>262</v>
      </c>
      <c r="X48" s="43" t="s">
        <v>225</v>
      </c>
      <c r="Y48" s="45"/>
      <c r="Z48" s="44"/>
    </row>
    <row r="49" spans="1:27" s="40" customFormat="1" ht="28.8" x14ac:dyDescent="0.3">
      <c r="A49" s="50" t="s">
        <v>189</v>
      </c>
      <c r="B49" s="39" t="s">
        <v>268</v>
      </c>
      <c r="C49" s="180">
        <v>44413</v>
      </c>
      <c r="D49" s="44">
        <v>44565</v>
      </c>
      <c r="E49" s="42"/>
      <c r="F49" s="40" t="s">
        <v>84</v>
      </c>
      <c r="G49" s="40" t="s">
        <v>437</v>
      </c>
      <c r="H49" s="8" t="s">
        <v>85</v>
      </c>
      <c r="I49" s="40" t="s">
        <v>86</v>
      </c>
      <c r="J49" s="40" t="s">
        <v>38</v>
      </c>
      <c r="K49" s="46" t="s">
        <v>269</v>
      </c>
      <c r="L49" s="40" t="s">
        <v>20</v>
      </c>
      <c r="M49" s="189">
        <v>8000000</v>
      </c>
      <c r="N49" s="225">
        <v>4.4999999999999998E-2</v>
      </c>
      <c r="O49" s="188">
        <f>M49*N49</f>
        <v>360000</v>
      </c>
      <c r="P49" s="188"/>
      <c r="Q49" s="188">
        <f t="shared" si="16"/>
        <v>64400</v>
      </c>
      <c r="R49" s="203">
        <f t="shared" si="17"/>
        <v>424400</v>
      </c>
      <c r="S49" s="205">
        <f>239662+49945</f>
        <v>289607</v>
      </c>
      <c r="T49" s="217">
        <f>R49-S49</f>
        <v>134793</v>
      </c>
      <c r="U49" s="228"/>
      <c r="V49" s="40">
        <f t="shared" si="18"/>
        <v>45000</v>
      </c>
      <c r="W49" s="40" t="s">
        <v>262</v>
      </c>
      <c r="X49" s="43" t="s">
        <v>225</v>
      </c>
      <c r="Y49" s="45"/>
      <c r="Z49" s="44"/>
    </row>
    <row r="50" spans="1:27" s="40" customFormat="1" x14ac:dyDescent="0.3">
      <c r="A50" s="50" t="s">
        <v>189</v>
      </c>
      <c r="B50" s="39" t="s">
        <v>270</v>
      </c>
      <c r="C50" s="180">
        <v>44422</v>
      </c>
      <c r="D50" s="44"/>
      <c r="E50" s="42">
        <v>44786</v>
      </c>
      <c r="F50" s="40" t="s">
        <v>34</v>
      </c>
      <c r="G50" s="40" t="s">
        <v>203</v>
      </c>
      <c r="H50" s="8"/>
      <c r="I50" s="40" t="s">
        <v>93</v>
      </c>
      <c r="J50" s="40" t="s">
        <v>38</v>
      </c>
      <c r="K50" s="46" t="s">
        <v>248</v>
      </c>
      <c r="L50" s="40" t="s">
        <v>20</v>
      </c>
      <c r="M50" s="189">
        <v>2100000</v>
      </c>
      <c r="N50" s="225">
        <v>0.05</v>
      </c>
      <c r="O50" s="188">
        <f>M50*N50</f>
        <v>105000</v>
      </c>
      <c r="P50" s="188"/>
      <c r="Q50" s="188">
        <f t="shared" si="16"/>
        <v>22325</v>
      </c>
      <c r="R50" s="203">
        <f t="shared" si="17"/>
        <v>127325</v>
      </c>
      <c r="S50" s="205">
        <v>127325</v>
      </c>
      <c r="T50" s="217">
        <f t="shared" ref="T50:T54" si="19">R50-S50</f>
        <v>0</v>
      </c>
      <c r="U50" s="228"/>
      <c r="V50" s="40">
        <f t="shared" si="18"/>
        <v>13125</v>
      </c>
      <c r="W50" s="40" t="s">
        <v>262</v>
      </c>
      <c r="X50" s="43" t="s">
        <v>225</v>
      </c>
      <c r="Y50" s="45"/>
      <c r="Z50" s="44"/>
    </row>
    <row r="51" spans="1:27" s="40" customFormat="1" x14ac:dyDescent="0.3">
      <c r="A51" s="50" t="s">
        <v>189</v>
      </c>
      <c r="B51" s="39" t="s">
        <v>274</v>
      </c>
      <c r="C51" s="180">
        <v>44448</v>
      </c>
      <c r="D51" s="44"/>
      <c r="E51" s="42">
        <v>44812</v>
      </c>
      <c r="F51" s="40" t="s">
        <v>275</v>
      </c>
      <c r="G51" s="40" t="s">
        <v>438</v>
      </c>
      <c r="H51" s="8" t="s">
        <v>276</v>
      </c>
      <c r="I51" s="40" t="s">
        <v>277</v>
      </c>
      <c r="J51" s="40" t="s">
        <v>38</v>
      </c>
      <c r="K51" s="46" t="s">
        <v>278</v>
      </c>
      <c r="L51" s="40" t="s">
        <v>62</v>
      </c>
      <c r="M51" s="189">
        <v>4700000</v>
      </c>
      <c r="N51" s="225"/>
      <c r="O51" s="196">
        <v>75000</v>
      </c>
      <c r="P51" s="196">
        <v>0</v>
      </c>
      <c r="Q51" s="196">
        <f t="shared" si="16"/>
        <v>17375</v>
      </c>
      <c r="R51" s="203">
        <f t="shared" si="17"/>
        <v>92375</v>
      </c>
      <c r="S51" s="205">
        <v>92375</v>
      </c>
      <c r="T51" s="217">
        <f t="shared" si="19"/>
        <v>0</v>
      </c>
      <c r="U51" s="228"/>
      <c r="V51" s="40">
        <f t="shared" si="18"/>
        <v>9375</v>
      </c>
      <c r="W51" s="40" t="s">
        <v>262</v>
      </c>
      <c r="X51" s="43" t="s">
        <v>225</v>
      </c>
      <c r="Y51" s="45"/>
      <c r="Z51" s="44"/>
    </row>
    <row r="52" spans="1:27" s="40" customFormat="1" x14ac:dyDescent="0.3">
      <c r="A52" s="50" t="s">
        <v>189</v>
      </c>
      <c r="B52" s="39" t="s">
        <v>279</v>
      </c>
      <c r="C52" s="180">
        <v>44456</v>
      </c>
      <c r="D52" s="44"/>
      <c r="E52" s="42">
        <v>44820</v>
      </c>
      <c r="F52" s="40" t="s">
        <v>280</v>
      </c>
      <c r="G52" s="40" t="s">
        <v>439</v>
      </c>
      <c r="H52" s="8" t="s">
        <v>281</v>
      </c>
      <c r="I52" s="40" t="s">
        <v>282</v>
      </c>
      <c r="J52" s="40" t="s">
        <v>38</v>
      </c>
      <c r="K52" s="46" t="s">
        <v>104</v>
      </c>
      <c r="L52" s="40" t="s">
        <v>62</v>
      </c>
      <c r="M52" s="189"/>
      <c r="N52" s="225"/>
      <c r="O52" s="188">
        <v>60000</v>
      </c>
      <c r="P52" s="188"/>
      <c r="Q52" s="188">
        <f t="shared" si="16"/>
        <v>14900</v>
      </c>
      <c r="R52" s="203">
        <f t="shared" si="17"/>
        <v>74900</v>
      </c>
      <c r="S52" s="205">
        <f>34900+40000</f>
        <v>74900</v>
      </c>
      <c r="T52" s="217">
        <f t="shared" si="19"/>
        <v>0</v>
      </c>
      <c r="U52" s="228"/>
      <c r="V52" s="40">
        <f t="shared" si="18"/>
        <v>7500</v>
      </c>
      <c r="W52" s="40" t="s">
        <v>262</v>
      </c>
      <c r="X52" s="43" t="s">
        <v>225</v>
      </c>
      <c r="Y52" s="45"/>
      <c r="Z52" s="44"/>
    </row>
    <row r="53" spans="1:27" s="40" customFormat="1" x14ac:dyDescent="0.3">
      <c r="A53" s="50" t="s">
        <v>189</v>
      </c>
      <c r="B53" s="39" t="s">
        <v>379</v>
      </c>
      <c r="C53" s="180">
        <v>44488</v>
      </c>
      <c r="D53" s="44">
        <v>44579</v>
      </c>
      <c r="E53" s="42">
        <v>44852</v>
      </c>
      <c r="F53" s="40" t="s">
        <v>380</v>
      </c>
      <c r="G53" s="40" t="s">
        <v>380</v>
      </c>
      <c r="H53" s="8" t="s">
        <v>307</v>
      </c>
      <c r="I53" s="40" t="s">
        <v>293</v>
      </c>
      <c r="J53" s="40" t="s">
        <v>38</v>
      </c>
      <c r="K53" s="46" t="s">
        <v>294</v>
      </c>
      <c r="L53" s="40" t="s">
        <v>62</v>
      </c>
      <c r="M53" s="189">
        <v>3500000</v>
      </c>
      <c r="N53" s="225"/>
      <c r="O53" s="188">
        <v>60000</v>
      </c>
      <c r="P53" s="188"/>
      <c r="Q53" s="188">
        <f t="shared" si="16"/>
        <v>14900</v>
      </c>
      <c r="R53" s="203">
        <f t="shared" si="17"/>
        <v>74900</v>
      </c>
      <c r="S53" s="205">
        <f>(39950+14000+20950)</f>
        <v>74900</v>
      </c>
      <c r="T53" s="217">
        <f t="shared" si="19"/>
        <v>0</v>
      </c>
      <c r="U53" s="228"/>
      <c r="V53" s="40">
        <f t="shared" si="18"/>
        <v>7500</v>
      </c>
      <c r="W53" s="40" t="s">
        <v>262</v>
      </c>
      <c r="X53" s="43" t="s">
        <v>225</v>
      </c>
      <c r="Y53" s="45"/>
      <c r="Z53" s="44"/>
    </row>
    <row r="54" spans="1:27" s="40" customFormat="1" x14ac:dyDescent="0.3">
      <c r="A54" s="50" t="s">
        <v>189</v>
      </c>
      <c r="B54" s="39" t="s">
        <v>295</v>
      </c>
      <c r="C54" s="180" t="s">
        <v>296</v>
      </c>
      <c r="D54" s="44"/>
      <c r="E54" s="42">
        <v>44854</v>
      </c>
      <c r="F54" s="40" t="s">
        <v>297</v>
      </c>
      <c r="G54" s="40" t="s">
        <v>376</v>
      </c>
      <c r="H54" s="8" t="s">
        <v>133</v>
      </c>
      <c r="I54" s="40" t="s">
        <v>298</v>
      </c>
      <c r="J54" s="40" t="s">
        <v>38</v>
      </c>
      <c r="K54" s="46" t="s">
        <v>299</v>
      </c>
      <c r="L54" s="40" t="s">
        <v>20</v>
      </c>
      <c r="M54" s="189">
        <v>70000000</v>
      </c>
      <c r="N54" s="225">
        <v>4.4999999999999998E-2</v>
      </c>
      <c r="O54" s="188">
        <f>M54*N54</f>
        <v>3150000</v>
      </c>
      <c r="P54" s="188"/>
      <c r="Q54" s="188">
        <f>(O54+P54)*16.5%+5000</f>
        <v>524750</v>
      </c>
      <c r="R54" s="203">
        <f>SUM(O54:Q54)</f>
        <v>3674750</v>
      </c>
      <c r="S54" s="205">
        <f>1839875+917437.5+917437.5</f>
        <v>3674750</v>
      </c>
      <c r="T54" s="217">
        <f t="shared" si="19"/>
        <v>0</v>
      </c>
      <c r="U54" s="228"/>
      <c r="V54" s="40">
        <f t="shared" si="18"/>
        <v>393750</v>
      </c>
      <c r="W54" s="40" t="s">
        <v>262</v>
      </c>
      <c r="X54" s="43" t="s">
        <v>225</v>
      </c>
      <c r="Y54" s="45"/>
      <c r="Z54" s="44"/>
    </row>
    <row r="55" spans="1:27" x14ac:dyDescent="0.3">
      <c r="A55" s="50" t="s">
        <v>189</v>
      </c>
      <c r="B55" s="64" t="s">
        <v>302</v>
      </c>
      <c r="C55" s="179">
        <v>44505</v>
      </c>
      <c r="D55" s="38"/>
      <c r="E55" s="6">
        <v>44869</v>
      </c>
      <c r="F55" s="1" t="s">
        <v>303</v>
      </c>
      <c r="G55" s="40" t="s">
        <v>303</v>
      </c>
      <c r="H55" s="8" t="s">
        <v>675</v>
      </c>
      <c r="I55" t="s">
        <v>304</v>
      </c>
      <c r="J55" s="1" t="s">
        <v>38</v>
      </c>
      <c r="K55" s="1" t="s">
        <v>305</v>
      </c>
      <c r="L55" s="1" t="s">
        <v>62</v>
      </c>
      <c r="M55" s="192">
        <v>4000000</v>
      </c>
      <c r="N55" s="192"/>
      <c r="O55" s="196">
        <v>60000</v>
      </c>
      <c r="P55" s="196"/>
      <c r="Q55" s="196">
        <f>(O55+P55)*16.5%+5000</f>
        <v>14900</v>
      </c>
      <c r="R55" s="203">
        <f>SUM(O55:Q55)</f>
        <v>74900</v>
      </c>
      <c r="S55" s="205">
        <v>74900</v>
      </c>
      <c r="T55" s="217">
        <f>R55-S55</f>
        <v>0</v>
      </c>
      <c r="U55" s="228"/>
      <c r="V55" s="40"/>
      <c r="W55" s="40" t="s">
        <v>306</v>
      </c>
      <c r="X55" s="43"/>
      <c r="Y55" s="35"/>
    </row>
    <row r="56" spans="1:27" x14ac:dyDescent="0.3">
      <c r="A56" s="50" t="s">
        <v>189</v>
      </c>
      <c r="B56" s="64" t="s">
        <v>309</v>
      </c>
      <c r="C56" s="179">
        <v>44518</v>
      </c>
      <c r="D56" s="38">
        <v>44610</v>
      </c>
      <c r="E56" s="6">
        <v>44882</v>
      </c>
      <c r="F56" s="1" t="s">
        <v>51</v>
      </c>
      <c r="G56" s="40" t="s">
        <v>440</v>
      </c>
      <c r="H56" s="8" t="s">
        <v>52</v>
      </c>
      <c r="I56" t="s">
        <v>129</v>
      </c>
      <c r="J56" s="1" t="s">
        <v>38</v>
      </c>
      <c r="K56" s="1" t="s">
        <v>310</v>
      </c>
      <c r="L56" s="1" t="s">
        <v>20</v>
      </c>
      <c r="M56" s="192">
        <v>8000000</v>
      </c>
      <c r="N56" s="192">
        <v>4.4999999999999998E-2</v>
      </c>
      <c r="O56" s="196">
        <v>360000</v>
      </c>
      <c r="P56" s="196"/>
      <c r="Q56" s="196">
        <f>(O56+P56)*16.5%+5000</f>
        <v>64400</v>
      </c>
      <c r="R56" s="203">
        <f>SUM(O56:Q56)</f>
        <v>424400</v>
      </c>
      <c r="S56" s="205">
        <f>215000+209400</f>
        <v>424400</v>
      </c>
      <c r="T56" s="217">
        <f>R56-S56</f>
        <v>0</v>
      </c>
      <c r="U56" s="228">
        <v>2</v>
      </c>
      <c r="V56" s="40"/>
      <c r="W56" s="40" t="s">
        <v>306</v>
      </c>
      <c r="X56" s="43"/>
      <c r="Y56" s="35"/>
    </row>
    <row r="57" spans="1:27" x14ac:dyDescent="0.3">
      <c r="A57" s="50" t="s">
        <v>189</v>
      </c>
      <c r="B57" s="64" t="s">
        <v>311</v>
      </c>
      <c r="C57" s="179">
        <v>44519</v>
      </c>
      <c r="D57" s="38"/>
      <c r="E57" s="6">
        <v>44883</v>
      </c>
      <c r="F57" s="1" t="s">
        <v>51</v>
      </c>
      <c r="G57" s="40" t="s">
        <v>440</v>
      </c>
      <c r="H57" s="8" t="s">
        <v>52</v>
      </c>
      <c r="I57" t="s">
        <v>312</v>
      </c>
      <c r="J57" s="1" t="s">
        <v>38</v>
      </c>
      <c r="K57" s="1" t="s">
        <v>313</v>
      </c>
      <c r="L57" s="1" t="s">
        <v>62</v>
      </c>
      <c r="M57" s="192"/>
      <c r="N57" s="192"/>
      <c r="O57" s="196"/>
      <c r="P57" s="196"/>
      <c r="Q57" s="196"/>
      <c r="R57" s="203"/>
      <c r="S57" s="205"/>
      <c r="T57" s="217"/>
      <c r="U57" s="228"/>
      <c r="V57" s="40"/>
      <c r="W57" s="40"/>
      <c r="X57" s="43"/>
      <c r="Y57" s="35"/>
    </row>
    <row r="58" spans="1:27" x14ac:dyDescent="0.3">
      <c r="A58" s="50" t="s">
        <v>189</v>
      </c>
      <c r="B58" s="64" t="s">
        <v>314</v>
      </c>
      <c r="C58" s="179">
        <v>44519</v>
      </c>
      <c r="D58" s="38">
        <v>44610</v>
      </c>
      <c r="E58" s="6">
        <v>44883</v>
      </c>
      <c r="F58" s="1" t="s">
        <v>51</v>
      </c>
      <c r="G58" s="40" t="s">
        <v>440</v>
      </c>
      <c r="H58" s="8" t="s">
        <v>52</v>
      </c>
      <c r="I58" t="s">
        <v>315</v>
      </c>
      <c r="J58" s="1" t="s">
        <v>38</v>
      </c>
      <c r="K58" s="1" t="s">
        <v>316</v>
      </c>
      <c r="L58" s="1" t="s">
        <v>20</v>
      </c>
      <c r="M58" s="192">
        <v>12000000</v>
      </c>
      <c r="N58" s="192">
        <v>4.4999999999999998E-2</v>
      </c>
      <c r="O58" s="196">
        <v>480000</v>
      </c>
      <c r="P58" s="196"/>
      <c r="Q58" s="196">
        <f t="shared" ref="Q58:Q89" si="20">(O58+P58)*16.5%+5000</f>
        <v>84200</v>
      </c>
      <c r="R58" s="203">
        <f t="shared" ref="R58:R93" si="21">SUM(O58:Q58)</f>
        <v>564200</v>
      </c>
      <c r="S58" s="205">
        <f>284600+245000+34600</f>
        <v>564200</v>
      </c>
      <c r="T58" s="217">
        <f>R58-S58</f>
        <v>0</v>
      </c>
      <c r="U58" s="228">
        <v>2</v>
      </c>
      <c r="V58" s="40"/>
      <c r="W58" s="40" t="s">
        <v>262</v>
      </c>
      <c r="X58" s="43"/>
      <c r="Y58" s="35"/>
    </row>
    <row r="59" spans="1:27" x14ac:dyDescent="0.3">
      <c r="A59" s="77" t="s">
        <v>430</v>
      </c>
      <c r="B59" s="64" t="s">
        <v>326</v>
      </c>
      <c r="C59" s="179">
        <v>44529</v>
      </c>
      <c r="D59" s="38"/>
      <c r="E59" s="6">
        <v>44893</v>
      </c>
      <c r="F59" s="1" t="s">
        <v>327</v>
      </c>
      <c r="G59" s="40" t="s">
        <v>666</v>
      </c>
      <c r="H59" s="8" t="s">
        <v>328</v>
      </c>
      <c r="I59" t="s">
        <v>330</v>
      </c>
      <c r="J59" s="1" t="s">
        <v>38</v>
      </c>
      <c r="K59" s="1" t="s">
        <v>329</v>
      </c>
      <c r="L59" s="1" t="s">
        <v>62</v>
      </c>
      <c r="M59" s="192">
        <v>1500000</v>
      </c>
      <c r="N59" s="192"/>
      <c r="O59" s="196">
        <v>50000</v>
      </c>
      <c r="P59" s="196"/>
      <c r="Q59" s="196">
        <f t="shared" si="20"/>
        <v>13250</v>
      </c>
      <c r="R59" s="203">
        <f t="shared" si="21"/>
        <v>63250</v>
      </c>
      <c r="S59" s="205">
        <v>63250</v>
      </c>
      <c r="T59" s="217">
        <f>R59-S59</f>
        <v>0</v>
      </c>
      <c r="U59" s="228"/>
      <c r="V59" s="40"/>
      <c r="W59" s="40" t="s">
        <v>262</v>
      </c>
      <c r="X59" s="43"/>
      <c r="Y59" s="35"/>
    </row>
    <row r="60" spans="1:27" x14ac:dyDescent="0.3">
      <c r="A60" s="50" t="s">
        <v>189</v>
      </c>
      <c r="B60" s="64" t="s">
        <v>317</v>
      </c>
      <c r="C60" s="179">
        <v>44523</v>
      </c>
      <c r="D60" s="38"/>
      <c r="E60" s="6">
        <v>44887</v>
      </c>
      <c r="F60" s="1" t="s">
        <v>318</v>
      </c>
      <c r="G60" s="40" t="s">
        <v>318</v>
      </c>
      <c r="H60" s="8" t="s">
        <v>325</v>
      </c>
      <c r="I60" t="s">
        <v>319</v>
      </c>
      <c r="J60" s="1" t="s">
        <v>38</v>
      </c>
      <c r="K60" s="1" t="s">
        <v>320</v>
      </c>
      <c r="L60" s="1" t="s">
        <v>20</v>
      </c>
      <c r="M60" s="192">
        <v>4500000</v>
      </c>
      <c r="N60" s="192">
        <v>0.04</v>
      </c>
      <c r="O60" s="196">
        <v>180000</v>
      </c>
      <c r="P60" s="196"/>
      <c r="Q60" s="196">
        <f t="shared" si="20"/>
        <v>34700</v>
      </c>
      <c r="R60" s="203">
        <f t="shared" si="21"/>
        <v>214700</v>
      </c>
      <c r="S60" s="205">
        <v>214700</v>
      </c>
      <c r="T60" s="217">
        <f>R60-S60</f>
        <v>0</v>
      </c>
      <c r="U60" s="228"/>
      <c r="V60" s="40"/>
      <c r="W60" s="40" t="s">
        <v>262</v>
      </c>
      <c r="X60" s="43"/>
      <c r="Y60" s="35"/>
    </row>
    <row r="61" spans="1:27" s="67" customFormat="1" x14ac:dyDescent="0.3">
      <c r="A61" s="78" t="s">
        <v>189</v>
      </c>
      <c r="B61" s="73" t="s">
        <v>321</v>
      </c>
      <c r="C61" s="178">
        <v>44527</v>
      </c>
      <c r="D61" s="68">
        <v>44617</v>
      </c>
      <c r="E61" s="68"/>
      <c r="F61" s="69" t="s">
        <v>322</v>
      </c>
      <c r="G61" s="72" t="s">
        <v>441</v>
      </c>
      <c r="H61" s="70" t="s">
        <v>323</v>
      </c>
      <c r="I61" s="67" t="s">
        <v>324</v>
      </c>
      <c r="J61" s="69" t="s">
        <v>38</v>
      </c>
      <c r="K61" s="69" t="s">
        <v>216</v>
      </c>
      <c r="L61" s="69" t="s">
        <v>62</v>
      </c>
      <c r="M61" s="191"/>
      <c r="N61" s="191"/>
      <c r="O61" s="187">
        <v>25000</v>
      </c>
      <c r="P61" s="187"/>
      <c r="Q61" s="187">
        <f t="shared" si="20"/>
        <v>9125</v>
      </c>
      <c r="R61" s="72">
        <f t="shared" si="21"/>
        <v>34125</v>
      </c>
      <c r="S61" s="197">
        <v>34124</v>
      </c>
      <c r="T61" s="218">
        <f>R61-S61</f>
        <v>1</v>
      </c>
      <c r="U61" s="229">
        <v>2</v>
      </c>
      <c r="V61" s="72"/>
      <c r="W61" s="72" t="s">
        <v>262</v>
      </c>
      <c r="X61" s="236"/>
      <c r="Y61" s="35"/>
      <c r="Z61" s="32"/>
      <c r="AA61" s="69"/>
    </row>
    <row r="62" spans="1:27" s="67" customFormat="1" ht="28.8" x14ac:dyDescent="0.3">
      <c r="A62" s="96" t="s">
        <v>189</v>
      </c>
      <c r="B62" s="73" t="s">
        <v>496</v>
      </c>
      <c r="C62" s="178">
        <v>44538</v>
      </c>
      <c r="D62" s="68"/>
      <c r="E62" s="68">
        <v>44902</v>
      </c>
      <c r="F62" s="69" t="s">
        <v>297</v>
      </c>
      <c r="G62" s="69" t="s">
        <v>346</v>
      </c>
      <c r="H62" s="70" t="s">
        <v>133</v>
      </c>
      <c r="I62" s="67" t="s">
        <v>134</v>
      </c>
      <c r="J62" s="69" t="s">
        <v>38</v>
      </c>
      <c r="K62" s="69" t="s">
        <v>135</v>
      </c>
      <c r="L62" s="69" t="s">
        <v>62</v>
      </c>
      <c r="M62" s="191">
        <v>800000</v>
      </c>
      <c r="N62" s="191"/>
      <c r="O62" s="187">
        <v>30000</v>
      </c>
      <c r="P62" s="187"/>
      <c r="Q62" s="187">
        <f t="shared" si="20"/>
        <v>9950</v>
      </c>
      <c r="R62" s="72">
        <f t="shared" si="21"/>
        <v>39950</v>
      </c>
      <c r="S62" s="197">
        <v>39950</v>
      </c>
      <c r="T62" s="218">
        <f t="shared" ref="T62:T74" si="22">R62-S62</f>
        <v>0</v>
      </c>
      <c r="U62" s="229"/>
      <c r="V62" s="72"/>
      <c r="W62" s="72" t="s">
        <v>262</v>
      </c>
      <c r="X62" s="236"/>
      <c r="Y62" s="68"/>
      <c r="Z62" s="69"/>
      <c r="AA62" s="69"/>
    </row>
    <row r="63" spans="1:27" x14ac:dyDescent="0.3">
      <c r="A63" s="74" t="s">
        <v>189</v>
      </c>
      <c r="B63" s="64" t="s">
        <v>335</v>
      </c>
      <c r="C63" s="179">
        <v>44545</v>
      </c>
      <c r="D63" s="38"/>
      <c r="E63" s="6">
        <v>44909</v>
      </c>
      <c r="F63" s="1" t="s">
        <v>336</v>
      </c>
      <c r="G63" s="1" t="s">
        <v>336</v>
      </c>
      <c r="H63" s="8" t="s">
        <v>910</v>
      </c>
      <c r="I63" t="s">
        <v>337</v>
      </c>
      <c r="J63" s="1" t="s">
        <v>38</v>
      </c>
      <c r="K63" s="1" t="s">
        <v>338</v>
      </c>
      <c r="L63" s="1" t="s">
        <v>62</v>
      </c>
      <c r="M63" s="192">
        <v>2500000</v>
      </c>
      <c r="N63" s="192"/>
      <c r="O63" s="196">
        <v>50000</v>
      </c>
      <c r="P63" s="196"/>
      <c r="Q63" s="196">
        <f t="shared" si="20"/>
        <v>13250</v>
      </c>
      <c r="R63" s="203">
        <f t="shared" si="21"/>
        <v>63250</v>
      </c>
      <c r="S63" s="205">
        <v>63250</v>
      </c>
      <c r="T63" s="217">
        <f t="shared" si="22"/>
        <v>0</v>
      </c>
      <c r="U63" s="228"/>
      <c r="V63" s="40"/>
      <c r="W63" s="40" t="s">
        <v>339</v>
      </c>
      <c r="X63" s="43"/>
      <c r="Y63" s="35"/>
    </row>
    <row r="64" spans="1:27" x14ac:dyDescent="0.3">
      <c r="A64" s="74" t="s">
        <v>189</v>
      </c>
      <c r="B64" s="64" t="s">
        <v>331</v>
      </c>
      <c r="C64" s="179">
        <v>44551</v>
      </c>
      <c r="D64" s="38"/>
      <c r="E64" s="6">
        <v>44915</v>
      </c>
      <c r="F64" s="1" t="s">
        <v>332</v>
      </c>
      <c r="G64" s="1" t="s">
        <v>332</v>
      </c>
      <c r="H64" s="8"/>
      <c r="I64" t="s">
        <v>333</v>
      </c>
      <c r="J64" s="1" t="s">
        <v>38</v>
      </c>
      <c r="K64" s="1" t="s">
        <v>334</v>
      </c>
      <c r="L64" s="1" t="s">
        <v>20</v>
      </c>
      <c r="M64" s="192">
        <v>5000000</v>
      </c>
      <c r="N64" s="192">
        <v>4.7E-2</v>
      </c>
      <c r="O64" s="196">
        <v>235000</v>
      </c>
      <c r="P64" s="196"/>
      <c r="Q64" s="196">
        <f>(O64+P64)*16.5%+5000</f>
        <v>43775</v>
      </c>
      <c r="R64" s="203">
        <f>SUM(O64:Q64)</f>
        <v>278775</v>
      </c>
      <c r="S64" s="205">
        <v>278775</v>
      </c>
      <c r="T64" s="217">
        <f>R64-S64</f>
        <v>0</v>
      </c>
      <c r="U64" s="228"/>
      <c r="V64" s="40"/>
      <c r="W64" s="40" t="s">
        <v>262</v>
      </c>
      <c r="X64" s="43"/>
      <c r="Y64" s="35"/>
    </row>
    <row r="65" spans="1:574" x14ac:dyDescent="0.3">
      <c r="A65" s="74" t="s">
        <v>189</v>
      </c>
      <c r="B65" s="64" t="s">
        <v>340</v>
      </c>
      <c r="C65" s="179">
        <v>44561</v>
      </c>
      <c r="D65" s="38"/>
      <c r="E65" s="6">
        <v>44925</v>
      </c>
      <c r="F65" s="1" t="s">
        <v>341</v>
      </c>
      <c r="G65" s="1" t="s">
        <v>341</v>
      </c>
      <c r="H65" s="8"/>
      <c r="I65" t="s">
        <v>342</v>
      </c>
      <c r="J65" s="1" t="s">
        <v>38</v>
      </c>
      <c r="K65" s="1" t="s">
        <v>343</v>
      </c>
      <c r="L65" s="1" t="s">
        <v>62</v>
      </c>
      <c r="M65" s="192">
        <v>4000000</v>
      </c>
      <c r="N65" s="192"/>
      <c r="O65" s="196">
        <v>60000</v>
      </c>
      <c r="P65" s="196"/>
      <c r="Q65" s="196">
        <f t="shared" si="20"/>
        <v>14900</v>
      </c>
      <c r="R65" s="203">
        <f t="shared" si="21"/>
        <v>74900</v>
      </c>
      <c r="S65" s="205">
        <v>74900</v>
      </c>
      <c r="T65" s="217">
        <f t="shared" si="22"/>
        <v>0</v>
      </c>
      <c r="U65" s="228"/>
      <c r="V65" s="40"/>
      <c r="W65" s="40" t="s">
        <v>262</v>
      </c>
      <c r="X65" s="43"/>
      <c r="Y65" s="35"/>
    </row>
    <row r="66" spans="1:574" x14ac:dyDescent="0.3">
      <c r="A66" s="74" t="s">
        <v>189</v>
      </c>
      <c r="B66" s="64" t="s">
        <v>345</v>
      </c>
      <c r="C66" s="179">
        <v>44567</v>
      </c>
      <c r="D66" s="38"/>
      <c r="E66" s="6">
        <v>44931</v>
      </c>
      <c r="F66" s="1" t="s">
        <v>297</v>
      </c>
      <c r="G66" s="1" t="s">
        <v>346</v>
      </c>
      <c r="H66" s="8" t="s">
        <v>133</v>
      </c>
      <c r="I66" t="s">
        <v>148</v>
      </c>
      <c r="J66" s="1" t="s">
        <v>38</v>
      </c>
      <c r="K66" s="1" t="s">
        <v>149</v>
      </c>
      <c r="L66" s="1" t="s">
        <v>20</v>
      </c>
      <c r="M66" s="192">
        <v>30000000</v>
      </c>
      <c r="N66" s="192">
        <v>4.4999999999999998E-2</v>
      </c>
      <c r="O66" s="196">
        <v>1125000</v>
      </c>
      <c r="P66" s="196"/>
      <c r="Q66" s="196">
        <f t="shared" si="20"/>
        <v>190625</v>
      </c>
      <c r="R66" s="203">
        <f t="shared" si="21"/>
        <v>1315625</v>
      </c>
      <c r="S66" s="205">
        <f>660312.5+655312.5</f>
        <v>1315625</v>
      </c>
      <c r="T66" s="217">
        <f t="shared" si="22"/>
        <v>0</v>
      </c>
      <c r="U66" s="228">
        <v>3</v>
      </c>
      <c r="V66" s="40"/>
      <c r="W66" s="40" t="s">
        <v>262</v>
      </c>
      <c r="X66" s="43"/>
      <c r="Y66" s="35"/>
    </row>
    <row r="67" spans="1:574" x14ac:dyDescent="0.3">
      <c r="A67" s="74" t="s">
        <v>189</v>
      </c>
      <c r="B67" s="64" t="s">
        <v>365</v>
      </c>
      <c r="C67" s="179">
        <v>44567</v>
      </c>
      <c r="D67" s="38">
        <v>44625</v>
      </c>
      <c r="E67" s="6">
        <v>44931</v>
      </c>
      <c r="F67" s="1" t="s">
        <v>366</v>
      </c>
      <c r="G67" s="1" t="s">
        <v>366</v>
      </c>
      <c r="H67" s="8" t="s">
        <v>286</v>
      </c>
      <c r="I67" t="s">
        <v>367</v>
      </c>
      <c r="J67" s="1" t="s">
        <v>38</v>
      </c>
      <c r="K67" s="1" t="s">
        <v>368</v>
      </c>
      <c r="L67" s="1" t="s">
        <v>20</v>
      </c>
      <c r="M67" s="192">
        <v>45000000</v>
      </c>
      <c r="N67" s="192">
        <v>4.7E-2</v>
      </c>
      <c r="O67" s="196">
        <f>M67*N67</f>
        <v>2115000</v>
      </c>
      <c r="P67" s="196"/>
      <c r="Q67" s="196">
        <f>(O67+P67)*16.5%+5000</f>
        <v>353975</v>
      </c>
      <c r="R67" s="203">
        <f>SUM(O67:Q67)</f>
        <v>2468975</v>
      </c>
      <c r="S67" s="205">
        <f>1168975+1300000</f>
        <v>2468975</v>
      </c>
      <c r="T67" s="217">
        <f t="shared" si="22"/>
        <v>0</v>
      </c>
      <c r="V67" s="40"/>
      <c r="W67" s="40"/>
      <c r="X67" s="43"/>
      <c r="Y67" s="35"/>
    </row>
    <row r="68" spans="1:574" x14ac:dyDescent="0.3">
      <c r="A68" s="74" t="s">
        <v>189</v>
      </c>
      <c r="B68" s="64" t="s">
        <v>347</v>
      </c>
      <c r="C68" s="179">
        <v>44568</v>
      </c>
      <c r="D68" s="38"/>
      <c r="E68" s="6">
        <v>44931</v>
      </c>
      <c r="F68" s="1" t="s">
        <v>297</v>
      </c>
      <c r="G68" s="1" t="s">
        <v>346</v>
      </c>
      <c r="H68" s="8" t="s">
        <v>348</v>
      </c>
      <c r="I68" t="s">
        <v>152</v>
      </c>
      <c r="J68" s="1" t="s">
        <v>38</v>
      </c>
      <c r="K68" s="1" t="s">
        <v>349</v>
      </c>
      <c r="L68" s="1" t="s">
        <v>62</v>
      </c>
      <c r="M68" s="192"/>
      <c r="N68" s="192"/>
      <c r="O68" s="196">
        <v>50000</v>
      </c>
      <c r="P68" s="196"/>
      <c r="Q68" s="196">
        <f t="shared" si="20"/>
        <v>13250</v>
      </c>
      <c r="R68" s="203">
        <f t="shared" si="21"/>
        <v>63250</v>
      </c>
      <c r="S68" s="205">
        <v>63250</v>
      </c>
      <c r="T68" s="217">
        <f t="shared" si="22"/>
        <v>0</v>
      </c>
      <c r="V68" s="40"/>
      <c r="W68" s="40" t="s">
        <v>262</v>
      </c>
      <c r="X68" s="43"/>
      <c r="Y68" s="35"/>
    </row>
    <row r="69" spans="1:574" x14ac:dyDescent="0.3">
      <c r="A69" s="74" t="s">
        <v>189</v>
      </c>
      <c r="B69" s="64" t="s">
        <v>355</v>
      </c>
      <c r="C69" s="179">
        <v>44573</v>
      </c>
      <c r="D69" s="38"/>
      <c r="E69" s="6">
        <v>44937</v>
      </c>
      <c r="F69" s="1" t="s">
        <v>356</v>
      </c>
      <c r="G69" s="1" t="s">
        <v>357</v>
      </c>
      <c r="H69" s="8" t="s">
        <v>358</v>
      </c>
      <c r="I69" t="s">
        <v>359</v>
      </c>
      <c r="J69" s="1" t="s">
        <v>38</v>
      </c>
      <c r="K69" s="1" t="s">
        <v>360</v>
      </c>
      <c r="L69" s="1" t="s">
        <v>62</v>
      </c>
      <c r="M69" s="192">
        <v>5000000</v>
      </c>
      <c r="N69" s="192"/>
      <c r="O69" s="196">
        <v>75000</v>
      </c>
      <c r="P69" s="196"/>
      <c r="Q69" s="196">
        <f t="shared" si="20"/>
        <v>17375</v>
      </c>
      <c r="R69" s="203">
        <f>SUM(O69:Q69)</f>
        <v>92375</v>
      </c>
      <c r="S69" s="205">
        <f>SUM(50000+43687)</f>
        <v>93687</v>
      </c>
      <c r="T69" s="217">
        <f t="shared" si="22"/>
        <v>-1312</v>
      </c>
      <c r="V69" s="40"/>
      <c r="W69" s="40" t="s">
        <v>262</v>
      </c>
      <c r="X69" s="43"/>
      <c r="Y69" s="35"/>
    </row>
    <row r="70" spans="1:574" s="67" customFormat="1" x14ac:dyDescent="0.3">
      <c r="A70" s="96"/>
      <c r="B70" s="73" t="s">
        <v>494</v>
      </c>
      <c r="C70" s="178">
        <v>44579</v>
      </c>
      <c r="D70" s="68">
        <v>44668</v>
      </c>
      <c r="E70" s="68"/>
      <c r="F70" s="69" t="s">
        <v>336</v>
      </c>
      <c r="G70" s="69" t="s">
        <v>336</v>
      </c>
      <c r="H70" s="70"/>
      <c r="I70" s="67" t="s">
        <v>495</v>
      </c>
      <c r="J70" s="69" t="s">
        <v>38</v>
      </c>
      <c r="K70" s="69" t="s">
        <v>71</v>
      </c>
      <c r="L70" s="69" t="s">
        <v>62</v>
      </c>
      <c r="M70" s="191"/>
      <c r="N70" s="191"/>
      <c r="O70" s="187">
        <v>30000</v>
      </c>
      <c r="P70" s="187"/>
      <c r="Q70" s="187">
        <f t="shared" si="20"/>
        <v>9950</v>
      </c>
      <c r="R70" s="72">
        <f>SUM(O70:Q70)</f>
        <v>39950</v>
      </c>
      <c r="S70" s="197">
        <v>40000</v>
      </c>
      <c r="T70" s="218">
        <f t="shared" si="22"/>
        <v>-50</v>
      </c>
      <c r="U70" s="212"/>
      <c r="V70" s="72"/>
      <c r="W70" s="72" t="s">
        <v>262</v>
      </c>
      <c r="X70" s="236"/>
      <c r="Y70" s="35"/>
      <c r="Z70" s="32"/>
      <c r="AA70" s="69"/>
    </row>
    <row r="71" spans="1:574" x14ac:dyDescent="0.3">
      <c r="A71" s="74" t="s">
        <v>189</v>
      </c>
      <c r="B71" s="64" t="s">
        <v>350</v>
      </c>
      <c r="C71" s="179">
        <v>44585</v>
      </c>
      <c r="D71" s="38"/>
      <c r="E71" s="6">
        <v>44949</v>
      </c>
      <c r="F71" s="1" t="s">
        <v>351</v>
      </c>
      <c r="G71" s="1" t="s">
        <v>351</v>
      </c>
      <c r="H71" s="8" t="s">
        <v>354</v>
      </c>
      <c r="I71" t="s">
        <v>352</v>
      </c>
      <c r="J71" s="1" t="s">
        <v>38</v>
      </c>
      <c r="K71" s="1" t="s">
        <v>353</v>
      </c>
      <c r="L71" s="1" t="s">
        <v>62</v>
      </c>
      <c r="M71" s="192"/>
      <c r="N71" s="192"/>
      <c r="O71" s="196">
        <v>50000</v>
      </c>
      <c r="P71" s="196"/>
      <c r="Q71" s="196">
        <f t="shared" si="20"/>
        <v>13250</v>
      </c>
      <c r="R71" s="203">
        <f t="shared" si="21"/>
        <v>63250</v>
      </c>
      <c r="S71" s="205">
        <v>63250</v>
      </c>
      <c r="T71" s="217">
        <f t="shared" si="22"/>
        <v>0</v>
      </c>
      <c r="V71" s="40"/>
      <c r="W71" s="40" t="s">
        <v>262</v>
      </c>
      <c r="X71" s="43"/>
      <c r="Y71" s="35"/>
    </row>
    <row r="72" spans="1:574" s="67" customFormat="1" x14ac:dyDescent="0.3">
      <c r="A72" s="96" t="s">
        <v>189</v>
      </c>
      <c r="B72" s="73" t="s">
        <v>370</v>
      </c>
      <c r="C72" s="178">
        <v>44589</v>
      </c>
      <c r="D72" s="68">
        <v>44658</v>
      </c>
      <c r="E72" s="68"/>
      <c r="F72" s="69" t="s">
        <v>371</v>
      </c>
      <c r="G72" s="69" t="s">
        <v>372</v>
      </c>
      <c r="H72" s="70" t="s">
        <v>373</v>
      </c>
      <c r="I72" s="67" t="s">
        <v>374</v>
      </c>
      <c r="J72" s="69" t="s">
        <v>38</v>
      </c>
      <c r="K72" s="69" t="s">
        <v>19</v>
      </c>
      <c r="L72" s="69" t="s">
        <v>62</v>
      </c>
      <c r="M72" s="191"/>
      <c r="N72" s="191"/>
      <c r="O72" s="187">
        <v>60000</v>
      </c>
      <c r="P72" s="187"/>
      <c r="Q72" s="187">
        <f t="shared" si="20"/>
        <v>14900</v>
      </c>
      <c r="R72" s="72">
        <f t="shared" si="21"/>
        <v>74900</v>
      </c>
      <c r="S72" s="197">
        <v>39950</v>
      </c>
      <c r="T72" s="218">
        <f t="shared" si="22"/>
        <v>34950</v>
      </c>
      <c r="U72" s="212"/>
      <c r="V72" s="72"/>
      <c r="W72" s="72" t="s">
        <v>262</v>
      </c>
      <c r="X72" s="236"/>
      <c r="Y72" s="35"/>
      <c r="Z72" s="32"/>
      <c r="AA72" s="69"/>
    </row>
    <row r="73" spans="1:574" x14ac:dyDescent="0.3">
      <c r="A73" s="74" t="s">
        <v>189</v>
      </c>
      <c r="B73" s="64" t="s">
        <v>375</v>
      </c>
      <c r="C73" s="179">
        <v>44589</v>
      </c>
      <c r="D73" s="38"/>
      <c r="E73" s="6">
        <v>44953</v>
      </c>
      <c r="F73" s="1" t="s">
        <v>376</v>
      </c>
      <c r="G73" s="1" t="s">
        <v>346</v>
      </c>
      <c r="H73" s="8" t="s">
        <v>133</v>
      </c>
      <c r="I73" t="s">
        <v>377</v>
      </c>
      <c r="J73" s="1" t="s">
        <v>38</v>
      </c>
      <c r="K73" s="1" t="s">
        <v>378</v>
      </c>
      <c r="L73" s="1" t="s">
        <v>62</v>
      </c>
      <c r="M73" s="192"/>
      <c r="N73" s="192"/>
      <c r="O73" s="196">
        <v>50000</v>
      </c>
      <c r="P73" s="196"/>
      <c r="Q73" s="196">
        <f t="shared" si="20"/>
        <v>13250</v>
      </c>
      <c r="R73" s="203">
        <f t="shared" si="21"/>
        <v>63250</v>
      </c>
      <c r="S73" s="205">
        <v>63250</v>
      </c>
      <c r="T73" s="217">
        <f t="shared" si="22"/>
        <v>0</v>
      </c>
      <c r="V73" s="40"/>
      <c r="W73" s="40" t="s">
        <v>262</v>
      </c>
      <c r="X73" s="43"/>
      <c r="Y73" s="35"/>
    </row>
    <row r="74" spans="1:574" x14ac:dyDescent="0.3">
      <c r="A74" s="76" t="s">
        <v>430</v>
      </c>
      <c r="B74" s="64" t="s">
        <v>381</v>
      </c>
      <c r="C74" s="179">
        <v>44592</v>
      </c>
      <c r="D74" s="38"/>
      <c r="E74" s="6">
        <v>44956</v>
      </c>
      <c r="F74" s="1" t="s">
        <v>382</v>
      </c>
      <c r="G74" s="1" t="s">
        <v>382</v>
      </c>
      <c r="H74" s="8" t="s">
        <v>383</v>
      </c>
      <c r="I74" t="s">
        <v>384</v>
      </c>
      <c r="J74" s="1" t="s">
        <v>38</v>
      </c>
      <c r="K74" s="1" t="s">
        <v>385</v>
      </c>
      <c r="L74" s="1" t="s">
        <v>20</v>
      </c>
      <c r="M74" s="192">
        <v>6200000</v>
      </c>
      <c r="N74" s="192">
        <v>0.04</v>
      </c>
      <c r="O74" s="196">
        <v>248000</v>
      </c>
      <c r="P74" s="196"/>
      <c r="Q74" s="196">
        <f t="shared" si="20"/>
        <v>45920</v>
      </c>
      <c r="R74" s="203">
        <f t="shared" si="21"/>
        <v>293920</v>
      </c>
      <c r="S74" s="205">
        <v>293920</v>
      </c>
      <c r="T74" s="217">
        <f t="shared" si="22"/>
        <v>0</v>
      </c>
      <c r="V74" s="40"/>
      <c r="W74" s="40" t="s">
        <v>262</v>
      </c>
      <c r="X74" s="43"/>
      <c r="Y74" s="35"/>
    </row>
    <row r="75" spans="1:574" s="170" customFormat="1" x14ac:dyDescent="0.3">
      <c r="A75" s="93" t="s">
        <v>189</v>
      </c>
      <c r="B75" s="93" t="s">
        <v>489</v>
      </c>
      <c r="C75" s="181">
        <v>44593</v>
      </c>
      <c r="D75" s="94">
        <v>44681</v>
      </c>
      <c r="E75" s="95"/>
      <c r="F75" s="93" t="s">
        <v>490</v>
      </c>
      <c r="G75" s="93" t="s">
        <v>490</v>
      </c>
      <c r="H75" s="93"/>
      <c r="I75" s="93" t="s">
        <v>491</v>
      </c>
      <c r="J75" s="93" t="s">
        <v>38</v>
      </c>
      <c r="K75" s="93" t="s">
        <v>492</v>
      </c>
      <c r="L75" s="93" t="s">
        <v>62</v>
      </c>
      <c r="M75" s="193"/>
      <c r="N75" s="193"/>
      <c r="O75" s="196">
        <v>60000</v>
      </c>
      <c r="P75" s="193"/>
      <c r="Q75" s="196">
        <f t="shared" si="20"/>
        <v>14900</v>
      </c>
      <c r="R75" s="203">
        <f t="shared" si="21"/>
        <v>74900</v>
      </c>
      <c r="S75" s="205">
        <v>40000</v>
      </c>
      <c r="T75" s="217">
        <f>R75-S75</f>
        <v>34900</v>
      </c>
      <c r="U75" s="230"/>
      <c r="V75" s="193"/>
      <c r="W75" s="193" t="s">
        <v>493</v>
      </c>
      <c r="X75" s="193"/>
      <c r="Y75" s="111"/>
      <c r="Z75" s="94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3"/>
      <c r="CC75" s="93"/>
      <c r="CD75" s="93"/>
      <c r="CE75" s="93"/>
      <c r="CF75" s="93"/>
      <c r="CG75" s="93"/>
      <c r="CH75" s="93"/>
      <c r="CI75" s="93"/>
      <c r="CJ75" s="93"/>
      <c r="CK75" s="93"/>
      <c r="CL75" s="93"/>
      <c r="CM75" s="93"/>
      <c r="CN75" s="93"/>
      <c r="CO75" s="93"/>
      <c r="CP75" s="93"/>
      <c r="CQ75" s="93"/>
      <c r="CR75" s="93"/>
      <c r="CS75" s="93"/>
      <c r="CT75" s="93"/>
      <c r="CU75" s="93"/>
      <c r="CV75" s="93"/>
      <c r="CW75" s="93"/>
      <c r="CX75" s="93"/>
      <c r="CY75" s="93"/>
      <c r="CZ75" s="93"/>
      <c r="DA75" s="93"/>
      <c r="DB75" s="93"/>
      <c r="DC75" s="93"/>
      <c r="DD75" s="93"/>
      <c r="DE75" s="93"/>
      <c r="DF75" s="93"/>
      <c r="DG75" s="93"/>
      <c r="DH75" s="93"/>
      <c r="DI75" s="93"/>
      <c r="DJ75" s="93"/>
      <c r="DK75" s="93"/>
      <c r="DL75" s="93"/>
      <c r="DM75" s="93"/>
      <c r="DN75" s="93"/>
      <c r="DO75" s="93"/>
      <c r="DP75" s="93"/>
      <c r="DQ75" s="93"/>
      <c r="DR75" s="93"/>
      <c r="DS75" s="93"/>
      <c r="DT75" s="93"/>
      <c r="DU75" s="93"/>
      <c r="DV75" s="93"/>
      <c r="DW75" s="93"/>
      <c r="DX75" s="93"/>
      <c r="DY75" s="93"/>
      <c r="DZ75" s="93"/>
      <c r="EA75" s="93"/>
      <c r="EB75" s="93"/>
      <c r="EC75" s="93"/>
      <c r="ED75" s="93"/>
      <c r="EE75" s="93"/>
      <c r="EF75" s="93"/>
      <c r="EG75" s="93"/>
      <c r="EH75" s="93"/>
      <c r="EI75" s="93"/>
      <c r="EJ75" s="93"/>
      <c r="EK75" s="93"/>
      <c r="EL75" s="93"/>
      <c r="EM75" s="93"/>
      <c r="EN75" s="93"/>
      <c r="EO75" s="93"/>
      <c r="EP75" s="93"/>
      <c r="EQ75" s="93"/>
      <c r="ER75" s="93"/>
      <c r="ES75" s="93"/>
      <c r="ET75" s="93"/>
      <c r="EU75" s="93"/>
      <c r="EV75" s="93"/>
      <c r="EW75" s="93"/>
      <c r="EX75" s="93"/>
      <c r="EY75" s="93"/>
      <c r="EZ75" s="93"/>
      <c r="FA75" s="93"/>
      <c r="FB75" s="93"/>
      <c r="FC75" s="93"/>
      <c r="FD75" s="93"/>
      <c r="FE75" s="93"/>
      <c r="FF75" s="93"/>
      <c r="FG75" s="93"/>
      <c r="FH75" s="93"/>
      <c r="FI75" s="93"/>
      <c r="FJ75" s="93"/>
      <c r="FK75" s="93"/>
      <c r="FL75" s="93"/>
      <c r="FM75" s="93"/>
      <c r="FN75" s="93"/>
      <c r="FO75" s="93"/>
      <c r="FP75" s="93"/>
      <c r="FQ75" s="93"/>
      <c r="FR75" s="93"/>
      <c r="FS75" s="93"/>
      <c r="FT75" s="93"/>
      <c r="FU75" s="93"/>
      <c r="FV75" s="93"/>
      <c r="FW75" s="93"/>
      <c r="FX75" s="93"/>
      <c r="FY75" s="93"/>
      <c r="FZ75" s="93"/>
      <c r="GA75" s="93"/>
      <c r="GB75" s="93"/>
      <c r="GC75" s="93"/>
      <c r="GD75" s="93"/>
      <c r="GE75" s="93"/>
      <c r="GF75" s="93"/>
      <c r="GG75" s="93"/>
      <c r="GH75" s="93"/>
      <c r="GI75" s="93"/>
      <c r="GJ75" s="93"/>
      <c r="GK75" s="93"/>
      <c r="GL75" s="93"/>
      <c r="GM75" s="93"/>
      <c r="GN75" s="93"/>
      <c r="GO75" s="93"/>
      <c r="GP75" s="93"/>
      <c r="GQ75" s="93"/>
      <c r="GR75" s="93"/>
      <c r="GS75" s="93"/>
      <c r="GT75" s="93"/>
      <c r="GU75" s="93"/>
      <c r="GV75" s="93"/>
      <c r="GW75" s="93"/>
      <c r="GX75" s="93"/>
      <c r="GY75" s="93"/>
      <c r="GZ75" s="93"/>
      <c r="HA75" s="93"/>
      <c r="HB75" s="93"/>
      <c r="HC75" s="93"/>
      <c r="HD75" s="93"/>
      <c r="HE75" s="93"/>
      <c r="HF75" s="93"/>
      <c r="HG75" s="93"/>
      <c r="HH75" s="93"/>
      <c r="HI75" s="93"/>
      <c r="HJ75" s="93"/>
      <c r="HK75" s="93"/>
      <c r="HL75" s="93"/>
      <c r="HM75" s="93"/>
      <c r="HN75" s="93"/>
      <c r="HO75" s="93"/>
      <c r="HP75" s="93"/>
      <c r="HQ75" s="93"/>
      <c r="HR75" s="93"/>
      <c r="HS75" s="93"/>
      <c r="HT75" s="93"/>
      <c r="HU75" s="93"/>
      <c r="HV75" s="93"/>
      <c r="HW75" s="93"/>
      <c r="HX75" s="93"/>
      <c r="HY75" s="93"/>
      <c r="HZ75" s="93"/>
      <c r="IA75" s="93"/>
      <c r="IB75" s="93"/>
      <c r="IC75" s="93"/>
      <c r="ID75" s="93"/>
      <c r="IE75" s="93"/>
      <c r="IF75" s="93"/>
      <c r="IG75" s="93"/>
      <c r="IH75" s="93"/>
      <c r="II75" s="93"/>
      <c r="IJ75" s="93"/>
      <c r="IK75" s="93"/>
      <c r="IL75" s="93"/>
      <c r="IM75" s="93"/>
      <c r="IN75" s="93"/>
      <c r="IO75" s="93"/>
      <c r="IP75" s="93"/>
      <c r="IQ75" s="93"/>
      <c r="IR75" s="93"/>
      <c r="IS75" s="93"/>
      <c r="IT75" s="93"/>
      <c r="IU75" s="93"/>
      <c r="IV75" s="93"/>
      <c r="IW75" s="93"/>
      <c r="IX75" s="93"/>
      <c r="IY75" s="93"/>
      <c r="IZ75" s="93"/>
      <c r="JA75" s="93"/>
      <c r="JB75" s="93"/>
      <c r="JC75" s="93"/>
      <c r="JD75" s="93"/>
      <c r="JE75" s="93"/>
      <c r="JF75" s="93"/>
      <c r="JG75" s="93"/>
      <c r="JH75" s="93"/>
      <c r="JI75" s="93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/>
      <c r="KB75" s="93"/>
      <c r="KC75" s="93"/>
      <c r="KD75" s="93"/>
      <c r="KE75" s="93"/>
      <c r="KF75" s="93"/>
      <c r="KG75" s="93"/>
      <c r="KH75" s="93"/>
      <c r="KI75" s="93"/>
      <c r="KJ75" s="93"/>
      <c r="KK75" s="93"/>
      <c r="KL75" s="93"/>
      <c r="KM75" s="93"/>
      <c r="KN75" s="93"/>
      <c r="KO75" s="93"/>
      <c r="KP75" s="93"/>
      <c r="KQ75" s="93"/>
      <c r="KR75" s="93"/>
      <c r="KS75" s="93"/>
      <c r="KT75" s="93"/>
      <c r="KU75" s="93"/>
      <c r="KV75" s="93"/>
      <c r="KW75" s="93"/>
      <c r="KX75" s="93"/>
      <c r="KY75" s="93"/>
      <c r="KZ75" s="93"/>
      <c r="LA75" s="93"/>
      <c r="LB75" s="93"/>
      <c r="LC75" s="93"/>
      <c r="LD75" s="93"/>
      <c r="LE75" s="93"/>
      <c r="LF75" s="93"/>
      <c r="LG75" s="93"/>
      <c r="LH75" s="93"/>
      <c r="LI75" s="93"/>
      <c r="LJ75" s="93"/>
      <c r="LK75" s="93"/>
      <c r="LL75" s="93"/>
      <c r="LM75" s="93"/>
      <c r="LN75" s="93"/>
      <c r="LO75" s="93"/>
      <c r="LP75" s="93"/>
      <c r="LQ75" s="93"/>
      <c r="LR75" s="93"/>
      <c r="LS75" s="93"/>
      <c r="LT75" s="93"/>
      <c r="LU75" s="93"/>
      <c r="LV75" s="93"/>
      <c r="LW75" s="93"/>
      <c r="LX75" s="93"/>
      <c r="LY75" s="93"/>
      <c r="LZ75" s="93"/>
      <c r="MA75" s="93"/>
      <c r="MB75" s="93"/>
      <c r="MC75" s="93"/>
      <c r="MD75" s="93"/>
      <c r="ME75" s="93"/>
      <c r="MF75" s="93"/>
      <c r="MG75" s="93"/>
      <c r="MH75" s="93"/>
      <c r="MI75" s="93"/>
      <c r="MJ75" s="93"/>
      <c r="MK75" s="93"/>
      <c r="ML75" s="93"/>
      <c r="MM75" s="93"/>
      <c r="MN75" s="93"/>
      <c r="MO75" s="93"/>
      <c r="MP75" s="93"/>
      <c r="MQ75" s="93"/>
      <c r="MR75" s="93"/>
      <c r="MS75" s="93"/>
      <c r="MT75" s="93"/>
      <c r="MU75" s="93"/>
      <c r="MV75" s="93"/>
      <c r="MW75" s="93"/>
      <c r="MX75" s="93"/>
      <c r="MY75" s="93"/>
      <c r="MZ75" s="93"/>
      <c r="NA75" s="93"/>
      <c r="NB75" s="93"/>
      <c r="NC75" s="93"/>
      <c r="ND75" s="93"/>
      <c r="NE75" s="93"/>
      <c r="NF75" s="93"/>
      <c r="NG75" s="93"/>
      <c r="NH75" s="93"/>
      <c r="NI75" s="93"/>
      <c r="NJ75" s="93"/>
      <c r="NK75" s="93"/>
      <c r="NL75" s="93"/>
      <c r="NM75" s="93"/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93"/>
      <c r="OD75" s="93"/>
      <c r="OE75" s="93"/>
      <c r="OF75" s="93"/>
      <c r="OG75" s="93"/>
      <c r="OH75" s="93"/>
      <c r="OI75" s="93"/>
      <c r="OJ75" s="93"/>
      <c r="OK75" s="93"/>
      <c r="OL75" s="93"/>
      <c r="OM75" s="93"/>
      <c r="ON75" s="93"/>
      <c r="OO75" s="93"/>
      <c r="OP75" s="93"/>
      <c r="OQ75" s="93"/>
      <c r="OR75" s="93"/>
      <c r="OS75" s="93"/>
      <c r="OT75" s="93"/>
      <c r="OU75" s="93"/>
      <c r="OV75" s="93"/>
      <c r="OW75" s="93"/>
      <c r="OX75" s="93"/>
      <c r="OY75" s="93"/>
      <c r="OZ75" s="93"/>
      <c r="PA75" s="93"/>
      <c r="PB75" s="93"/>
      <c r="PC75" s="93"/>
      <c r="PD75" s="93"/>
      <c r="PE75" s="93"/>
      <c r="PF75" s="93"/>
      <c r="PG75" s="93"/>
      <c r="PH75" s="93"/>
      <c r="PI75" s="93"/>
      <c r="PJ75" s="93"/>
      <c r="PK75" s="93"/>
      <c r="PL75" s="93"/>
      <c r="PM75" s="93"/>
      <c r="PN75" s="93"/>
      <c r="PO75" s="93"/>
      <c r="PP75" s="93"/>
      <c r="PQ75" s="93"/>
      <c r="PR75" s="93"/>
      <c r="PS75" s="93"/>
      <c r="PT75" s="93"/>
      <c r="PU75" s="93"/>
      <c r="PV75" s="93"/>
      <c r="PW75" s="93"/>
      <c r="PX75" s="93"/>
      <c r="PY75" s="93"/>
      <c r="PZ75" s="93"/>
      <c r="QA75" s="93"/>
      <c r="QB75" s="93"/>
      <c r="QC75" s="93"/>
      <c r="QD75" s="93"/>
      <c r="QE75" s="93"/>
      <c r="QF75" s="93"/>
      <c r="QG75" s="93"/>
      <c r="QH75" s="93"/>
      <c r="QI75" s="93"/>
      <c r="QJ75" s="93"/>
      <c r="QK75" s="93"/>
      <c r="QL75" s="93"/>
      <c r="QM75" s="93"/>
      <c r="QN75" s="93"/>
      <c r="QO75" s="93"/>
      <c r="QP75" s="93"/>
      <c r="QQ75" s="93"/>
      <c r="QR75" s="93"/>
      <c r="QS75" s="93"/>
      <c r="QT75" s="93"/>
      <c r="QU75" s="93"/>
      <c r="QV75" s="93"/>
      <c r="QW75" s="93"/>
      <c r="QX75" s="93"/>
      <c r="QY75" s="93"/>
      <c r="QZ75" s="93"/>
      <c r="RA75" s="93"/>
      <c r="RB75" s="93"/>
      <c r="RC75" s="93"/>
      <c r="RD75" s="93"/>
      <c r="RE75" s="93"/>
      <c r="RF75" s="93"/>
      <c r="RG75" s="93"/>
      <c r="RH75" s="93"/>
      <c r="RI75" s="93"/>
      <c r="RJ75" s="93"/>
      <c r="RK75" s="93"/>
      <c r="RL75" s="93"/>
      <c r="RM75" s="93"/>
      <c r="RN75" s="93"/>
      <c r="RO75" s="93"/>
      <c r="RP75" s="93"/>
      <c r="RQ75" s="93"/>
      <c r="RR75" s="93"/>
      <c r="RS75" s="93"/>
      <c r="RT75" s="93"/>
      <c r="RU75" s="93"/>
      <c r="RV75" s="93"/>
      <c r="RW75" s="93"/>
      <c r="RX75" s="93"/>
      <c r="RY75" s="93"/>
      <c r="RZ75" s="93"/>
      <c r="SA75" s="93"/>
      <c r="SB75" s="93"/>
      <c r="SC75" s="93"/>
      <c r="SD75" s="93"/>
      <c r="SE75" s="93"/>
      <c r="SF75" s="93"/>
      <c r="SG75" s="93"/>
      <c r="SH75" s="93"/>
      <c r="SI75" s="93"/>
      <c r="SJ75" s="93"/>
      <c r="SK75" s="93"/>
      <c r="SL75" s="93"/>
      <c r="SM75" s="93"/>
      <c r="SN75" s="93"/>
      <c r="SO75" s="93"/>
      <c r="SP75" s="93"/>
      <c r="SQ75" s="93"/>
      <c r="SR75" s="93"/>
      <c r="SS75" s="93"/>
      <c r="ST75" s="93"/>
      <c r="SU75" s="93"/>
      <c r="SV75" s="93"/>
      <c r="SW75" s="93"/>
      <c r="SX75" s="93"/>
      <c r="SY75" s="93"/>
      <c r="SZ75" s="93"/>
      <c r="TA75" s="93"/>
      <c r="TB75" s="93"/>
      <c r="TC75" s="93"/>
      <c r="TD75" s="93"/>
      <c r="TE75" s="93"/>
      <c r="TF75" s="93"/>
      <c r="TG75" s="93"/>
      <c r="TH75" s="93"/>
      <c r="TI75" s="93"/>
      <c r="TJ75" s="93"/>
      <c r="TK75" s="93"/>
      <c r="TL75" s="93"/>
      <c r="TM75" s="93"/>
      <c r="TN75" s="93"/>
      <c r="TO75" s="93"/>
      <c r="TP75" s="93"/>
      <c r="TQ75" s="93"/>
      <c r="TR75" s="93"/>
      <c r="TS75" s="93"/>
      <c r="TT75" s="93"/>
      <c r="TU75" s="93"/>
      <c r="TV75" s="93"/>
      <c r="TW75" s="93"/>
      <c r="TX75" s="93"/>
      <c r="TY75" s="93"/>
      <c r="TZ75" s="93"/>
      <c r="UA75" s="93"/>
      <c r="UB75" s="93"/>
      <c r="UC75" s="93"/>
      <c r="UD75" s="93"/>
      <c r="UE75" s="93"/>
      <c r="UF75" s="93"/>
      <c r="UG75" s="93"/>
      <c r="UH75" s="93"/>
      <c r="UI75" s="93"/>
      <c r="UJ75" s="93"/>
      <c r="UK75" s="93"/>
      <c r="UL75" s="93"/>
      <c r="UM75" s="93"/>
      <c r="UN75" s="93"/>
      <c r="UO75" s="93"/>
      <c r="UP75" s="93"/>
      <c r="UQ75" s="93"/>
      <c r="UR75" s="93"/>
      <c r="US75" s="93"/>
      <c r="UT75" s="93"/>
      <c r="UU75" s="93"/>
      <c r="UV75" s="93"/>
      <c r="UW75" s="93"/>
      <c r="UX75" s="93"/>
      <c r="UY75" s="93"/>
      <c r="UZ75" s="93"/>
      <c r="VA75" s="93"/>
      <c r="VB75" s="93"/>
    </row>
    <row r="76" spans="1:574" s="93" customFormat="1" hidden="1" x14ac:dyDescent="0.3">
      <c r="C76" s="181"/>
      <c r="M76" s="193"/>
      <c r="N76" s="193"/>
      <c r="O76" s="196">
        <v>60000</v>
      </c>
      <c r="P76" s="193"/>
      <c r="Q76" s="196">
        <f t="shared" si="20"/>
        <v>14900</v>
      </c>
      <c r="R76" s="203">
        <f t="shared" si="21"/>
        <v>74900</v>
      </c>
      <c r="S76" s="205">
        <v>749000</v>
      </c>
      <c r="T76" s="217">
        <f>R76-S76</f>
        <v>-674100</v>
      </c>
      <c r="U76" s="193"/>
      <c r="V76" s="193"/>
      <c r="W76" s="193"/>
      <c r="X76" s="193"/>
      <c r="Y76" s="111"/>
      <c r="Z76" s="94"/>
    </row>
    <row r="77" spans="1:574" x14ac:dyDescent="0.3">
      <c r="A77" s="74" t="s">
        <v>189</v>
      </c>
      <c r="B77" s="64" t="s">
        <v>393</v>
      </c>
      <c r="C77" s="179">
        <v>44595</v>
      </c>
      <c r="D77" s="38"/>
      <c r="E77" s="6">
        <v>44959</v>
      </c>
      <c r="F77" s="1" t="s">
        <v>394</v>
      </c>
      <c r="G77" s="1" t="s">
        <v>394</v>
      </c>
      <c r="H77" s="8"/>
      <c r="I77" t="s">
        <v>395</v>
      </c>
      <c r="J77" s="1" t="s">
        <v>38</v>
      </c>
      <c r="K77" s="1" t="s">
        <v>396</v>
      </c>
      <c r="L77" s="1" t="s">
        <v>62</v>
      </c>
      <c r="M77" s="192"/>
      <c r="N77" s="192"/>
      <c r="O77" s="196">
        <v>60000</v>
      </c>
      <c r="P77" s="196"/>
      <c r="Q77" s="196">
        <f t="shared" si="20"/>
        <v>14900</v>
      </c>
      <c r="R77" s="203">
        <f t="shared" si="21"/>
        <v>74900</v>
      </c>
      <c r="S77" s="205">
        <v>74900</v>
      </c>
      <c r="T77" s="217">
        <f>R77-S77</f>
        <v>0</v>
      </c>
      <c r="V77" s="40"/>
      <c r="W77" s="40" t="s">
        <v>369</v>
      </c>
      <c r="X77" s="43"/>
      <c r="Y77" s="35"/>
    </row>
    <row r="78" spans="1:574" s="67" customFormat="1" x14ac:dyDescent="0.3">
      <c r="A78" s="128" t="s">
        <v>430</v>
      </c>
      <c r="B78" s="73" t="s">
        <v>398</v>
      </c>
      <c r="C78" s="178">
        <v>44599</v>
      </c>
      <c r="D78" s="68"/>
      <c r="E78" s="68">
        <v>44963</v>
      </c>
      <c r="F78" s="69" t="s">
        <v>399</v>
      </c>
      <c r="G78" s="69" t="s">
        <v>399</v>
      </c>
      <c r="H78" s="70"/>
      <c r="I78" s="67" t="s">
        <v>400</v>
      </c>
      <c r="J78" s="69" t="s">
        <v>38</v>
      </c>
      <c r="K78" s="69" t="s">
        <v>401</v>
      </c>
      <c r="L78" s="69" t="s">
        <v>62</v>
      </c>
      <c r="M78" s="191"/>
      <c r="N78" s="191"/>
      <c r="O78" s="187">
        <v>75000</v>
      </c>
      <c r="P78" s="187"/>
      <c r="Q78" s="187">
        <f t="shared" si="20"/>
        <v>17375</v>
      </c>
      <c r="R78" s="72">
        <f t="shared" si="21"/>
        <v>92375</v>
      </c>
      <c r="S78" s="197">
        <v>92375</v>
      </c>
      <c r="T78" s="218">
        <f>R78-S78</f>
        <v>0</v>
      </c>
      <c r="U78" s="212"/>
      <c r="V78" s="72"/>
      <c r="W78" s="72" t="s">
        <v>262</v>
      </c>
      <c r="X78" s="236"/>
      <c r="Y78" s="68"/>
      <c r="Z78" s="69"/>
      <c r="AA78" s="69"/>
    </row>
    <row r="79" spans="1:574" x14ac:dyDescent="0.3">
      <c r="A79" s="74" t="s">
        <v>189</v>
      </c>
      <c r="B79" s="64" t="s">
        <v>402</v>
      </c>
      <c r="C79" s="179">
        <v>44602</v>
      </c>
      <c r="D79" s="38">
        <v>44690</v>
      </c>
      <c r="E79" s="6">
        <v>44966</v>
      </c>
      <c r="F79" s="1" t="s">
        <v>336</v>
      </c>
      <c r="G79" s="1" t="s">
        <v>403</v>
      </c>
      <c r="H79" s="8" t="s">
        <v>910</v>
      </c>
      <c r="I79" t="s">
        <v>404</v>
      </c>
      <c r="J79" s="1" t="s">
        <v>38</v>
      </c>
      <c r="K79" s="1" t="s">
        <v>405</v>
      </c>
      <c r="L79" s="1" t="s">
        <v>62</v>
      </c>
      <c r="M79" s="192"/>
      <c r="N79" s="192"/>
      <c r="O79" s="196">
        <v>60000</v>
      </c>
      <c r="P79" s="196"/>
      <c r="Q79" s="196">
        <f t="shared" si="20"/>
        <v>14900</v>
      </c>
      <c r="R79" s="203">
        <f t="shared" si="21"/>
        <v>74900</v>
      </c>
      <c r="S79" s="205">
        <f>39950+34950</f>
        <v>74900</v>
      </c>
      <c r="T79" s="217">
        <f>R79-S79</f>
        <v>0</v>
      </c>
      <c r="V79" s="40"/>
      <c r="W79" s="40" t="s">
        <v>262</v>
      </c>
      <c r="X79" s="43"/>
      <c r="Y79" s="35"/>
    </row>
    <row r="80" spans="1:574" x14ac:dyDescent="0.3">
      <c r="A80" s="74" t="s">
        <v>189</v>
      </c>
      <c r="B80" s="64" t="s">
        <v>406</v>
      </c>
      <c r="C80" s="179">
        <v>44603</v>
      </c>
      <c r="D80" s="38"/>
      <c r="E80" s="6">
        <v>44967</v>
      </c>
      <c r="F80" s="1" t="s">
        <v>407</v>
      </c>
      <c r="G80" s="1" t="s">
        <v>408</v>
      </c>
      <c r="H80" s="8"/>
      <c r="I80" t="s">
        <v>409</v>
      </c>
      <c r="J80" s="1" t="s">
        <v>38</v>
      </c>
      <c r="K80" s="1" t="s">
        <v>360</v>
      </c>
      <c r="L80" s="1" t="s">
        <v>62</v>
      </c>
      <c r="M80" s="192"/>
      <c r="N80" s="192"/>
      <c r="O80" s="196">
        <v>60000</v>
      </c>
      <c r="P80" s="196"/>
      <c r="Q80" s="196">
        <f t="shared" si="20"/>
        <v>14900</v>
      </c>
      <c r="R80" s="203">
        <f t="shared" si="21"/>
        <v>74900</v>
      </c>
      <c r="S80" s="205">
        <v>74900</v>
      </c>
      <c r="T80" s="217">
        <f t="shared" ref="T80:T85" si="23">R80-S80</f>
        <v>0</v>
      </c>
      <c r="V80" s="40"/>
      <c r="W80" s="40" t="s">
        <v>262</v>
      </c>
      <c r="X80" s="43"/>
      <c r="Y80" s="35"/>
    </row>
    <row r="81" spans="1:26" ht="28.8" x14ac:dyDescent="0.3">
      <c r="A81" s="74" t="s">
        <v>189</v>
      </c>
      <c r="B81" s="64" t="s">
        <v>410</v>
      </c>
      <c r="C81" s="179">
        <v>44608</v>
      </c>
      <c r="D81" s="38">
        <v>44696</v>
      </c>
      <c r="E81" s="6">
        <v>44972</v>
      </c>
      <c r="F81" s="1" t="s">
        <v>155</v>
      </c>
      <c r="G81" s="1" t="s">
        <v>155</v>
      </c>
      <c r="H81" s="8"/>
      <c r="I81" t="s">
        <v>157</v>
      </c>
      <c r="J81" s="1" t="s">
        <v>38</v>
      </c>
      <c r="K81" s="1" t="s">
        <v>411</v>
      </c>
      <c r="L81" s="1" t="s">
        <v>62</v>
      </c>
      <c r="M81" s="192">
        <v>2500000</v>
      </c>
      <c r="N81" s="192"/>
      <c r="O81" s="196">
        <v>100000</v>
      </c>
      <c r="P81" s="196"/>
      <c r="Q81" s="196">
        <f t="shared" si="20"/>
        <v>21500</v>
      </c>
      <c r="R81" s="203">
        <f>SUM(O81:Q81)</f>
        <v>121500</v>
      </c>
      <c r="S81" s="205">
        <f>63250+58250</f>
        <v>121500</v>
      </c>
      <c r="T81" s="217">
        <f t="shared" si="23"/>
        <v>0</v>
      </c>
      <c r="V81" s="40"/>
      <c r="W81" s="40" t="s">
        <v>262</v>
      </c>
      <c r="X81" s="43"/>
      <c r="Y81" s="35"/>
    </row>
    <row r="82" spans="1:26" x14ac:dyDescent="0.3">
      <c r="A82" s="79" t="s">
        <v>430</v>
      </c>
      <c r="B82" s="64" t="s">
        <v>412</v>
      </c>
      <c r="C82" s="179">
        <v>44608</v>
      </c>
      <c r="D82" s="38">
        <v>44696</v>
      </c>
      <c r="E82" s="6"/>
      <c r="F82" s="1" t="s">
        <v>413</v>
      </c>
      <c r="G82" s="1" t="s">
        <v>414</v>
      </c>
      <c r="H82" s="8">
        <v>26599</v>
      </c>
      <c r="I82" t="s">
        <v>415</v>
      </c>
      <c r="J82" s="1" t="s">
        <v>38</v>
      </c>
      <c r="K82" s="1" t="s">
        <v>19</v>
      </c>
      <c r="L82" s="1" t="s">
        <v>62</v>
      </c>
      <c r="M82" s="192"/>
      <c r="N82" s="192"/>
      <c r="O82" s="196">
        <v>60000</v>
      </c>
      <c r="P82" s="196"/>
      <c r="Q82" s="196">
        <f t="shared" si="20"/>
        <v>14900</v>
      </c>
      <c r="R82" s="203">
        <f t="shared" si="21"/>
        <v>74900</v>
      </c>
      <c r="S82" s="205">
        <v>40000</v>
      </c>
      <c r="T82" s="217">
        <f t="shared" si="23"/>
        <v>34900</v>
      </c>
      <c r="V82" s="40"/>
      <c r="W82" s="40" t="s">
        <v>262</v>
      </c>
      <c r="X82" s="43"/>
      <c r="Y82" s="35"/>
    </row>
    <row r="83" spans="1:26" x14ac:dyDescent="0.3">
      <c r="A83" s="74" t="s">
        <v>432</v>
      </c>
      <c r="B83" s="64" t="s">
        <v>416</v>
      </c>
      <c r="C83" s="179">
        <v>44608</v>
      </c>
      <c r="D83" s="38">
        <v>44696</v>
      </c>
      <c r="E83" s="6"/>
      <c r="F83" s="1" t="s">
        <v>417</v>
      </c>
      <c r="G83" s="1" t="s">
        <v>417</v>
      </c>
      <c r="H83" s="8"/>
      <c r="I83" t="s">
        <v>418</v>
      </c>
      <c r="J83" s="1" t="s">
        <v>38</v>
      </c>
      <c r="K83" s="1" t="s">
        <v>419</v>
      </c>
      <c r="L83" s="1" t="s">
        <v>62</v>
      </c>
      <c r="M83" s="192"/>
      <c r="N83" s="192"/>
      <c r="O83" s="196">
        <v>60000</v>
      </c>
      <c r="P83" s="196"/>
      <c r="Q83" s="196">
        <f t="shared" si="20"/>
        <v>14900</v>
      </c>
      <c r="R83" s="203">
        <f>SUM(O83:Q83)</f>
        <v>74900</v>
      </c>
      <c r="S83" s="205">
        <v>40000</v>
      </c>
      <c r="T83" s="217">
        <f t="shared" si="23"/>
        <v>34900</v>
      </c>
      <c r="V83" s="40"/>
      <c r="W83" s="40" t="s">
        <v>262</v>
      </c>
      <c r="X83" s="43"/>
      <c r="Y83" s="35"/>
    </row>
    <row r="84" spans="1:26" x14ac:dyDescent="0.3">
      <c r="A84" s="74" t="s">
        <v>432</v>
      </c>
      <c r="B84" s="64" t="s">
        <v>420</v>
      </c>
      <c r="C84" s="179">
        <v>44614</v>
      </c>
      <c r="D84" s="38">
        <v>44702</v>
      </c>
      <c r="E84" s="6">
        <v>44978</v>
      </c>
      <c r="F84" s="1" t="s">
        <v>421</v>
      </c>
      <c r="G84" s="1" t="s">
        <v>421</v>
      </c>
      <c r="H84" s="8"/>
      <c r="I84" t="s">
        <v>422</v>
      </c>
      <c r="J84" s="1" t="s">
        <v>38</v>
      </c>
      <c r="K84" s="1" t="s">
        <v>130</v>
      </c>
      <c r="L84" s="1" t="s">
        <v>62</v>
      </c>
      <c r="M84" s="192"/>
      <c r="N84" s="192"/>
      <c r="O84" s="196">
        <v>60000</v>
      </c>
      <c r="P84" s="196"/>
      <c r="Q84" s="196">
        <f t="shared" si="20"/>
        <v>14900</v>
      </c>
      <c r="R84" s="203">
        <f t="shared" si="21"/>
        <v>74900</v>
      </c>
      <c r="S84" s="203">
        <f>40000+34900</f>
        <v>74900</v>
      </c>
      <c r="T84" s="217">
        <f t="shared" si="23"/>
        <v>0</v>
      </c>
      <c r="V84" s="40"/>
      <c r="W84" s="40" t="s">
        <v>262</v>
      </c>
      <c r="X84" s="43"/>
      <c r="Y84" s="35"/>
    </row>
    <row r="85" spans="1:26" x14ac:dyDescent="0.3">
      <c r="A85" s="74" t="s">
        <v>189</v>
      </c>
      <c r="B85" s="64" t="s">
        <v>426</v>
      </c>
      <c r="C85" s="179">
        <v>44621</v>
      </c>
      <c r="D85" s="38">
        <v>44712</v>
      </c>
      <c r="E85" s="6"/>
      <c r="F85" s="1" t="s">
        <v>427</v>
      </c>
      <c r="G85" s="1" t="s">
        <v>427</v>
      </c>
      <c r="H85" s="8"/>
      <c r="I85" t="s">
        <v>428</v>
      </c>
      <c r="J85" s="1" t="s">
        <v>38</v>
      </c>
      <c r="K85" s="1" t="s">
        <v>429</v>
      </c>
      <c r="L85" s="1" t="s">
        <v>62</v>
      </c>
      <c r="M85" s="192"/>
      <c r="N85" s="192"/>
      <c r="O85" s="196">
        <v>60000</v>
      </c>
      <c r="P85" s="196"/>
      <c r="Q85" s="196">
        <f t="shared" si="20"/>
        <v>14900</v>
      </c>
      <c r="R85" s="203">
        <f t="shared" si="21"/>
        <v>74900</v>
      </c>
      <c r="S85" s="203">
        <v>40000</v>
      </c>
      <c r="T85" s="217">
        <f t="shared" si="23"/>
        <v>34900</v>
      </c>
      <c r="V85" s="40"/>
      <c r="W85" s="40" t="s">
        <v>262</v>
      </c>
      <c r="X85" s="43"/>
      <c r="Y85" s="35"/>
    </row>
    <row r="86" spans="1:26" hidden="1" x14ac:dyDescent="0.3">
      <c r="A86" s="74"/>
      <c r="B86" s="64"/>
      <c r="D86" s="38"/>
      <c r="E86" s="6"/>
      <c r="H86" s="8"/>
      <c r="L86" s="1"/>
      <c r="M86" s="192"/>
      <c r="N86" s="192"/>
      <c r="O86" s="196"/>
      <c r="P86" s="196"/>
      <c r="Q86" s="196"/>
      <c r="R86" s="203"/>
      <c r="S86" s="203"/>
      <c r="T86" s="217"/>
      <c r="V86" s="40"/>
      <c r="W86" s="40"/>
      <c r="X86" s="43"/>
      <c r="Y86" s="35"/>
    </row>
    <row r="87" spans="1:26" x14ac:dyDescent="0.3">
      <c r="A87" s="74" t="s">
        <v>189</v>
      </c>
      <c r="B87" s="64" t="s">
        <v>433</v>
      </c>
      <c r="C87" s="179">
        <v>44626</v>
      </c>
      <c r="D87" s="38">
        <v>44717</v>
      </c>
      <c r="E87" s="6">
        <v>44991</v>
      </c>
      <c r="F87" s="1" t="s">
        <v>163</v>
      </c>
      <c r="G87" s="1" t="s">
        <v>163</v>
      </c>
      <c r="H87" s="8"/>
      <c r="I87" t="s">
        <v>164</v>
      </c>
      <c r="J87" s="1" t="s">
        <v>38</v>
      </c>
      <c r="K87" s="1" t="s">
        <v>434</v>
      </c>
      <c r="L87" s="1" t="s">
        <v>62</v>
      </c>
      <c r="M87" s="192"/>
      <c r="N87" s="192"/>
      <c r="O87" s="196">
        <v>60000</v>
      </c>
      <c r="P87" s="196"/>
      <c r="Q87" s="196">
        <f t="shared" si="20"/>
        <v>14900</v>
      </c>
      <c r="R87" s="203">
        <f t="shared" si="21"/>
        <v>74900</v>
      </c>
      <c r="S87" s="203">
        <f>40000+34950</f>
        <v>74950</v>
      </c>
      <c r="T87" s="217">
        <f t="shared" ref="T87:T92" si="24">R87-S87</f>
        <v>-50</v>
      </c>
      <c r="V87" s="40"/>
      <c r="W87" s="40" t="s">
        <v>262</v>
      </c>
      <c r="X87" s="43"/>
      <c r="Y87" s="35"/>
    </row>
    <row r="88" spans="1:26" x14ac:dyDescent="0.3">
      <c r="A88" s="74" t="s">
        <v>430</v>
      </c>
      <c r="B88" s="64" t="s">
        <v>454</v>
      </c>
      <c r="C88" s="179">
        <v>44630</v>
      </c>
      <c r="D88" s="38">
        <v>44721</v>
      </c>
      <c r="E88" s="6">
        <v>44994</v>
      </c>
      <c r="F88" s="1" t="s">
        <v>455</v>
      </c>
      <c r="G88" s="1" t="s">
        <v>455</v>
      </c>
      <c r="H88" s="8" t="s">
        <v>456</v>
      </c>
      <c r="I88" t="s">
        <v>457</v>
      </c>
      <c r="J88" s="1" t="s">
        <v>38</v>
      </c>
      <c r="K88" s="1" t="s">
        <v>259</v>
      </c>
      <c r="L88" s="1" t="s">
        <v>20</v>
      </c>
      <c r="M88" s="192">
        <v>4500000</v>
      </c>
      <c r="N88" s="192">
        <v>5.5E-2</v>
      </c>
      <c r="O88" s="196">
        <f>M88*N88</f>
        <v>247500</v>
      </c>
      <c r="P88" s="196"/>
      <c r="Q88" s="196">
        <f t="shared" si="20"/>
        <v>45837.5</v>
      </c>
      <c r="R88" s="203">
        <f>SUM(O88:Q88)</f>
        <v>293337.5</v>
      </c>
      <c r="S88" s="203">
        <f>149168.8+144168.7</f>
        <v>293337.5</v>
      </c>
      <c r="T88" s="217">
        <f t="shared" si="24"/>
        <v>0</v>
      </c>
      <c r="V88" s="40"/>
      <c r="W88" s="40"/>
      <c r="X88" s="43"/>
      <c r="Y88" s="35"/>
    </row>
    <row r="89" spans="1:26" x14ac:dyDescent="0.3">
      <c r="A89" s="74" t="s">
        <v>430</v>
      </c>
      <c r="B89" s="64" t="s">
        <v>472</v>
      </c>
      <c r="C89" s="179">
        <v>44630</v>
      </c>
      <c r="D89" s="38">
        <v>44721</v>
      </c>
      <c r="E89" s="6">
        <v>44994</v>
      </c>
      <c r="F89" s="1" t="s">
        <v>473</v>
      </c>
      <c r="G89" s="1" t="s">
        <v>473</v>
      </c>
      <c r="H89" s="8" t="s">
        <v>475</v>
      </c>
      <c r="I89" t="s">
        <v>474</v>
      </c>
      <c r="J89" s="1" t="s">
        <v>38</v>
      </c>
      <c r="K89" s="1" t="s">
        <v>299</v>
      </c>
      <c r="L89" s="1" t="s">
        <v>20</v>
      </c>
      <c r="M89" s="192">
        <v>16000000</v>
      </c>
      <c r="N89" s="192"/>
      <c r="O89" s="196">
        <v>750000</v>
      </c>
      <c r="P89" s="196"/>
      <c r="Q89" s="196">
        <f t="shared" si="20"/>
        <v>128750</v>
      </c>
      <c r="R89" s="203">
        <f t="shared" si="21"/>
        <v>878750</v>
      </c>
      <c r="S89" s="203">
        <f>442000+436750</f>
        <v>878750</v>
      </c>
      <c r="T89" s="217">
        <f t="shared" si="24"/>
        <v>0</v>
      </c>
      <c r="V89" s="40"/>
      <c r="W89" s="40" t="s">
        <v>262</v>
      </c>
      <c r="X89" s="43"/>
      <c r="Y89" s="35"/>
    </row>
    <row r="90" spans="1:26" x14ac:dyDescent="0.3">
      <c r="A90" s="74" t="s">
        <v>189</v>
      </c>
      <c r="B90" s="64" t="s">
        <v>476</v>
      </c>
      <c r="C90" s="179">
        <v>44631</v>
      </c>
      <c r="D90" s="38"/>
      <c r="E90" s="6">
        <v>44762</v>
      </c>
      <c r="F90" s="1" t="s">
        <v>477</v>
      </c>
      <c r="G90" s="1" t="s">
        <v>478</v>
      </c>
      <c r="H90" s="8"/>
      <c r="I90" t="s">
        <v>479</v>
      </c>
      <c r="J90" s="1" t="s">
        <v>38</v>
      </c>
      <c r="K90" s="1" t="s">
        <v>480</v>
      </c>
      <c r="L90" s="1" t="s">
        <v>62</v>
      </c>
      <c r="M90" s="192"/>
      <c r="N90" s="192"/>
      <c r="O90" s="196">
        <v>60000</v>
      </c>
      <c r="P90" s="196"/>
      <c r="Q90" s="196">
        <f>(O90+P90)*16.5%</f>
        <v>9900</v>
      </c>
      <c r="R90" s="203">
        <f t="shared" si="21"/>
        <v>69900</v>
      </c>
      <c r="S90" s="203">
        <v>34950</v>
      </c>
      <c r="T90" s="217">
        <f t="shared" si="24"/>
        <v>34950</v>
      </c>
      <c r="V90" s="40"/>
      <c r="W90" s="40" t="s">
        <v>262</v>
      </c>
      <c r="X90" s="43"/>
      <c r="Y90" s="35"/>
    </row>
    <row r="91" spans="1:26" x14ac:dyDescent="0.3">
      <c r="A91" s="74" t="s">
        <v>189</v>
      </c>
      <c r="B91" s="64" t="s">
        <v>445</v>
      </c>
      <c r="C91" s="179">
        <v>44636</v>
      </c>
      <c r="D91" s="38">
        <v>44727</v>
      </c>
      <c r="E91" s="6">
        <v>45000</v>
      </c>
      <c r="F91" s="1" t="s">
        <v>111</v>
      </c>
      <c r="G91" s="1" t="s">
        <v>175</v>
      </c>
      <c r="H91" s="8"/>
      <c r="I91" t="s">
        <v>178</v>
      </c>
      <c r="J91" s="1" t="s">
        <v>38</v>
      </c>
      <c r="K91" s="1" t="s">
        <v>176</v>
      </c>
      <c r="L91" s="1" t="s">
        <v>20</v>
      </c>
      <c r="M91" s="192">
        <v>7500000</v>
      </c>
      <c r="N91" s="192">
        <v>4.4999999999999998E-2</v>
      </c>
      <c r="O91" s="196">
        <f>M91*N91</f>
        <v>337500</v>
      </c>
      <c r="P91" s="196">
        <v>80000</v>
      </c>
      <c r="Q91" s="196">
        <f>(O91+P91)*16.5%+5000</f>
        <v>73887.5</v>
      </c>
      <c r="R91" s="203">
        <f t="shared" si="21"/>
        <v>491387.5</v>
      </c>
      <c r="S91" s="203">
        <v>140000</v>
      </c>
      <c r="T91" s="217">
        <f t="shared" si="24"/>
        <v>351387.5</v>
      </c>
      <c r="V91" s="40"/>
      <c r="W91" s="40" t="s">
        <v>262</v>
      </c>
      <c r="X91" s="43"/>
      <c r="Y91" s="35"/>
    </row>
    <row r="92" spans="1:26" x14ac:dyDescent="0.3">
      <c r="A92" s="74" t="s">
        <v>190</v>
      </c>
      <c r="B92" s="64" t="s">
        <v>486</v>
      </c>
      <c r="C92" s="179">
        <v>44643</v>
      </c>
      <c r="D92" s="38"/>
      <c r="E92" s="6">
        <v>45007</v>
      </c>
      <c r="F92" s="1" t="s">
        <v>180</v>
      </c>
      <c r="G92" s="1" t="s">
        <v>180</v>
      </c>
      <c r="H92" s="8"/>
      <c r="I92" t="s">
        <v>487</v>
      </c>
      <c r="J92" s="1" t="s">
        <v>38</v>
      </c>
      <c r="K92" s="1" t="s">
        <v>488</v>
      </c>
      <c r="L92" s="1" t="s">
        <v>20</v>
      </c>
      <c r="M92" s="192">
        <v>3000000</v>
      </c>
      <c r="N92" s="192">
        <v>0.05</v>
      </c>
      <c r="O92" s="196">
        <f>M92*N92</f>
        <v>150000</v>
      </c>
      <c r="P92" s="196"/>
      <c r="Q92" s="196">
        <f>(O92+P92)*16.5%+5000</f>
        <v>29750</v>
      </c>
      <c r="R92" s="203">
        <f t="shared" si="21"/>
        <v>179750</v>
      </c>
      <c r="S92" s="203">
        <v>179750</v>
      </c>
      <c r="T92" s="217">
        <f t="shared" si="24"/>
        <v>0</v>
      </c>
      <c r="V92" s="40"/>
      <c r="W92" s="40"/>
      <c r="X92" s="43"/>
      <c r="Y92" s="35"/>
    </row>
    <row r="93" spans="1:26" x14ac:dyDescent="0.3">
      <c r="A93" s="74" t="s">
        <v>190</v>
      </c>
      <c r="B93" s="64" t="s">
        <v>482</v>
      </c>
      <c r="C93" s="179">
        <v>44649</v>
      </c>
      <c r="D93" s="38">
        <v>44740</v>
      </c>
      <c r="E93" s="6">
        <v>45013</v>
      </c>
      <c r="F93" s="1" t="s">
        <v>180</v>
      </c>
      <c r="G93" s="1" t="s">
        <v>180</v>
      </c>
      <c r="H93" s="8"/>
      <c r="I93" t="s">
        <v>181</v>
      </c>
      <c r="J93" s="1" t="s">
        <v>38</v>
      </c>
      <c r="K93" s="1" t="s">
        <v>182</v>
      </c>
      <c r="L93" s="1" t="s">
        <v>20</v>
      </c>
      <c r="M93" s="192">
        <v>6000000</v>
      </c>
      <c r="N93" s="192">
        <v>0.05</v>
      </c>
      <c r="O93" s="196">
        <f>M93*N93</f>
        <v>300000</v>
      </c>
      <c r="P93" s="196"/>
      <c r="Q93" s="196">
        <f>(O93+P93)*16.5%+5000</f>
        <v>54500</v>
      </c>
      <c r="R93" s="203">
        <f t="shared" si="21"/>
        <v>354500</v>
      </c>
      <c r="S93" s="203">
        <v>162275</v>
      </c>
      <c r="T93" s="217">
        <f>R93-S93</f>
        <v>192225</v>
      </c>
      <c r="V93" s="40"/>
      <c r="W93" s="40" t="s">
        <v>262</v>
      </c>
      <c r="X93" s="43"/>
      <c r="Y93" s="35"/>
    </row>
    <row r="94" spans="1:26" x14ac:dyDescent="0.3">
      <c r="A94" s="74" t="s">
        <v>189</v>
      </c>
      <c r="B94" s="64" t="s">
        <v>481</v>
      </c>
      <c r="C94" s="179">
        <v>44650</v>
      </c>
      <c r="D94" s="38">
        <v>44771</v>
      </c>
      <c r="E94" s="6">
        <v>45014</v>
      </c>
      <c r="F94" s="1" t="s">
        <v>421</v>
      </c>
      <c r="G94" s="1" t="s">
        <v>421</v>
      </c>
      <c r="H94" s="8" t="s">
        <v>386</v>
      </c>
      <c r="I94" t="s">
        <v>185</v>
      </c>
      <c r="J94" s="1" t="s">
        <v>38</v>
      </c>
      <c r="K94" s="1" t="s">
        <v>360</v>
      </c>
      <c r="L94" s="1" t="s">
        <v>20</v>
      </c>
      <c r="M94" s="192">
        <v>15000000</v>
      </c>
      <c r="N94" s="192">
        <v>4.4999999999999998E-2</v>
      </c>
      <c r="O94" s="196">
        <f>M94*N94</f>
        <v>675000</v>
      </c>
      <c r="P94" s="196"/>
      <c r="Q94" s="196">
        <f>(O94+P94)*16.5%+5000</f>
        <v>116375</v>
      </c>
      <c r="R94" s="203">
        <f>SUM(O94:Q94)</f>
        <v>791375</v>
      </c>
      <c r="S94" s="203">
        <f>400000+391375</f>
        <v>791375</v>
      </c>
      <c r="T94" s="217">
        <f>R94-S94</f>
        <v>0</v>
      </c>
      <c r="V94" s="40"/>
      <c r="W94" s="40" t="s">
        <v>262</v>
      </c>
      <c r="X94" s="43"/>
      <c r="Y94" s="35"/>
    </row>
    <row r="95" spans="1:26" hidden="1" x14ac:dyDescent="0.3">
      <c r="A95" s="74"/>
      <c r="B95" s="64"/>
      <c r="D95" s="38"/>
      <c r="E95" s="6"/>
      <c r="H95" s="8"/>
      <c r="L95" s="1"/>
      <c r="M95" s="192"/>
      <c r="N95" s="192"/>
      <c r="O95" s="196"/>
      <c r="P95" s="196"/>
      <c r="Q95" s="196"/>
      <c r="R95" s="203"/>
      <c r="S95" s="203"/>
      <c r="T95" s="217"/>
      <c r="V95" s="40"/>
      <c r="W95" s="40"/>
      <c r="X95" s="43"/>
      <c r="Y95" s="35"/>
    </row>
    <row r="96" spans="1:26" s="87" customFormat="1" x14ac:dyDescent="0.3">
      <c r="A96" s="86" t="s">
        <v>189</v>
      </c>
      <c r="B96" s="88" t="s">
        <v>467</v>
      </c>
      <c r="C96" s="182">
        <v>44655</v>
      </c>
      <c r="D96" s="90">
        <v>44745</v>
      </c>
      <c r="E96" s="129">
        <v>45019</v>
      </c>
      <c r="F96" s="88" t="s">
        <v>468</v>
      </c>
      <c r="G96" s="88" t="s">
        <v>468</v>
      </c>
      <c r="H96" s="89" t="s">
        <v>142</v>
      </c>
      <c r="I96" s="88" t="s">
        <v>469</v>
      </c>
      <c r="J96" s="88" t="s">
        <v>38</v>
      </c>
      <c r="K96" s="88" t="s">
        <v>470</v>
      </c>
      <c r="L96" s="88" t="s">
        <v>471</v>
      </c>
      <c r="O96" s="87">
        <v>60000</v>
      </c>
      <c r="Q96" s="196">
        <f>(O96+P96)*16.5%+5000</f>
        <v>14900</v>
      </c>
      <c r="R96" s="203">
        <f>SUM(O96:Q96)</f>
        <v>74900</v>
      </c>
      <c r="S96" s="203">
        <f>40000+34900</f>
        <v>74900</v>
      </c>
      <c r="T96" s="217">
        <f>R96-S96</f>
        <v>0</v>
      </c>
      <c r="U96" s="227"/>
      <c r="W96" s="88" t="s">
        <v>262</v>
      </c>
      <c r="Y96" s="112"/>
      <c r="Z96" s="114"/>
    </row>
    <row r="97" spans="1:26" x14ac:dyDescent="0.3">
      <c r="A97" s="74" t="s">
        <v>430</v>
      </c>
      <c r="B97" s="64" t="s">
        <v>446</v>
      </c>
      <c r="C97" s="179">
        <v>44656</v>
      </c>
      <c r="D97" s="38">
        <v>44746</v>
      </c>
      <c r="E97" s="6">
        <v>45020</v>
      </c>
      <c r="F97" s="1" t="s">
        <v>447</v>
      </c>
      <c r="G97" s="1" t="s">
        <v>448</v>
      </c>
      <c r="H97" s="8" t="s">
        <v>449</v>
      </c>
      <c r="I97" t="s">
        <v>450</v>
      </c>
      <c r="J97" s="1" t="s">
        <v>38</v>
      </c>
      <c r="K97" s="1" t="s">
        <v>451</v>
      </c>
      <c r="L97" s="1" t="s">
        <v>62</v>
      </c>
      <c r="M97" s="192">
        <v>5500000</v>
      </c>
      <c r="N97"/>
      <c r="O97" s="196">
        <v>60000</v>
      </c>
      <c r="P97" s="196"/>
      <c r="Q97" s="196">
        <f>(O97+P97)*16.5%+5000</f>
        <v>14900</v>
      </c>
      <c r="R97" s="203">
        <f>SUM(O97:Q97)</f>
        <v>74900</v>
      </c>
      <c r="S97" s="203">
        <f>40000+34900</f>
        <v>74900</v>
      </c>
      <c r="T97" s="217">
        <f>R97-S97</f>
        <v>0</v>
      </c>
      <c r="V97" s="40"/>
      <c r="W97" s="40" t="s">
        <v>453</v>
      </c>
      <c r="X97" s="43"/>
      <c r="Y97" s="35"/>
    </row>
    <row r="98" spans="1:26" x14ac:dyDescent="0.3">
      <c r="A98" s="74" t="s">
        <v>430</v>
      </c>
      <c r="B98" s="64" t="s">
        <v>463</v>
      </c>
      <c r="C98" s="179">
        <v>44658</v>
      </c>
      <c r="D98" s="38"/>
      <c r="E98" s="6">
        <v>45022</v>
      </c>
      <c r="F98" s="1" t="s">
        <v>464</v>
      </c>
      <c r="G98" s="1" t="s">
        <v>464</v>
      </c>
      <c r="H98" s="8" t="s">
        <v>466</v>
      </c>
      <c r="I98" t="s">
        <v>465</v>
      </c>
      <c r="J98" s="1" t="s">
        <v>38</v>
      </c>
      <c r="K98" s="1" t="s">
        <v>224</v>
      </c>
      <c r="L98" s="1" t="s">
        <v>62</v>
      </c>
      <c r="M98" s="192">
        <v>5000000</v>
      </c>
      <c r="N98"/>
      <c r="O98" s="196">
        <v>75000</v>
      </c>
      <c r="P98" s="196"/>
      <c r="Q98" s="196">
        <f>(O98+P98)*16.5%+5000</f>
        <v>17375</v>
      </c>
      <c r="R98" s="203">
        <f>SUM(O98:Q98)</f>
        <v>92375</v>
      </c>
      <c r="S98" s="203">
        <v>92375</v>
      </c>
      <c r="T98" s="217">
        <f>R98-S98</f>
        <v>0</v>
      </c>
      <c r="V98" s="40"/>
      <c r="W98" s="40" t="s">
        <v>262</v>
      </c>
      <c r="X98" s="43"/>
      <c r="Y98" s="35"/>
    </row>
    <row r="99" spans="1:26" x14ac:dyDescent="0.3">
      <c r="A99" s="85" t="s">
        <v>189</v>
      </c>
      <c r="B99" s="64" t="s">
        <v>458</v>
      </c>
      <c r="C99" s="179">
        <v>44662</v>
      </c>
      <c r="D99" s="38"/>
      <c r="E99" s="6">
        <v>44661</v>
      </c>
      <c r="F99" s="1" t="s">
        <v>459</v>
      </c>
      <c r="G99" s="1" t="s">
        <v>459</v>
      </c>
      <c r="H99" s="8" t="s">
        <v>462</v>
      </c>
      <c r="I99" t="s">
        <v>460</v>
      </c>
      <c r="J99" s="1" t="s">
        <v>38</v>
      </c>
      <c r="K99" s="1" t="s">
        <v>461</v>
      </c>
      <c r="L99" s="1" t="s">
        <v>62</v>
      </c>
      <c r="M99" s="192"/>
      <c r="N99" s="192"/>
      <c r="O99" s="196">
        <v>60000</v>
      </c>
      <c r="P99" s="196"/>
      <c r="Q99" s="196">
        <f>(O99+P99)*16.5%+5000</f>
        <v>14900</v>
      </c>
      <c r="R99" s="203">
        <f>SUM(O99:Q99)</f>
        <v>74900</v>
      </c>
      <c r="S99" s="203"/>
      <c r="T99" s="217">
        <f t="shared" ref="T99:T105" si="25">R99-S99</f>
        <v>74900</v>
      </c>
      <c r="V99" s="40"/>
      <c r="W99" s="40" t="s">
        <v>262</v>
      </c>
      <c r="X99" s="43"/>
      <c r="Y99" s="35"/>
    </row>
    <row r="100" spans="1:26" hidden="1" x14ac:dyDescent="0.3">
      <c r="A100" s="85"/>
      <c r="B100" s="64"/>
      <c r="D100" s="38"/>
      <c r="E100" s="6"/>
      <c r="H100" s="8"/>
      <c r="L100" s="1"/>
      <c r="M100" s="192"/>
      <c r="N100" s="192"/>
      <c r="O100" s="196"/>
      <c r="P100" s="196"/>
      <c r="Q100" s="196"/>
      <c r="R100" s="203"/>
      <c r="S100" s="203"/>
      <c r="T100" s="217"/>
      <c r="V100" s="40"/>
      <c r="W100" s="40"/>
      <c r="X100" s="43"/>
      <c r="Y100" s="35"/>
    </row>
    <row r="101" spans="1:26" x14ac:dyDescent="0.3">
      <c r="A101" s="85" t="s">
        <v>189</v>
      </c>
      <c r="B101" s="64" t="s">
        <v>483</v>
      </c>
      <c r="C101" s="179">
        <v>44668</v>
      </c>
      <c r="D101" s="38">
        <v>44748</v>
      </c>
      <c r="E101" s="6">
        <v>45032</v>
      </c>
      <c r="F101" s="1" t="s">
        <v>198</v>
      </c>
      <c r="G101" s="1" t="s">
        <v>391</v>
      </c>
      <c r="H101" s="8"/>
      <c r="I101" t="s">
        <v>200</v>
      </c>
      <c r="J101" s="1" t="s">
        <v>38</v>
      </c>
      <c r="K101" s="1" t="s">
        <v>94</v>
      </c>
      <c r="L101" s="1" t="s">
        <v>62</v>
      </c>
      <c r="M101" s="192"/>
      <c r="N101" s="192"/>
      <c r="O101" s="196">
        <v>60000</v>
      </c>
      <c r="P101" s="196"/>
      <c r="Q101" s="196">
        <f>(O101+P101)*16.5%+5000</f>
        <v>14900</v>
      </c>
      <c r="R101" s="203">
        <f t="shared" ref="R101:R106" si="26">SUM(O101:Q101)</f>
        <v>74900</v>
      </c>
      <c r="S101" s="203">
        <f>39950+34950</f>
        <v>74900</v>
      </c>
      <c r="T101" s="217">
        <f t="shared" si="25"/>
        <v>0</v>
      </c>
      <c r="V101" s="40"/>
      <c r="W101" s="40" t="s">
        <v>262</v>
      </c>
      <c r="X101" s="43"/>
      <c r="Y101" s="35"/>
    </row>
    <row r="102" spans="1:26" x14ac:dyDescent="0.3">
      <c r="A102" s="85" t="s">
        <v>190</v>
      </c>
      <c r="B102" s="64" t="s">
        <v>497</v>
      </c>
      <c r="C102" s="179">
        <v>44672</v>
      </c>
      <c r="D102" s="38"/>
      <c r="E102" s="6">
        <v>45036</v>
      </c>
      <c r="F102" s="1" t="s">
        <v>498</v>
      </c>
      <c r="G102" s="1" t="s">
        <v>498</v>
      </c>
      <c r="H102" s="8" t="s">
        <v>503</v>
      </c>
      <c r="I102" t="s">
        <v>499</v>
      </c>
      <c r="J102" s="1" t="s">
        <v>38</v>
      </c>
      <c r="K102" s="1" t="s">
        <v>500</v>
      </c>
      <c r="L102" s="1" t="s">
        <v>62</v>
      </c>
      <c r="M102" s="192"/>
      <c r="N102" s="192"/>
      <c r="O102" s="196">
        <v>75000</v>
      </c>
      <c r="P102" s="196"/>
      <c r="Q102" s="196">
        <f>(O102+P102)*16.5%+5000</f>
        <v>17375</v>
      </c>
      <c r="R102" s="203">
        <f t="shared" si="26"/>
        <v>92375</v>
      </c>
      <c r="S102" s="203">
        <v>92375</v>
      </c>
      <c r="T102" s="217">
        <f t="shared" si="25"/>
        <v>0</v>
      </c>
      <c r="V102" s="40"/>
      <c r="W102" s="40" t="s">
        <v>262</v>
      </c>
      <c r="X102" s="43"/>
      <c r="Y102" s="35"/>
    </row>
    <row r="103" spans="1:26" ht="16.2" customHeight="1" x14ac:dyDescent="0.3">
      <c r="A103" s="85" t="s">
        <v>191</v>
      </c>
      <c r="B103" s="64" t="s">
        <v>501</v>
      </c>
      <c r="C103" s="179">
        <v>44672</v>
      </c>
      <c r="D103" s="38"/>
      <c r="E103" s="6">
        <v>45036</v>
      </c>
      <c r="F103" s="1" t="s">
        <v>502</v>
      </c>
      <c r="G103" s="1" t="s">
        <v>502</v>
      </c>
      <c r="H103" s="8" t="s">
        <v>504</v>
      </c>
      <c r="I103" t="s">
        <v>505</v>
      </c>
      <c r="J103" s="1" t="s">
        <v>38</v>
      </c>
      <c r="K103" s="1" t="s">
        <v>360</v>
      </c>
      <c r="L103" s="1" t="s">
        <v>62</v>
      </c>
      <c r="M103" s="192"/>
      <c r="N103" s="192"/>
      <c r="O103" s="196">
        <v>60000</v>
      </c>
      <c r="P103" s="196"/>
      <c r="Q103" s="196">
        <f>(O103+P103)*16.5%+5000</f>
        <v>14900</v>
      </c>
      <c r="R103" s="203">
        <f t="shared" si="26"/>
        <v>74900</v>
      </c>
      <c r="S103" s="203">
        <v>74900</v>
      </c>
      <c r="T103" s="217">
        <f t="shared" si="25"/>
        <v>0</v>
      </c>
      <c r="V103" s="40"/>
      <c r="W103" s="40" t="s">
        <v>262</v>
      </c>
      <c r="X103" s="43"/>
      <c r="Y103" s="35"/>
    </row>
    <row r="104" spans="1:26" x14ac:dyDescent="0.3">
      <c r="A104" s="85" t="s">
        <v>190</v>
      </c>
      <c r="B104" s="64" t="s">
        <v>506</v>
      </c>
      <c r="C104" s="179">
        <v>44674</v>
      </c>
      <c r="D104" s="38"/>
      <c r="E104" s="6">
        <v>45038</v>
      </c>
      <c r="F104" s="1" t="s">
        <v>507</v>
      </c>
      <c r="G104" s="1" t="s">
        <v>507</v>
      </c>
      <c r="H104" s="8" t="s">
        <v>508</v>
      </c>
      <c r="I104" t="s">
        <v>509</v>
      </c>
      <c r="J104" s="1" t="s">
        <v>38</v>
      </c>
      <c r="K104" s="1" t="s">
        <v>510</v>
      </c>
      <c r="L104" s="1" t="s">
        <v>511</v>
      </c>
      <c r="M104" s="192">
        <v>3000000</v>
      </c>
      <c r="N104" s="192">
        <v>0.05</v>
      </c>
      <c r="O104" s="196">
        <f>M104*N104</f>
        <v>150000</v>
      </c>
      <c r="P104" s="196"/>
      <c r="Q104" s="196">
        <f>(O104+P104)*16.5%+5000</f>
        <v>29750</v>
      </c>
      <c r="R104" s="203">
        <f t="shared" si="26"/>
        <v>179750</v>
      </c>
      <c r="S104" s="203">
        <v>92375</v>
      </c>
      <c r="T104" s="217">
        <f t="shared" si="25"/>
        <v>87375</v>
      </c>
      <c r="V104" s="40"/>
      <c r="W104" s="40" t="s">
        <v>262</v>
      </c>
      <c r="X104" s="43"/>
      <c r="Y104" s="35"/>
    </row>
    <row r="105" spans="1:26" x14ac:dyDescent="0.3">
      <c r="A105" s="85" t="s">
        <v>190</v>
      </c>
      <c r="B105" s="64" t="s">
        <v>512</v>
      </c>
      <c r="C105" s="179">
        <v>44680</v>
      </c>
      <c r="D105" s="38"/>
      <c r="E105" s="6">
        <v>45044</v>
      </c>
      <c r="F105" s="1" t="s">
        <v>513</v>
      </c>
      <c r="G105" s="1" t="s">
        <v>513</v>
      </c>
      <c r="H105" s="8" t="s">
        <v>514</v>
      </c>
      <c r="I105" t="s">
        <v>515</v>
      </c>
      <c r="J105" s="1" t="s">
        <v>38</v>
      </c>
      <c r="K105" s="1" t="s">
        <v>451</v>
      </c>
      <c r="L105" s="1" t="s">
        <v>62</v>
      </c>
      <c r="M105" s="192"/>
      <c r="N105" s="192"/>
      <c r="O105" s="196">
        <v>60000</v>
      </c>
      <c r="P105" s="196"/>
      <c r="Q105" s="196">
        <f>(O105+P105)*16.5%+5000</f>
        <v>14900</v>
      </c>
      <c r="R105" s="203">
        <f t="shared" si="26"/>
        <v>74900</v>
      </c>
      <c r="S105" s="203">
        <v>74900</v>
      </c>
      <c r="T105" s="217">
        <f t="shared" si="25"/>
        <v>0</v>
      </c>
      <c r="V105" s="40"/>
      <c r="W105" s="40" t="s">
        <v>262</v>
      </c>
      <c r="X105" s="43"/>
      <c r="Y105" s="35"/>
    </row>
    <row r="106" spans="1:26" s="64" customFormat="1" ht="16.95" customHeight="1" x14ac:dyDescent="0.3">
      <c r="A106" s="64" t="s">
        <v>190</v>
      </c>
      <c r="B106" s="64" t="s">
        <v>516</v>
      </c>
      <c r="C106" s="179">
        <v>44690</v>
      </c>
      <c r="D106" s="97"/>
      <c r="E106" s="98">
        <v>45054</v>
      </c>
      <c r="F106" s="64" t="s">
        <v>517</v>
      </c>
      <c r="G106" s="64" t="s">
        <v>517</v>
      </c>
      <c r="H106" s="99" t="s">
        <v>194</v>
      </c>
      <c r="I106" s="64" t="s">
        <v>518</v>
      </c>
      <c r="J106" s="64" t="s">
        <v>38</v>
      </c>
      <c r="K106" s="64" t="s">
        <v>519</v>
      </c>
      <c r="L106" s="64" t="s">
        <v>62</v>
      </c>
      <c r="M106" s="188">
        <v>6000000</v>
      </c>
      <c r="N106"/>
      <c r="O106" s="194">
        <v>60000</v>
      </c>
      <c r="P106"/>
      <c r="Q106" s="194">
        <f t="shared" ref="Q106:Q113" si="27">(O106+P106)*16.5%+5000</f>
        <v>14900</v>
      </c>
      <c r="R106" s="204">
        <f t="shared" si="26"/>
        <v>74900</v>
      </c>
      <c r="S106" s="205">
        <v>74900</v>
      </c>
      <c r="T106" s="219">
        <f t="shared" ref="T106:T113" si="28">R106-S106</f>
        <v>0</v>
      </c>
      <c r="U106" s="231"/>
      <c r="V106"/>
      <c r="W106" t="s">
        <v>262</v>
      </c>
      <c r="X106"/>
      <c r="Y106" s="113"/>
      <c r="Z106" s="97"/>
    </row>
    <row r="107" spans="1:26" s="64" customFormat="1" ht="18" customHeight="1" x14ac:dyDescent="0.3">
      <c r="A107" s="64" t="s">
        <v>189</v>
      </c>
      <c r="B107" s="64" t="s">
        <v>520</v>
      </c>
      <c r="C107" s="179">
        <v>44690</v>
      </c>
      <c r="D107" s="97"/>
      <c r="E107" s="98">
        <v>45054</v>
      </c>
      <c r="F107" s="64" t="s">
        <v>521</v>
      </c>
      <c r="G107" s="64" t="s">
        <v>521</v>
      </c>
      <c r="H107" s="99" t="s">
        <v>522</v>
      </c>
      <c r="I107" s="64" t="s">
        <v>523</v>
      </c>
      <c r="J107" s="64" t="s">
        <v>38</v>
      </c>
      <c r="K107" s="64" t="s">
        <v>524</v>
      </c>
      <c r="L107" s="64" t="s">
        <v>511</v>
      </c>
      <c r="M107" s="194">
        <v>6000000</v>
      </c>
      <c r="N107">
        <v>0.05</v>
      </c>
      <c r="O107" s="194">
        <f>M107*N107</f>
        <v>300000</v>
      </c>
      <c r="P107"/>
      <c r="Q107" s="194">
        <f t="shared" si="27"/>
        <v>54500</v>
      </c>
      <c r="R107" s="204">
        <f t="shared" ref="R107:R113" si="29">SUM(O107:Q107)</f>
        <v>354500</v>
      </c>
      <c r="S107" s="205">
        <v>354500</v>
      </c>
      <c r="T107" s="219">
        <f t="shared" si="28"/>
        <v>0</v>
      </c>
      <c r="U107" s="231"/>
      <c r="V107"/>
      <c r="W107" t="s">
        <v>262</v>
      </c>
      <c r="X107"/>
      <c r="Y107" s="113"/>
      <c r="Z107" s="97"/>
    </row>
    <row r="108" spans="1:26" s="40" customFormat="1" x14ac:dyDescent="0.3">
      <c r="A108" s="50" t="s">
        <v>189</v>
      </c>
      <c r="B108" s="39" t="s">
        <v>845</v>
      </c>
      <c r="C108" s="180">
        <v>44699</v>
      </c>
      <c r="D108" s="44">
        <v>44790</v>
      </c>
      <c r="E108" s="42">
        <v>45063</v>
      </c>
      <c r="F108" s="40" t="s">
        <v>230</v>
      </c>
      <c r="G108" s="40" t="s">
        <v>230</v>
      </c>
      <c r="H108" s="8"/>
      <c r="I108" s="40" t="s">
        <v>635</v>
      </c>
      <c r="J108" s="40" t="s">
        <v>38</v>
      </c>
      <c r="K108" s="46" t="s">
        <v>636</v>
      </c>
      <c r="L108" s="40" t="s">
        <v>20</v>
      </c>
      <c r="M108" s="189">
        <v>4500000</v>
      </c>
      <c r="N108" s="225">
        <v>0.05</v>
      </c>
      <c r="O108" s="40">
        <f>M108*N108</f>
        <v>225000</v>
      </c>
      <c r="Q108">
        <f>(O108+P108)*16.5%+5000</f>
        <v>42125</v>
      </c>
      <c r="R108" s="203">
        <f>SUM(O108:Q108)</f>
        <v>267125</v>
      </c>
      <c r="S108" s="205">
        <v>267125</v>
      </c>
      <c r="T108" s="217">
        <f>R108-S108</f>
        <v>0</v>
      </c>
      <c r="U108" s="228"/>
      <c r="X108" s="43"/>
      <c r="Y108" s="45"/>
      <c r="Z108" s="44"/>
    </row>
    <row r="109" spans="1:26" s="64" customFormat="1" ht="17.399999999999999" customHeight="1" x14ac:dyDescent="0.3">
      <c r="A109" s="64" t="s">
        <v>637</v>
      </c>
      <c r="B109" s="64" t="s">
        <v>529</v>
      </c>
      <c r="C109" s="179">
        <v>44708</v>
      </c>
      <c r="D109" s="97"/>
      <c r="E109" s="98">
        <v>45072</v>
      </c>
      <c r="F109" s="64" t="s">
        <v>526</v>
      </c>
      <c r="G109" s="64" t="s">
        <v>526</v>
      </c>
      <c r="H109" s="99" t="s">
        <v>527</v>
      </c>
      <c r="I109" s="64" t="s">
        <v>528</v>
      </c>
      <c r="J109" s="64" t="s">
        <v>38</v>
      </c>
      <c r="K109" s="64" t="s">
        <v>378</v>
      </c>
      <c r="L109" s="64" t="s">
        <v>62</v>
      </c>
      <c r="M109"/>
      <c r="N109"/>
      <c r="O109" s="194">
        <v>60000</v>
      </c>
      <c r="P109"/>
      <c r="Q109" s="194">
        <f t="shared" si="27"/>
        <v>14900</v>
      </c>
      <c r="R109" s="204">
        <f t="shared" si="29"/>
        <v>74900</v>
      </c>
      <c r="S109" s="205">
        <v>74900</v>
      </c>
      <c r="T109" s="219">
        <f t="shared" si="28"/>
        <v>0</v>
      </c>
      <c r="U109" s="231"/>
      <c r="V109"/>
      <c r="W109" t="s">
        <v>262</v>
      </c>
      <c r="X109"/>
      <c r="Y109" s="113"/>
      <c r="Z109" s="97"/>
    </row>
    <row r="110" spans="1:26" s="64" customFormat="1" ht="19.2" customHeight="1" x14ac:dyDescent="0.3">
      <c r="A110" s="64" t="s">
        <v>430</v>
      </c>
      <c r="B110" s="64" t="s">
        <v>525</v>
      </c>
      <c r="C110" s="179">
        <v>44708</v>
      </c>
      <c r="D110" s="97"/>
      <c r="E110" s="98">
        <v>45072</v>
      </c>
      <c r="F110" s="64" t="s">
        <v>530</v>
      </c>
      <c r="G110" s="64" t="s">
        <v>530</v>
      </c>
      <c r="H110" s="99" t="s">
        <v>531</v>
      </c>
      <c r="I110" s="64" t="s">
        <v>532</v>
      </c>
      <c r="J110" s="64" t="s">
        <v>38</v>
      </c>
      <c r="K110" s="64" t="s">
        <v>533</v>
      </c>
      <c r="L110" s="64" t="s">
        <v>511</v>
      </c>
      <c r="M110" s="194">
        <v>17000000</v>
      </c>
      <c r="N110">
        <v>5.2999999999999999E-2</v>
      </c>
      <c r="O110" s="194">
        <f>M110*N110</f>
        <v>901000</v>
      </c>
      <c r="P110"/>
      <c r="Q110" s="194">
        <f t="shared" si="27"/>
        <v>153665</v>
      </c>
      <c r="R110" s="204">
        <f t="shared" si="29"/>
        <v>1054665</v>
      </c>
      <c r="S110" s="205">
        <v>1054665</v>
      </c>
      <c r="T110" s="219">
        <f t="shared" si="28"/>
        <v>0</v>
      </c>
      <c r="U110" s="231"/>
      <c r="V110"/>
      <c r="W110" t="s">
        <v>262</v>
      </c>
      <c r="X110"/>
      <c r="Y110" s="113"/>
      <c r="Z110" s="97"/>
    </row>
    <row r="111" spans="1:26" s="73" customFormat="1" ht="19.2" customHeight="1" x14ac:dyDescent="0.3">
      <c r="A111" s="73" t="s">
        <v>190</v>
      </c>
      <c r="B111" s="73" t="s">
        <v>534</v>
      </c>
      <c r="C111" s="178">
        <v>44712</v>
      </c>
      <c r="D111" s="73">
        <v>45168</v>
      </c>
      <c r="F111" s="73" t="s">
        <v>535</v>
      </c>
      <c r="G111" s="73" t="s">
        <v>535</v>
      </c>
      <c r="H111" s="100" t="s">
        <v>536</v>
      </c>
      <c r="I111" s="73" t="s">
        <v>537</v>
      </c>
      <c r="J111" s="73" t="s">
        <v>38</v>
      </c>
      <c r="K111" s="73" t="s">
        <v>538</v>
      </c>
      <c r="L111" s="73" t="s">
        <v>62</v>
      </c>
      <c r="M111" s="67"/>
      <c r="N111" s="67"/>
      <c r="O111" s="197">
        <v>60000</v>
      </c>
      <c r="P111" s="67"/>
      <c r="Q111" s="197">
        <f t="shared" si="27"/>
        <v>14900</v>
      </c>
      <c r="R111" s="67">
        <f t="shared" si="29"/>
        <v>74900</v>
      </c>
      <c r="S111" s="197">
        <v>40000</v>
      </c>
      <c r="T111" s="220">
        <f t="shared" si="28"/>
        <v>34900</v>
      </c>
      <c r="U111" s="67"/>
      <c r="V111" s="67"/>
      <c r="W111" s="67" t="s">
        <v>262</v>
      </c>
      <c r="X111" s="67"/>
    </row>
    <row r="112" spans="1:26" s="64" customFormat="1" ht="21.6" customHeight="1" x14ac:dyDescent="0.3">
      <c r="A112" s="64" t="s">
        <v>638</v>
      </c>
      <c r="B112" s="64" t="s">
        <v>543</v>
      </c>
      <c r="C112" s="179">
        <v>44712</v>
      </c>
      <c r="D112" s="97"/>
      <c r="E112" s="98">
        <v>45076</v>
      </c>
      <c r="F112" s="64" t="s">
        <v>544</v>
      </c>
      <c r="G112" s="64" t="s">
        <v>544</v>
      </c>
      <c r="H112" s="99" t="s">
        <v>545</v>
      </c>
      <c r="I112" s="64" t="s">
        <v>546</v>
      </c>
      <c r="J112" s="64" t="s">
        <v>38</v>
      </c>
      <c r="K112" s="64" t="s">
        <v>547</v>
      </c>
      <c r="L112" s="64" t="s">
        <v>62</v>
      </c>
      <c r="M112"/>
      <c r="N112"/>
      <c r="O112" s="194">
        <v>60000</v>
      </c>
      <c r="P112"/>
      <c r="Q112" s="194">
        <f t="shared" si="27"/>
        <v>14900</v>
      </c>
      <c r="R112" s="204">
        <f t="shared" si="29"/>
        <v>74900</v>
      </c>
      <c r="S112" s="205">
        <f>40000+34900</f>
        <v>74900</v>
      </c>
      <c r="T112" s="219">
        <f t="shared" si="28"/>
        <v>0</v>
      </c>
      <c r="U112" s="231"/>
      <c r="V112"/>
      <c r="W112" t="s">
        <v>262</v>
      </c>
      <c r="X112"/>
      <c r="Y112" s="113"/>
      <c r="Z112" s="97"/>
    </row>
    <row r="113" spans="1:27" s="64" customFormat="1" ht="19.2" customHeight="1" x14ac:dyDescent="0.3">
      <c r="A113" s="64" t="s">
        <v>190</v>
      </c>
      <c r="B113" s="64" t="s">
        <v>539</v>
      </c>
      <c r="C113" s="179">
        <v>44712</v>
      </c>
      <c r="D113" s="97">
        <v>45168</v>
      </c>
      <c r="E113" s="98">
        <v>45076</v>
      </c>
      <c r="F113" s="64" t="s">
        <v>540</v>
      </c>
      <c r="G113" s="64" t="s">
        <v>540</v>
      </c>
      <c r="I113" s="64" t="s">
        <v>541</v>
      </c>
      <c r="J113" s="64" t="s">
        <v>38</v>
      </c>
      <c r="K113" s="64" t="s">
        <v>542</v>
      </c>
      <c r="L113" s="64" t="s">
        <v>62</v>
      </c>
      <c r="M113"/>
      <c r="N113"/>
      <c r="O113" s="194">
        <v>60000</v>
      </c>
      <c r="P113"/>
      <c r="Q113" s="194">
        <f t="shared" si="27"/>
        <v>14900</v>
      </c>
      <c r="R113" s="205">
        <f t="shared" si="29"/>
        <v>74900</v>
      </c>
      <c r="S113" s="205">
        <f>39950+34950</f>
        <v>74900</v>
      </c>
      <c r="T113" s="219">
        <f t="shared" si="28"/>
        <v>0</v>
      </c>
      <c r="U113" s="231"/>
      <c r="V113"/>
      <c r="W113" t="s">
        <v>262</v>
      </c>
      <c r="X113"/>
      <c r="Y113" s="113"/>
      <c r="Z113" s="97"/>
    </row>
    <row r="114" spans="1:27" x14ac:dyDescent="0.3">
      <c r="A114" s="85" t="s">
        <v>639</v>
      </c>
      <c r="B114" s="64" t="s">
        <v>548</v>
      </c>
      <c r="C114" s="179">
        <v>44714</v>
      </c>
      <c r="D114" s="38"/>
      <c r="E114" s="6">
        <v>45078</v>
      </c>
      <c r="F114" s="1" t="s">
        <v>549</v>
      </c>
      <c r="G114" s="1" t="s">
        <v>549</v>
      </c>
      <c r="H114" s="8"/>
      <c r="I114" s="64" t="s">
        <v>550</v>
      </c>
      <c r="J114" s="1" t="s">
        <v>38</v>
      </c>
      <c r="K114" s="1" t="s">
        <v>551</v>
      </c>
      <c r="L114" s="1" t="s">
        <v>62</v>
      </c>
      <c r="M114" s="192"/>
      <c r="N114" s="192"/>
      <c r="O114" s="196">
        <v>60000</v>
      </c>
      <c r="P114" s="196"/>
      <c r="Q114" s="196">
        <f t="shared" ref="Q114:Q120" si="30">(O114+P114)*16.5%+5000</f>
        <v>14900</v>
      </c>
      <c r="R114" s="203">
        <f t="shared" ref="R114:R120" si="31">SUM(O114:Q114)</f>
        <v>74900</v>
      </c>
      <c r="S114" s="203">
        <v>74900</v>
      </c>
      <c r="T114" s="217">
        <f t="shared" ref="T114:T120" si="32">R114-S114</f>
        <v>0</v>
      </c>
      <c r="V114" s="40"/>
      <c r="W114" s="40" t="s">
        <v>262</v>
      </c>
      <c r="X114" s="43"/>
      <c r="Y114" s="35"/>
    </row>
    <row r="115" spans="1:27" ht="16.95" customHeight="1" x14ac:dyDescent="0.3">
      <c r="A115" s="85" t="s">
        <v>189</v>
      </c>
      <c r="B115" s="64" t="s">
        <v>552</v>
      </c>
      <c r="C115" s="179">
        <v>44719</v>
      </c>
      <c r="D115" s="38">
        <v>44810</v>
      </c>
      <c r="E115" s="6">
        <v>45083</v>
      </c>
      <c r="F115" s="1" t="s">
        <v>390</v>
      </c>
      <c r="G115" s="1" t="s">
        <v>390</v>
      </c>
      <c r="H115" s="8" t="s">
        <v>211</v>
      </c>
      <c r="I115" s="64" t="s">
        <v>212</v>
      </c>
      <c r="J115" s="1" t="s">
        <v>38</v>
      </c>
      <c r="K115" s="1" t="s">
        <v>19</v>
      </c>
      <c r="L115" s="1" t="s">
        <v>511</v>
      </c>
      <c r="M115" s="192">
        <v>2800000</v>
      </c>
      <c r="N115" s="192">
        <v>0.05</v>
      </c>
      <c r="O115" s="196">
        <v>150000</v>
      </c>
      <c r="P115" s="196"/>
      <c r="Q115" s="196">
        <f t="shared" si="30"/>
        <v>29750</v>
      </c>
      <c r="R115" s="203">
        <f t="shared" si="31"/>
        <v>179750</v>
      </c>
      <c r="S115" s="203">
        <v>179750</v>
      </c>
      <c r="T115" s="217">
        <f t="shared" si="32"/>
        <v>0</v>
      </c>
      <c r="V115" s="40"/>
      <c r="W115" s="40" t="s">
        <v>262</v>
      </c>
      <c r="X115" s="43"/>
      <c r="Y115" s="35"/>
    </row>
    <row r="116" spans="1:27" ht="16.95" customHeight="1" x14ac:dyDescent="0.3">
      <c r="A116" s="85" t="s">
        <v>189</v>
      </c>
      <c r="B116" s="64" t="s">
        <v>685</v>
      </c>
      <c r="C116" s="179">
        <v>44722</v>
      </c>
      <c r="D116" s="38">
        <v>44813</v>
      </c>
      <c r="E116" s="6">
        <v>45086</v>
      </c>
      <c r="F116" s="1" t="s">
        <v>686</v>
      </c>
      <c r="G116" s="1" t="s">
        <v>686</v>
      </c>
      <c r="H116" s="8"/>
      <c r="I116" s="64" t="s">
        <v>687</v>
      </c>
      <c r="J116" s="1" t="s">
        <v>38</v>
      </c>
      <c r="K116" s="1" t="s">
        <v>608</v>
      </c>
      <c r="L116" s="1" t="s">
        <v>511</v>
      </c>
      <c r="M116" s="192">
        <v>2500000</v>
      </c>
      <c r="N116" s="192">
        <v>0.04</v>
      </c>
      <c r="O116" s="196">
        <f>M116*N116</f>
        <v>100000</v>
      </c>
      <c r="P116" s="196"/>
      <c r="Q116" s="196">
        <f t="shared" si="30"/>
        <v>21500</v>
      </c>
      <c r="R116" s="203">
        <f t="shared" si="31"/>
        <v>121500</v>
      </c>
      <c r="S116" s="203">
        <f>58250+121500</f>
        <v>179750</v>
      </c>
      <c r="T116" s="217">
        <f t="shared" si="32"/>
        <v>-58250</v>
      </c>
      <c r="V116" s="40"/>
      <c r="W116" s="40"/>
      <c r="X116" s="43"/>
      <c r="Y116" s="35"/>
    </row>
    <row r="117" spans="1:27" ht="18" customHeight="1" x14ac:dyDescent="0.3">
      <c r="A117" s="85" t="s">
        <v>189</v>
      </c>
      <c r="B117" s="64" t="s">
        <v>553</v>
      </c>
      <c r="C117" s="179">
        <v>44729</v>
      </c>
      <c r="D117" s="38">
        <v>44789</v>
      </c>
      <c r="E117" s="6">
        <v>45093</v>
      </c>
      <c r="F117" s="1" t="s">
        <v>203</v>
      </c>
      <c r="G117" s="1" t="s">
        <v>203</v>
      </c>
      <c r="H117" s="8" t="s">
        <v>36</v>
      </c>
      <c r="I117" s="64" t="s">
        <v>554</v>
      </c>
      <c r="J117" s="1" t="s">
        <v>555</v>
      </c>
      <c r="K117" s="1" t="s">
        <v>40</v>
      </c>
      <c r="L117" s="1" t="s">
        <v>511</v>
      </c>
      <c r="M117" s="192">
        <v>3000000</v>
      </c>
      <c r="N117" s="192">
        <v>0.05</v>
      </c>
      <c r="O117" s="196">
        <f>M117*N117</f>
        <v>150000</v>
      </c>
      <c r="P117" s="196">
        <v>12000</v>
      </c>
      <c r="Q117" s="196">
        <f t="shared" si="30"/>
        <v>31730</v>
      </c>
      <c r="R117" s="203">
        <f t="shared" si="31"/>
        <v>193730</v>
      </c>
      <c r="S117" s="203">
        <v>193730</v>
      </c>
      <c r="T117" s="217">
        <f t="shared" si="32"/>
        <v>0</v>
      </c>
      <c r="V117" s="40"/>
      <c r="W117" s="40" t="s">
        <v>262</v>
      </c>
      <c r="X117" s="43"/>
      <c r="Y117" s="35"/>
    </row>
    <row r="118" spans="1:27" ht="16.95" customHeight="1" x14ac:dyDescent="0.3">
      <c r="A118" s="85" t="s">
        <v>189</v>
      </c>
      <c r="B118" s="64" t="s">
        <v>556</v>
      </c>
      <c r="C118" s="179">
        <v>44732</v>
      </c>
      <c r="D118" s="38">
        <v>44823</v>
      </c>
      <c r="E118" s="6">
        <v>45096</v>
      </c>
      <c r="F118" s="1" t="s">
        <v>372</v>
      </c>
      <c r="G118" s="1" t="s">
        <v>372</v>
      </c>
      <c r="H118" s="8"/>
      <c r="I118" s="64" t="s">
        <v>271</v>
      </c>
      <c r="J118" s="1" t="s">
        <v>38</v>
      </c>
      <c r="K118" s="1" t="s">
        <v>305</v>
      </c>
      <c r="L118" s="1" t="s">
        <v>62</v>
      </c>
      <c r="M118" s="192"/>
      <c r="N118" s="192"/>
      <c r="O118" s="196">
        <v>60000</v>
      </c>
      <c r="P118" s="196"/>
      <c r="Q118" s="196">
        <f t="shared" si="30"/>
        <v>14900</v>
      </c>
      <c r="R118" s="203">
        <f t="shared" si="31"/>
        <v>74900</v>
      </c>
      <c r="S118" s="203">
        <f>39950+34950</f>
        <v>74900</v>
      </c>
      <c r="T118" s="217">
        <f t="shared" si="32"/>
        <v>0</v>
      </c>
      <c r="V118" s="40"/>
      <c r="W118" s="40" t="s">
        <v>262</v>
      </c>
      <c r="X118" s="43"/>
      <c r="Y118" s="35"/>
    </row>
    <row r="119" spans="1:27" ht="17.399999999999999" customHeight="1" x14ac:dyDescent="0.3">
      <c r="A119" s="85" t="s">
        <v>189</v>
      </c>
      <c r="B119" s="64" t="s">
        <v>557</v>
      </c>
      <c r="C119" s="179">
        <v>44740</v>
      </c>
      <c r="D119" s="38">
        <v>44831</v>
      </c>
      <c r="E119" s="6">
        <v>45104</v>
      </c>
      <c r="F119" s="1" t="s">
        <v>214</v>
      </c>
      <c r="G119" s="1" t="s">
        <v>214</v>
      </c>
      <c r="H119" s="8"/>
      <c r="I119" s="64" t="s">
        <v>215</v>
      </c>
      <c r="J119" s="1" t="s">
        <v>38</v>
      </c>
      <c r="K119" s="1" t="s">
        <v>558</v>
      </c>
      <c r="L119" s="1" t="s">
        <v>62</v>
      </c>
      <c r="M119" s="192">
        <v>37000000</v>
      </c>
      <c r="N119" s="192"/>
      <c r="O119" s="196">
        <v>60000</v>
      </c>
      <c r="P119" s="196"/>
      <c r="Q119" s="196">
        <f t="shared" si="30"/>
        <v>14900</v>
      </c>
      <c r="R119" s="203">
        <f t="shared" si="31"/>
        <v>74900</v>
      </c>
      <c r="S119" s="203">
        <f>39950+34950</f>
        <v>74900</v>
      </c>
      <c r="T119" s="217">
        <f t="shared" si="32"/>
        <v>0</v>
      </c>
      <c r="V119" s="40"/>
      <c r="W119" s="40" t="s">
        <v>262</v>
      </c>
      <c r="X119" s="43"/>
      <c r="Y119" s="35"/>
    </row>
    <row r="120" spans="1:27" s="67" customFormat="1" ht="16.95" customHeight="1" x14ac:dyDescent="0.3">
      <c r="A120" s="71" t="s">
        <v>189</v>
      </c>
      <c r="B120" s="73" t="s">
        <v>559</v>
      </c>
      <c r="C120" s="178">
        <v>44740</v>
      </c>
      <c r="D120" s="68">
        <v>44831</v>
      </c>
      <c r="E120" s="68"/>
      <c r="F120" s="69" t="s">
        <v>560</v>
      </c>
      <c r="G120" s="69" t="s">
        <v>560</v>
      </c>
      <c r="H120" s="70"/>
      <c r="I120" s="73" t="s">
        <v>561</v>
      </c>
      <c r="J120" s="69" t="s">
        <v>38</v>
      </c>
      <c r="K120" s="69" t="s">
        <v>329</v>
      </c>
      <c r="L120" s="69" t="s">
        <v>62</v>
      </c>
      <c r="M120" s="191"/>
      <c r="N120" s="191"/>
      <c r="O120" s="187">
        <v>60000</v>
      </c>
      <c r="P120" s="187"/>
      <c r="Q120" s="187">
        <f t="shared" si="30"/>
        <v>14900</v>
      </c>
      <c r="R120" s="72">
        <f t="shared" si="31"/>
        <v>74900</v>
      </c>
      <c r="S120" s="72">
        <v>39950</v>
      </c>
      <c r="T120" s="218">
        <f t="shared" si="32"/>
        <v>34950</v>
      </c>
      <c r="U120" s="212"/>
      <c r="V120" s="72"/>
      <c r="W120" s="72" t="s">
        <v>262</v>
      </c>
      <c r="X120" s="236"/>
      <c r="Y120" s="68"/>
      <c r="Z120" s="69"/>
      <c r="AA120" s="69"/>
    </row>
    <row r="121" spans="1:27" x14ac:dyDescent="0.3">
      <c r="A121" s="85" t="s">
        <v>638</v>
      </c>
      <c r="B121" s="64" t="s">
        <v>562</v>
      </c>
      <c r="C121" s="179">
        <v>44743</v>
      </c>
      <c r="D121" s="38"/>
      <c r="E121" s="6">
        <v>45107</v>
      </c>
      <c r="F121" s="1" t="s">
        <v>414</v>
      </c>
      <c r="G121" s="1" t="s">
        <v>414</v>
      </c>
      <c r="H121" s="8" t="s">
        <v>475</v>
      </c>
      <c r="I121" s="64" t="s">
        <v>563</v>
      </c>
      <c r="J121" s="1" t="s">
        <v>38</v>
      </c>
      <c r="K121" s="1" t="s">
        <v>533</v>
      </c>
      <c r="L121" s="1" t="s">
        <v>62</v>
      </c>
      <c r="M121" s="192">
        <v>6000000</v>
      </c>
      <c r="N121" s="192"/>
      <c r="O121" s="196">
        <v>50000</v>
      </c>
      <c r="P121" s="196"/>
      <c r="Q121" s="196">
        <f>(O121+P121)*16.5%+5000</f>
        <v>13250</v>
      </c>
      <c r="R121" s="203">
        <f>SUM(O121:Q121)</f>
        <v>63250</v>
      </c>
      <c r="S121" s="203">
        <v>63250</v>
      </c>
      <c r="T121" s="217">
        <f>R121-S121</f>
        <v>0</v>
      </c>
      <c r="V121" s="40"/>
      <c r="W121" s="40" t="s">
        <v>262</v>
      </c>
      <c r="X121" s="43"/>
      <c r="Y121" s="35"/>
    </row>
    <row r="122" spans="1:27" x14ac:dyDescent="0.3">
      <c r="A122" s="85" t="s">
        <v>189</v>
      </c>
      <c r="B122" s="64" t="s">
        <v>564</v>
      </c>
      <c r="C122" s="179">
        <v>44744</v>
      </c>
      <c r="D122" s="38"/>
      <c r="E122" s="6">
        <v>45108</v>
      </c>
      <c r="F122" s="1" t="s">
        <v>565</v>
      </c>
      <c r="G122" s="1" t="s">
        <v>565</v>
      </c>
      <c r="H122" s="8"/>
      <c r="I122" s="64" t="s">
        <v>566</v>
      </c>
      <c r="J122" s="1" t="s">
        <v>38</v>
      </c>
      <c r="K122" s="1" t="s">
        <v>558</v>
      </c>
      <c r="L122" s="1" t="s">
        <v>62</v>
      </c>
      <c r="M122" s="192"/>
      <c r="N122" s="192"/>
      <c r="O122" s="196">
        <v>50000</v>
      </c>
      <c r="P122" s="196"/>
      <c r="Q122" s="196">
        <f>(O122+P122)*16.5%+5000</f>
        <v>13250</v>
      </c>
      <c r="R122" s="203">
        <f>SUM(O122:Q122)</f>
        <v>63250</v>
      </c>
      <c r="S122" s="203">
        <v>63250</v>
      </c>
      <c r="T122" s="217">
        <f>R122-S122</f>
        <v>0</v>
      </c>
      <c r="V122" s="40"/>
      <c r="W122" s="40" t="s">
        <v>262</v>
      </c>
      <c r="X122" s="43"/>
      <c r="Y122" s="35"/>
    </row>
    <row r="123" spans="1:27" x14ac:dyDescent="0.3">
      <c r="A123" s="85" t="s">
        <v>191</v>
      </c>
      <c r="B123" s="64" t="s">
        <v>567</v>
      </c>
      <c r="C123" s="179">
        <v>44755</v>
      </c>
      <c r="D123" s="38">
        <v>44846</v>
      </c>
      <c r="E123" s="6">
        <v>45119</v>
      </c>
      <c r="F123" s="1" t="s">
        <v>568</v>
      </c>
      <c r="G123" s="1" t="s">
        <v>568</v>
      </c>
      <c r="H123" s="8"/>
      <c r="I123" s="64" t="s">
        <v>223</v>
      </c>
      <c r="J123" s="1" t="s">
        <v>38</v>
      </c>
      <c r="K123" s="1" t="s">
        <v>224</v>
      </c>
      <c r="L123" s="1" t="s">
        <v>62</v>
      </c>
      <c r="M123" s="192"/>
      <c r="N123" s="192"/>
      <c r="O123" s="196">
        <v>60000</v>
      </c>
      <c r="P123" s="196"/>
      <c r="Q123" s="196">
        <f>(O123+P123)*16.5%+5000</f>
        <v>14900</v>
      </c>
      <c r="R123" s="203">
        <f>SUM(O123:Q123)</f>
        <v>74900</v>
      </c>
      <c r="S123" s="203">
        <v>74900</v>
      </c>
      <c r="T123" s="217">
        <f>R123-S123</f>
        <v>0</v>
      </c>
      <c r="V123" s="40"/>
      <c r="W123" s="40"/>
      <c r="X123" s="43"/>
      <c r="Y123" s="35"/>
    </row>
    <row r="124" spans="1:27" x14ac:dyDescent="0.3">
      <c r="A124" s="85" t="s">
        <v>189</v>
      </c>
      <c r="B124" s="64" t="s">
        <v>569</v>
      </c>
      <c r="C124" s="179">
        <v>44756</v>
      </c>
      <c r="D124" s="38"/>
      <c r="E124" s="6">
        <v>45119</v>
      </c>
      <c r="F124" s="1" t="s">
        <v>570</v>
      </c>
      <c r="G124" s="1" t="s">
        <v>570</v>
      </c>
      <c r="H124" s="8" t="s">
        <v>571</v>
      </c>
      <c r="I124" s="64" t="s">
        <v>782</v>
      </c>
      <c r="J124" s="1" t="s">
        <v>38</v>
      </c>
      <c r="K124" s="1" t="s">
        <v>542</v>
      </c>
      <c r="L124" s="1" t="s">
        <v>511</v>
      </c>
      <c r="M124" s="192">
        <v>6000000</v>
      </c>
      <c r="N124" s="192">
        <v>0.05</v>
      </c>
      <c r="O124" s="196">
        <f>M124*N124</f>
        <v>300000</v>
      </c>
      <c r="P124" s="196"/>
      <c r="Q124" s="196">
        <f t="shared" ref="Q124:Q129" si="33">(O124+P124)*16.5%+5000</f>
        <v>54500</v>
      </c>
      <c r="R124" s="203">
        <f t="shared" ref="R124:R129" si="34">SUM(O124:Q124)</f>
        <v>354500</v>
      </c>
      <c r="S124" s="203">
        <v>354500</v>
      </c>
      <c r="T124" s="217">
        <f t="shared" ref="T124:T129" si="35">R124-S124</f>
        <v>0</v>
      </c>
      <c r="V124" s="40"/>
      <c r="W124" s="40" t="s">
        <v>262</v>
      </c>
      <c r="X124" s="43"/>
      <c r="Y124" s="35"/>
    </row>
    <row r="125" spans="1:27" x14ac:dyDescent="0.3">
      <c r="A125" s="85" t="s">
        <v>189</v>
      </c>
      <c r="B125" s="64" t="s">
        <v>572</v>
      </c>
      <c r="C125" s="179">
        <v>44758</v>
      </c>
      <c r="D125" s="38">
        <v>44849</v>
      </c>
      <c r="E125" s="6">
        <v>45122</v>
      </c>
      <c r="F125" s="1" t="s">
        <v>640</v>
      </c>
      <c r="G125" s="1" t="s">
        <v>640</v>
      </c>
      <c r="H125" s="8"/>
      <c r="I125" s="64" t="s">
        <v>245</v>
      </c>
      <c r="J125" s="1" t="s">
        <v>38</v>
      </c>
      <c r="K125" s="1" t="s">
        <v>61</v>
      </c>
      <c r="L125" s="1" t="s">
        <v>62</v>
      </c>
      <c r="M125" s="192"/>
      <c r="N125" s="192"/>
      <c r="O125" s="196">
        <v>60000</v>
      </c>
      <c r="P125" s="196"/>
      <c r="Q125" s="196">
        <f t="shared" si="33"/>
        <v>14900</v>
      </c>
      <c r="R125" s="203">
        <f t="shared" si="34"/>
        <v>74900</v>
      </c>
      <c r="S125" s="203">
        <f>40000+34900</f>
        <v>74900</v>
      </c>
      <c r="T125" s="217">
        <f t="shared" si="35"/>
        <v>0</v>
      </c>
      <c r="V125" s="40"/>
      <c r="W125" s="40" t="s">
        <v>262</v>
      </c>
      <c r="X125" s="43"/>
      <c r="Y125" s="35"/>
    </row>
    <row r="126" spans="1:27" x14ac:dyDescent="0.3">
      <c r="A126" s="85" t="s">
        <v>189</v>
      </c>
      <c r="B126" s="64" t="s">
        <v>573</v>
      </c>
      <c r="C126" s="179">
        <v>44761</v>
      </c>
      <c r="D126" s="38">
        <v>44852</v>
      </c>
      <c r="E126" s="6">
        <v>44760</v>
      </c>
      <c r="F126" s="1" t="s">
        <v>641</v>
      </c>
      <c r="G126" s="1" t="s">
        <v>641</v>
      </c>
      <c r="H126" s="8"/>
      <c r="I126" s="64" t="s">
        <v>574</v>
      </c>
      <c r="J126" s="1" t="s">
        <v>38</v>
      </c>
      <c r="K126" s="1" t="s">
        <v>575</v>
      </c>
      <c r="L126" s="1" t="s">
        <v>62</v>
      </c>
      <c r="M126" s="192"/>
      <c r="N126" s="192"/>
      <c r="O126" s="196">
        <v>60000</v>
      </c>
      <c r="P126" s="196"/>
      <c r="Q126" s="196">
        <f t="shared" si="33"/>
        <v>14900</v>
      </c>
      <c r="R126" s="203">
        <f t="shared" si="34"/>
        <v>74900</v>
      </c>
      <c r="S126" s="203">
        <f>39950+34950</f>
        <v>74900</v>
      </c>
      <c r="T126" s="217">
        <f t="shared" si="35"/>
        <v>0</v>
      </c>
      <c r="V126" s="40"/>
      <c r="W126" s="40" t="s">
        <v>262</v>
      </c>
      <c r="X126" s="43"/>
      <c r="Y126" s="35"/>
    </row>
    <row r="127" spans="1:27" x14ac:dyDescent="0.3">
      <c r="A127" s="85" t="s">
        <v>190</v>
      </c>
      <c r="B127" s="64" t="s">
        <v>576</v>
      </c>
      <c r="C127" s="179">
        <v>44762</v>
      </c>
      <c r="D127" s="38"/>
      <c r="E127" s="6">
        <v>45126</v>
      </c>
      <c r="F127" s="1" t="s">
        <v>577</v>
      </c>
      <c r="G127" s="1" t="s">
        <v>577</v>
      </c>
      <c r="H127" s="8" t="s">
        <v>578</v>
      </c>
      <c r="I127" s="64" t="s">
        <v>579</v>
      </c>
      <c r="J127" s="1" t="s">
        <v>555</v>
      </c>
      <c r="K127" s="1" t="s">
        <v>580</v>
      </c>
      <c r="L127" s="1" t="s">
        <v>62</v>
      </c>
      <c r="M127" s="192"/>
      <c r="N127" s="192"/>
      <c r="O127" s="196">
        <v>60000</v>
      </c>
      <c r="P127" s="196"/>
      <c r="Q127" s="196">
        <f t="shared" si="33"/>
        <v>14900</v>
      </c>
      <c r="R127" s="203">
        <f t="shared" si="34"/>
        <v>74900</v>
      </c>
      <c r="S127" s="203">
        <v>74900</v>
      </c>
      <c r="T127" s="217">
        <f t="shared" si="35"/>
        <v>0</v>
      </c>
      <c r="V127" s="40"/>
      <c r="W127" s="40" t="s">
        <v>262</v>
      </c>
      <c r="X127" s="43"/>
      <c r="Y127" s="35"/>
    </row>
    <row r="128" spans="1:27" x14ac:dyDescent="0.3">
      <c r="A128" s="85" t="s">
        <v>189</v>
      </c>
      <c r="B128" s="64" t="s">
        <v>581</v>
      </c>
      <c r="C128" s="179">
        <v>44766</v>
      </c>
      <c r="D128" s="38">
        <v>44857</v>
      </c>
      <c r="E128" s="6">
        <v>45130</v>
      </c>
      <c r="F128" s="1" t="s">
        <v>582</v>
      </c>
      <c r="G128" s="1" t="s">
        <v>582</v>
      </c>
      <c r="H128" s="8"/>
      <c r="I128" s="64" t="s">
        <v>583</v>
      </c>
      <c r="J128" s="1" t="s">
        <v>38</v>
      </c>
      <c r="K128" s="1" t="s">
        <v>252</v>
      </c>
      <c r="L128" s="1" t="s">
        <v>511</v>
      </c>
      <c r="M128" s="192">
        <v>15000000</v>
      </c>
      <c r="N128" s="192">
        <v>4.4999999999999998E-2</v>
      </c>
      <c r="O128" s="196">
        <f>M128*N128</f>
        <v>675000</v>
      </c>
      <c r="P128" s="196"/>
      <c r="Q128" s="196">
        <f t="shared" si="33"/>
        <v>116375</v>
      </c>
      <c r="R128" s="203">
        <f t="shared" si="34"/>
        <v>791375</v>
      </c>
      <c r="S128" s="203">
        <f>300000+491375</f>
        <v>791375</v>
      </c>
      <c r="T128" s="217">
        <f t="shared" si="35"/>
        <v>0</v>
      </c>
      <c r="V128" s="40"/>
      <c r="W128" s="40" t="s">
        <v>262</v>
      </c>
      <c r="X128" s="43"/>
      <c r="Y128" s="35"/>
    </row>
    <row r="129" spans="1:27" s="67" customFormat="1" x14ac:dyDescent="0.3">
      <c r="A129" s="71" t="s">
        <v>189</v>
      </c>
      <c r="B129" s="73" t="s">
        <v>700</v>
      </c>
      <c r="C129" s="178">
        <v>44769</v>
      </c>
      <c r="D129" s="68">
        <v>44860</v>
      </c>
      <c r="E129" s="68"/>
      <c r="F129" s="69" t="s">
        <v>346</v>
      </c>
      <c r="G129" s="69" t="s">
        <v>346</v>
      </c>
      <c r="H129" s="70"/>
      <c r="I129" s="73" t="s">
        <v>265</v>
      </c>
      <c r="J129" s="69" t="s">
        <v>38</v>
      </c>
      <c r="K129" s="69" t="s">
        <v>533</v>
      </c>
      <c r="L129" s="69" t="s">
        <v>62</v>
      </c>
      <c r="M129" s="191"/>
      <c r="N129" s="191"/>
      <c r="O129" s="187">
        <v>60000</v>
      </c>
      <c r="P129" s="187"/>
      <c r="Q129" s="187">
        <f t="shared" si="33"/>
        <v>14900</v>
      </c>
      <c r="R129" s="72">
        <f t="shared" si="34"/>
        <v>74900</v>
      </c>
      <c r="S129" s="72">
        <v>39950</v>
      </c>
      <c r="T129" s="218">
        <f t="shared" si="35"/>
        <v>34950</v>
      </c>
      <c r="U129" s="212"/>
      <c r="V129" s="72"/>
      <c r="W129" s="72"/>
      <c r="X129" s="236"/>
      <c r="Y129" s="68"/>
      <c r="Z129" s="69"/>
      <c r="AA129" s="69"/>
    </row>
    <row r="130" spans="1:27" x14ac:dyDescent="0.3">
      <c r="A130" s="85" t="s">
        <v>190</v>
      </c>
      <c r="B130" s="64" t="s">
        <v>584</v>
      </c>
      <c r="C130" s="179">
        <v>44775</v>
      </c>
      <c r="D130" s="38">
        <v>44866</v>
      </c>
      <c r="E130" s="6"/>
      <c r="F130" s="1" t="s">
        <v>585</v>
      </c>
      <c r="G130" s="1" t="s">
        <v>585</v>
      </c>
      <c r="H130" s="8" t="s">
        <v>536</v>
      </c>
      <c r="I130" s="64" t="s">
        <v>586</v>
      </c>
      <c r="J130" s="1" t="s">
        <v>38</v>
      </c>
      <c r="K130" s="1" t="s">
        <v>519</v>
      </c>
      <c r="L130" s="1" t="s">
        <v>62</v>
      </c>
      <c r="M130" s="192">
        <v>3000000</v>
      </c>
      <c r="N130" s="192"/>
      <c r="O130" s="196">
        <v>60000</v>
      </c>
      <c r="P130" s="196"/>
      <c r="Q130" s="196">
        <f t="shared" ref="Q130:Q142" si="36">(O130+P130)*16.5%+5000</f>
        <v>14900</v>
      </c>
      <c r="R130" s="203">
        <f t="shared" ref="R130:R142" si="37">SUM(O130:Q130)</f>
        <v>74900</v>
      </c>
      <c r="S130" s="203">
        <v>39950</v>
      </c>
      <c r="T130" s="217">
        <f t="shared" ref="T130:T142" si="38">R130-S130</f>
        <v>34950</v>
      </c>
      <c r="V130" s="40"/>
      <c r="W130" s="40" t="s">
        <v>262</v>
      </c>
      <c r="X130" s="43"/>
      <c r="Y130" s="35"/>
    </row>
    <row r="131" spans="1:27" x14ac:dyDescent="0.3">
      <c r="A131" s="85" t="s">
        <v>190</v>
      </c>
      <c r="B131" s="64" t="s">
        <v>587</v>
      </c>
      <c r="C131" s="179">
        <v>44775</v>
      </c>
      <c r="D131" s="38">
        <v>44866</v>
      </c>
      <c r="E131" s="6">
        <v>45139</v>
      </c>
      <c r="F131" s="1" t="s">
        <v>588</v>
      </c>
      <c r="G131" s="1" t="s">
        <v>588</v>
      </c>
      <c r="H131" s="8" t="s">
        <v>589</v>
      </c>
      <c r="I131" s="64" t="s">
        <v>590</v>
      </c>
      <c r="J131" s="1" t="s">
        <v>38</v>
      </c>
      <c r="K131" s="1" t="s">
        <v>591</v>
      </c>
      <c r="L131" s="1" t="s">
        <v>62</v>
      </c>
      <c r="M131" s="192">
        <v>3000000</v>
      </c>
      <c r="N131" s="192"/>
      <c r="O131" s="196">
        <v>60000</v>
      </c>
      <c r="P131" s="196"/>
      <c r="Q131" s="196">
        <f t="shared" si="36"/>
        <v>14900</v>
      </c>
      <c r="R131" s="203">
        <f t="shared" si="37"/>
        <v>74900</v>
      </c>
      <c r="S131" s="203">
        <f>40000+34900</f>
        <v>74900</v>
      </c>
      <c r="T131" s="217">
        <f t="shared" si="38"/>
        <v>0</v>
      </c>
      <c r="V131" s="40"/>
      <c r="W131" s="40" t="s">
        <v>262</v>
      </c>
      <c r="X131" s="43"/>
      <c r="Y131" s="35"/>
    </row>
    <row r="132" spans="1:27" x14ac:dyDescent="0.3">
      <c r="A132" s="85" t="s">
        <v>189</v>
      </c>
      <c r="B132" s="64" t="s">
        <v>688</v>
      </c>
      <c r="C132" s="179">
        <v>44778</v>
      </c>
      <c r="D132" s="38">
        <v>44869</v>
      </c>
      <c r="E132" s="6">
        <v>45142</v>
      </c>
      <c r="F132" s="1" t="s">
        <v>436</v>
      </c>
      <c r="G132" s="1" t="s">
        <v>436</v>
      </c>
      <c r="H132" s="8"/>
      <c r="I132" s="64" t="s">
        <v>260</v>
      </c>
      <c r="J132" s="1" t="s">
        <v>38</v>
      </c>
      <c r="K132" s="1" t="s">
        <v>82</v>
      </c>
      <c r="L132" s="1" t="s">
        <v>511</v>
      </c>
      <c r="M132" s="192">
        <v>10000000</v>
      </c>
      <c r="N132" s="192">
        <v>0.05</v>
      </c>
      <c r="O132" s="196">
        <f>M132*N132</f>
        <v>500000</v>
      </c>
      <c r="P132" s="196"/>
      <c r="Q132" s="196">
        <f>(O132+P132)*16.5%+5000</f>
        <v>87500</v>
      </c>
      <c r="R132" s="203">
        <f>SUM(O132:Q132)</f>
        <v>587500</v>
      </c>
      <c r="S132" s="203">
        <f>291249+296250</f>
        <v>587499</v>
      </c>
      <c r="T132" s="217">
        <f t="shared" si="38"/>
        <v>1</v>
      </c>
      <c r="V132" s="40"/>
      <c r="W132" s="40"/>
      <c r="X132" s="43"/>
      <c r="Y132" s="35"/>
    </row>
    <row r="133" spans="1:27" x14ac:dyDescent="0.3">
      <c r="A133" s="85" t="s">
        <v>189</v>
      </c>
      <c r="B133" s="64" t="s">
        <v>689</v>
      </c>
      <c r="C133" s="179">
        <v>44778</v>
      </c>
      <c r="D133" s="38">
        <v>44869</v>
      </c>
      <c r="E133" s="6">
        <v>45142</v>
      </c>
      <c r="F133" s="1" t="s">
        <v>690</v>
      </c>
      <c r="G133" s="1" t="s">
        <v>690</v>
      </c>
      <c r="H133" s="8"/>
      <c r="I133" s="64" t="s">
        <v>691</v>
      </c>
      <c r="J133" s="1" t="s">
        <v>38</v>
      </c>
      <c r="K133" s="1" t="s">
        <v>692</v>
      </c>
      <c r="L133" s="1" t="s">
        <v>511</v>
      </c>
      <c r="M133" s="192">
        <v>8000000</v>
      </c>
      <c r="N133" s="192">
        <v>0.05</v>
      </c>
      <c r="O133" s="196">
        <f>M133*N133</f>
        <v>400000</v>
      </c>
      <c r="P133" s="196"/>
      <c r="Q133" s="196">
        <f>(O133+P133)*16.5%+5000</f>
        <v>71000</v>
      </c>
      <c r="R133" s="203">
        <f>SUM(O133:Q133)</f>
        <v>471000</v>
      </c>
      <c r="S133" s="203">
        <f>233000+238000</f>
        <v>471000</v>
      </c>
      <c r="T133" s="217">
        <f t="shared" si="38"/>
        <v>0</v>
      </c>
      <c r="V133" s="40"/>
      <c r="W133" s="40"/>
      <c r="X133" s="43"/>
      <c r="Y133" s="35"/>
    </row>
    <row r="134" spans="1:27" x14ac:dyDescent="0.3">
      <c r="A134" s="85" t="s">
        <v>189</v>
      </c>
      <c r="B134" s="64" t="s">
        <v>592</v>
      </c>
      <c r="C134" s="179">
        <v>44781</v>
      </c>
      <c r="D134" s="38">
        <v>44872</v>
      </c>
      <c r="E134" s="6"/>
      <c r="F134" s="1" t="s">
        <v>478</v>
      </c>
      <c r="G134" s="1" t="s">
        <v>478</v>
      </c>
      <c r="H134" s="8" t="s">
        <v>677</v>
      </c>
      <c r="I134" s="64" t="s">
        <v>479</v>
      </c>
      <c r="J134" s="1" t="s">
        <v>38</v>
      </c>
      <c r="K134" s="1" t="s">
        <v>480</v>
      </c>
      <c r="L134" s="1" t="s">
        <v>62</v>
      </c>
      <c r="M134" s="192"/>
      <c r="N134" s="192"/>
      <c r="O134" s="196">
        <v>60000</v>
      </c>
      <c r="P134" s="196"/>
      <c r="Q134" s="196">
        <f t="shared" si="36"/>
        <v>14900</v>
      </c>
      <c r="R134" s="203">
        <f t="shared" si="37"/>
        <v>74900</v>
      </c>
      <c r="S134" s="203">
        <v>39950</v>
      </c>
      <c r="T134" s="217">
        <f t="shared" si="38"/>
        <v>34950</v>
      </c>
      <c r="V134" s="40"/>
      <c r="W134" s="40" t="s">
        <v>262</v>
      </c>
      <c r="X134" s="43"/>
      <c r="Y134" s="35"/>
    </row>
    <row r="135" spans="1:27" x14ac:dyDescent="0.3">
      <c r="A135" s="85" t="s">
        <v>189</v>
      </c>
      <c r="B135" s="64" t="s">
        <v>593</v>
      </c>
      <c r="C135" s="179">
        <v>44784</v>
      </c>
      <c r="D135" s="38">
        <v>44875</v>
      </c>
      <c r="E135" s="6">
        <v>45148</v>
      </c>
      <c r="F135" s="1" t="s">
        <v>594</v>
      </c>
      <c r="G135" s="1" t="s">
        <v>595</v>
      </c>
      <c r="H135" s="8" t="s">
        <v>596</v>
      </c>
      <c r="I135" s="64" t="s">
        <v>597</v>
      </c>
      <c r="J135" s="1" t="s">
        <v>38</v>
      </c>
      <c r="K135" s="1" t="s">
        <v>61</v>
      </c>
      <c r="L135" s="1" t="s">
        <v>62</v>
      </c>
      <c r="M135" s="192"/>
      <c r="N135" s="192"/>
      <c r="O135" s="196">
        <v>60000</v>
      </c>
      <c r="P135" s="196"/>
      <c r="Q135" s="196">
        <f t="shared" si="36"/>
        <v>14900</v>
      </c>
      <c r="R135" s="203">
        <f t="shared" si="37"/>
        <v>74900</v>
      </c>
      <c r="S135" s="203">
        <f>39950+34950</f>
        <v>74900</v>
      </c>
      <c r="T135" s="217">
        <f t="shared" si="38"/>
        <v>0</v>
      </c>
      <c r="V135" s="40"/>
      <c r="W135" s="40" t="s">
        <v>262</v>
      </c>
      <c r="X135" s="43"/>
      <c r="Y135" s="35"/>
    </row>
    <row r="136" spans="1:27" x14ac:dyDescent="0.3">
      <c r="A136" s="55" t="s">
        <v>189</v>
      </c>
      <c r="B136" s="64" t="s">
        <v>629</v>
      </c>
      <c r="C136" s="179">
        <v>44785</v>
      </c>
      <c r="D136" s="101">
        <v>44876</v>
      </c>
      <c r="E136" s="115">
        <v>45149</v>
      </c>
      <c r="F136" s="1" t="s">
        <v>203</v>
      </c>
      <c r="G136" s="1" t="s">
        <v>203</v>
      </c>
      <c r="H136" s="8" t="s">
        <v>36</v>
      </c>
      <c r="I136" s="64" t="s">
        <v>630</v>
      </c>
      <c r="J136" s="1" t="s">
        <v>38</v>
      </c>
      <c r="K136" s="1" t="s">
        <v>94</v>
      </c>
      <c r="L136" s="1" t="s">
        <v>511</v>
      </c>
      <c r="M136" s="188">
        <v>2100000</v>
      </c>
      <c r="N136" s="188">
        <v>0.05</v>
      </c>
      <c r="O136" s="188">
        <v>150000</v>
      </c>
      <c r="Q136" s="188">
        <f t="shared" si="36"/>
        <v>29750</v>
      </c>
      <c r="R136" s="202">
        <f t="shared" si="37"/>
        <v>179750</v>
      </c>
      <c r="S136" s="202">
        <f>100000+79750</f>
        <v>179750</v>
      </c>
      <c r="T136" s="216">
        <f t="shared" si="38"/>
        <v>0</v>
      </c>
      <c r="W136" s="1" t="s">
        <v>262</v>
      </c>
    </row>
    <row r="137" spans="1:27" x14ac:dyDescent="0.3">
      <c r="A137" s="85" t="s">
        <v>190</v>
      </c>
      <c r="B137" s="64" t="s">
        <v>598</v>
      </c>
      <c r="C137" s="179">
        <v>44786</v>
      </c>
      <c r="D137" s="38"/>
      <c r="E137" s="6">
        <v>45150</v>
      </c>
      <c r="F137" s="1" t="s">
        <v>599</v>
      </c>
      <c r="G137" s="1" t="s">
        <v>599</v>
      </c>
      <c r="H137" s="8" t="s">
        <v>600</v>
      </c>
      <c r="I137" s="64" t="s">
        <v>601</v>
      </c>
      <c r="J137" s="1" t="s">
        <v>38</v>
      </c>
      <c r="K137" s="1" t="s">
        <v>71</v>
      </c>
      <c r="L137" s="1" t="s">
        <v>62</v>
      </c>
      <c r="M137" s="192">
        <v>2300000</v>
      </c>
      <c r="N137" s="192"/>
      <c r="O137" s="196">
        <v>50000</v>
      </c>
      <c r="P137" s="196"/>
      <c r="Q137" s="196">
        <f>(O137+P137)*16.5%+5000</f>
        <v>13250</v>
      </c>
      <c r="R137" s="203">
        <f>SUM(O137:Q137)</f>
        <v>63250</v>
      </c>
      <c r="S137" s="203">
        <v>63250</v>
      </c>
      <c r="T137" s="217">
        <f>R137-S137</f>
        <v>0</v>
      </c>
      <c r="V137" s="40"/>
      <c r="W137" s="40" t="s">
        <v>262</v>
      </c>
      <c r="X137" s="43"/>
      <c r="Y137" s="35"/>
    </row>
    <row r="138" spans="1:27" x14ac:dyDescent="0.3">
      <c r="A138" s="85" t="s">
        <v>189</v>
      </c>
      <c r="B138" s="64" t="s">
        <v>602</v>
      </c>
      <c r="C138" s="179">
        <v>44790</v>
      </c>
      <c r="D138" s="38"/>
      <c r="E138" s="6">
        <v>45154</v>
      </c>
      <c r="F138" s="1" t="s">
        <v>356</v>
      </c>
      <c r="G138" s="1" t="s">
        <v>356</v>
      </c>
      <c r="H138" s="8"/>
      <c r="I138" s="64" t="s">
        <v>603</v>
      </c>
      <c r="J138" s="1" t="s">
        <v>38</v>
      </c>
      <c r="K138" s="1" t="s">
        <v>604</v>
      </c>
      <c r="L138" s="1" t="s">
        <v>62</v>
      </c>
      <c r="M138" s="192"/>
      <c r="N138" s="192"/>
      <c r="O138" s="196">
        <v>50000</v>
      </c>
      <c r="P138" s="196"/>
      <c r="Q138" s="196">
        <f t="shared" si="36"/>
        <v>13250</v>
      </c>
      <c r="R138" s="203">
        <f t="shared" si="37"/>
        <v>63250</v>
      </c>
      <c r="S138" s="203">
        <v>63250</v>
      </c>
      <c r="T138" s="217">
        <f t="shared" si="38"/>
        <v>0</v>
      </c>
      <c r="V138" s="40"/>
      <c r="W138" s="40" t="s">
        <v>262</v>
      </c>
      <c r="X138" s="43"/>
      <c r="Y138" s="35"/>
    </row>
    <row r="139" spans="1:27" x14ac:dyDescent="0.3">
      <c r="A139" s="85" t="s">
        <v>189</v>
      </c>
      <c r="B139" s="64" t="s">
        <v>623</v>
      </c>
      <c r="C139" s="179">
        <v>44790</v>
      </c>
      <c r="D139" s="38"/>
      <c r="E139" s="6">
        <v>45154</v>
      </c>
      <c r="F139" s="1" t="s">
        <v>357</v>
      </c>
      <c r="G139" s="1" t="s">
        <v>357</v>
      </c>
      <c r="H139" s="8"/>
      <c r="I139" s="64" t="s">
        <v>624</v>
      </c>
      <c r="J139" s="1" t="s">
        <v>38</v>
      </c>
      <c r="K139" s="1" t="s">
        <v>625</v>
      </c>
      <c r="L139" s="1" t="s">
        <v>62</v>
      </c>
      <c r="M139" s="192"/>
      <c r="N139" s="192"/>
      <c r="O139" s="196">
        <v>50000</v>
      </c>
      <c r="P139" s="196"/>
      <c r="Q139" s="196">
        <f t="shared" si="36"/>
        <v>13250</v>
      </c>
      <c r="R139" s="203">
        <f t="shared" si="37"/>
        <v>63250</v>
      </c>
      <c r="S139" s="203">
        <v>63250</v>
      </c>
      <c r="T139" s="217">
        <f t="shared" si="38"/>
        <v>0</v>
      </c>
      <c r="V139" s="40"/>
      <c r="W139" s="40" t="s">
        <v>262</v>
      </c>
      <c r="X139" s="43"/>
      <c r="Y139" s="35"/>
    </row>
    <row r="140" spans="1:27" x14ac:dyDescent="0.3">
      <c r="A140" s="85" t="s">
        <v>189</v>
      </c>
      <c r="B140" s="64" t="s">
        <v>626</v>
      </c>
      <c r="C140" s="179">
        <v>44790</v>
      </c>
      <c r="D140" s="38">
        <v>44881</v>
      </c>
      <c r="E140" s="6">
        <v>45154</v>
      </c>
      <c r="F140" s="1" t="s">
        <v>627</v>
      </c>
      <c r="G140" s="1" t="s">
        <v>627</v>
      </c>
      <c r="H140" s="8"/>
      <c r="I140" s="64" t="s">
        <v>628</v>
      </c>
      <c r="J140" s="1" t="s">
        <v>38</v>
      </c>
      <c r="K140" s="1" t="s">
        <v>405</v>
      </c>
      <c r="L140" s="1" t="s">
        <v>511</v>
      </c>
      <c r="M140" s="192">
        <v>4000000</v>
      </c>
      <c r="N140" s="192">
        <v>0.05</v>
      </c>
      <c r="O140" s="196">
        <f>M140*N140</f>
        <v>200000</v>
      </c>
      <c r="P140" s="196"/>
      <c r="Q140" s="196">
        <f>(O140+P140)*16.5%+5000</f>
        <v>38000</v>
      </c>
      <c r="R140" s="203">
        <f>SUM(O140:Q140)</f>
        <v>238000</v>
      </c>
      <c r="S140" s="203">
        <f>122000+ 58000+58000</f>
        <v>238000</v>
      </c>
      <c r="T140" s="217">
        <f t="shared" si="38"/>
        <v>0</v>
      </c>
      <c r="V140" s="40"/>
      <c r="W140" s="40" t="s">
        <v>262</v>
      </c>
      <c r="X140" s="43"/>
      <c r="Y140" s="35"/>
    </row>
    <row r="141" spans="1:27" x14ac:dyDescent="0.3">
      <c r="A141" s="85" t="s">
        <v>189</v>
      </c>
      <c r="B141" s="64" t="s">
        <v>605</v>
      </c>
      <c r="C141" s="179">
        <v>44791</v>
      </c>
      <c r="D141" s="38">
        <v>44882</v>
      </c>
      <c r="E141" s="6">
        <v>45155</v>
      </c>
      <c r="F141" s="1" t="s">
        <v>606</v>
      </c>
      <c r="G141" s="1" t="s">
        <v>606</v>
      </c>
      <c r="H141" s="8"/>
      <c r="I141" s="64" t="s">
        <v>607</v>
      </c>
      <c r="J141" s="1" t="s">
        <v>38</v>
      </c>
      <c r="K141" s="1" t="s">
        <v>608</v>
      </c>
      <c r="L141" s="1" t="s">
        <v>511</v>
      </c>
      <c r="M141" s="192">
        <v>3000000</v>
      </c>
      <c r="N141" s="192">
        <v>0.05</v>
      </c>
      <c r="O141" s="196">
        <v>150000</v>
      </c>
      <c r="P141" s="196"/>
      <c r="Q141" s="196">
        <f t="shared" si="36"/>
        <v>29750</v>
      </c>
      <c r="R141" s="203">
        <f t="shared" si="37"/>
        <v>179750</v>
      </c>
      <c r="S141" s="203">
        <f>93000+79750+7000</f>
        <v>179750</v>
      </c>
      <c r="T141" s="217">
        <f t="shared" si="38"/>
        <v>0</v>
      </c>
      <c r="V141" s="40"/>
      <c r="W141" s="40" t="s">
        <v>262</v>
      </c>
      <c r="X141" s="43"/>
      <c r="Y141" s="35"/>
    </row>
    <row r="142" spans="1:27" x14ac:dyDescent="0.3">
      <c r="A142" s="85" t="s">
        <v>639</v>
      </c>
      <c r="B142" s="64" t="s">
        <v>631</v>
      </c>
      <c r="C142" s="179">
        <v>44792</v>
      </c>
      <c r="D142" s="38"/>
      <c r="E142" s="6">
        <v>45156</v>
      </c>
      <c r="F142" s="1" t="s">
        <v>632</v>
      </c>
      <c r="G142" s="1" t="s">
        <v>632</v>
      </c>
      <c r="H142" s="8"/>
      <c r="I142" s="64" t="s">
        <v>633</v>
      </c>
      <c r="J142" s="1" t="s">
        <v>38</v>
      </c>
      <c r="K142" s="1" t="s">
        <v>634</v>
      </c>
      <c r="L142" s="1" t="s">
        <v>62</v>
      </c>
      <c r="M142" s="192">
        <v>18000000</v>
      </c>
      <c r="N142" s="192"/>
      <c r="O142" s="196">
        <v>50000</v>
      </c>
      <c r="P142" s="196"/>
      <c r="Q142" s="196">
        <f t="shared" si="36"/>
        <v>13250</v>
      </c>
      <c r="R142" s="203">
        <f t="shared" si="37"/>
        <v>63250</v>
      </c>
      <c r="S142" s="203">
        <v>63250</v>
      </c>
      <c r="T142" s="217">
        <f t="shared" si="38"/>
        <v>0</v>
      </c>
      <c r="V142" s="40"/>
      <c r="W142" s="40" t="s">
        <v>262</v>
      </c>
      <c r="X142" s="43"/>
      <c r="Y142" s="35"/>
    </row>
    <row r="143" spans="1:27" x14ac:dyDescent="0.3">
      <c r="A143" s="85" t="s">
        <v>189</v>
      </c>
      <c r="B143" s="64" t="s">
        <v>609</v>
      </c>
      <c r="C143" s="179">
        <v>44810</v>
      </c>
      <c r="D143" s="38"/>
      <c r="E143" s="6">
        <v>45174</v>
      </c>
      <c r="F143" s="1" t="s">
        <v>610</v>
      </c>
      <c r="G143" s="1" t="s">
        <v>611</v>
      </c>
      <c r="H143" s="8" t="s">
        <v>276</v>
      </c>
      <c r="I143" s="64" t="s">
        <v>612</v>
      </c>
      <c r="J143" s="1" t="s">
        <v>38</v>
      </c>
      <c r="K143" s="1" t="s">
        <v>360</v>
      </c>
      <c r="L143" s="1" t="s">
        <v>62</v>
      </c>
      <c r="M143" s="192"/>
      <c r="N143" s="192"/>
      <c r="O143" s="196">
        <v>50000</v>
      </c>
      <c r="P143" s="196"/>
      <c r="Q143" s="196">
        <f t="shared" ref="Q143:Q153" si="39">(O143+P143)*16.5%+5000</f>
        <v>13250</v>
      </c>
      <c r="R143" s="203">
        <f t="shared" ref="R143:R153" si="40">SUM(O143:Q143)</f>
        <v>63250</v>
      </c>
      <c r="S143" s="203">
        <v>63250</v>
      </c>
      <c r="T143" s="217">
        <f t="shared" ref="T143:T153" si="41">R143-S143</f>
        <v>0</v>
      </c>
      <c r="V143" s="40"/>
      <c r="W143" s="40" t="s">
        <v>613</v>
      </c>
      <c r="X143" s="43"/>
      <c r="Y143" s="35"/>
    </row>
    <row r="144" spans="1:27" x14ac:dyDescent="0.3">
      <c r="A144" s="85" t="s">
        <v>638</v>
      </c>
      <c r="B144" s="64" t="s">
        <v>614</v>
      </c>
      <c r="C144" s="179">
        <v>44810</v>
      </c>
      <c r="D144" s="38"/>
      <c r="E144" s="6">
        <v>45174</v>
      </c>
      <c r="F144" s="1" t="s">
        <v>615</v>
      </c>
      <c r="G144" s="1" t="s">
        <v>615</v>
      </c>
      <c r="H144" s="8"/>
      <c r="I144" s="64" t="s">
        <v>616</v>
      </c>
      <c r="J144" s="1" t="s">
        <v>38</v>
      </c>
      <c r="K144" s="1" t="s">
        <v>617</v>
      </c>
      <c r="L144" s="1" t="s">
        <v>62</v>
      </c>
      <c r="M144" s="192"/>
      <c r="N144" s="192"/>
      <c r="O144" s="196">
        <v>50000</v>
      </c>
      <c r="P144" s="196"/>
      <c r="Q144" s="196">
        <f t="shared" si="39"/>
        <v>13250</v>
      </c>
      <c r="R144" s="203">
        <f t="shared" si="40"/>
        <v>63250</v>
      </c>
      <c r="S144" s="203">
        <v>63250</v>
      </c>
      <c r="T144" s="217">
        <f t="shared" si="41"/>
        <v>0</v>
      </c>
      <c r="V144" s="40"/>
      <c r="W144" s="40" t="s">
        <v>262</v>
      </c>
      <c r="X144" s="43"/>
      <c r="Y144" s="35"/>
    </row>
    <row r="145" spans="1:27" x14ac:dyDescent="0.3">
      <c r="A145" s="85" t="s">
        <v>189</v>
      </c>
      <c r="B145" s="64" t="s">
        <v>661</v>
      </c>
      <c r="C145" s="179">
        <v>44813</v>
      </c>
      <c r="D145" s="38"/>
      <c r="E145" s="6">
        <v>45177</v>
      </c>
      <c r="F145" s="1" t="s">
        <v>438</v>
      </c>
      <c r="G145" s="1" t="s">
        <v>438</v>
      </c>
      <c r="H145" s="8"/>
      <c r="I145" s="64" t="s">
        <v>662</v>
      </c>
      <c r="J145" s="1" t="s">
        <v>38</v>
      </c>
      <c r="K145" s="1" t="s">
        <v>360</v>
      </c>
      <c r="L145" s="1" t="s">
        <v>62</v>
      </c>
      <c r="M145" s="192"/>
      <c r="N145" s="192"/>
      <c r="O145" s="196">
        <v>60000</v>
      </c>
      <c r="P145" s="196"/>
      <c r="Q145" s="196">
        <f t="shared" si="39"/>
        <v>14900</v>
      </c>
      <c r="R145" s="203">
        <f t="shared" si="40"/>
        <v>74900</v>
      </c>
      <c r="S145" s="203">
        <v>74900</v>
      </c>
      <c r="T145" s="217">
        <f t="shared" si="41"/>
        <v>0</v>
      </c>
      <c r="V145" s="40"/>
      <c r="W145" s="40"/>
      <c r="X145" s="43"/>
      <c r="Y145" s="35"/>
    </row>
    <row r="146" spans="1:27" x14ac:dyDescent="0.3">
      <c r="A146" s="85" t="s">
        <v>190</v>
      </c>
      <c r="B146" s="64" t="s">
        <v>658</v>
      </c>
      <c r="C146" s="179">
        <v>44816</v>
      </c>
      <c r="D146" s="38"/>
      <c r="E146" s="6">
        <v>45180</v>
      </c>
      <c r="F146" s="1" t="s">
        <v>659</v>
      </c>
      <c r="G146" s="1" t="s">
        <v>659</v>
      </c>
      <c r="H146" s="8"/>
      <c r="I146" s="64" t="s">
        <v>660</v>
      </c>
      <c r="J146" s="1" t="s">
        <v>38</v>
      </c>
      <c r="K146" s="1" t="s">
        <v>305</v>
      </c>
      <c r="L146" s="1" t="s">
        <v>62</v>
      </c>
      <c r="M146" s="192"/>
      <c r="N146" s="192"/>
      <c r="O146" s="196">
        <v>50000</v>
      </c>
      <c r="P146" s="196"/>
      <c r="Q146" s="196">
        <f t="shared" si="39"/>
        <v>13250</v>
      </c>
      <c r="R146" s="203">
        <f t="shared" si="40"/>
        <v>63250</v>
      </c>
      <c r="S146" s="203">
        <v>63250</v>
      </c>
      <c r="T146" s="217">
        <f t="shared" si="41"/>
        <v>0</v>
      </c>
      <c r="V146" s="40"/>
      <c r="W146" s="40"/>
      <c r="X146" s="43"/>
      <c r="Y146" s="35"/>
    </row>
    <row r="147" spans="1:27" x14ac:dyDescent="0.3">
      <c r="A147" s="85" t="s">
        <v>189</v>
      </c>
      <c r="B147" s="64" t="s">
        <v>663</v>
      </c>
      <c r="C147" s="179">
        <v>44817</v>
      </c>
      <c r="D147" s="38"/>
      <c r="E147" s="6">
        <v>45181</v>
      </c>
      <c r="F147" s="1" t="s">
        <v>664</v>
      </c>
      <c r="G147" s="1" t="s">
        <v>664</v>
      </c>
      <c r="H147" s="8"/>
      <c r="I147" s="64" t="s">
        <v>665</v>
      </c>
      <c r="J147" s="1" t="s">
        <v>38</v>
      </c>
      <c r="K147" s="1" t="s">
        <v>368</v>
      </c>
      <c r="L147" s="1" t="s">
        <v>62</v>
      </c>
      <c r="M147" s="192"/>
      <c r="N147" s="192"/>
      <c r="O147" s="196">
        <v>50000</v>
      </c>
      <c r="P147" s="196"/>
      <c r="Q147" s="196">
        <f t="shared" si="39"/>
        <v>13250</v>
      </c>
      <c r="R147" s="203">
        <f t="shared" si="40"/>
        <v>63250</v>
      </c>
      <c r="S147" s="203">
        <v>63250</v>
      </c>
      <c r="T147" s="217">
        <f t="shared" si="41"/>
        <v>0</v>
      </c>
      <c r="V147" s="40"/>
      <c r="W147" s="40"/>
      <c r="X147" s="43"/>
      <c r="Y147" s="35"/>
    </row>
    <row r="148" spans="1:27" x14ac:dyDescent="0.3">
      <c r="A148" s="85" t="s">
        <v>638</v>
      </c>
      <c r="B148" s="64" t="s">
        <v>642</v>
      </c>
      <c r="C148" s="179">
        <v>44819</v>
      </c>
      <c r="D148" s="38">
        <v>44909</v>
      </c>
      <c r="E148" s="6">
        <v>45184</v>
      </c>
      <c r="F148" s="1" t="s">
        <v>640</v>
      </c>
      <c r="G148" s="1" t="s">
        <v>640</v>
      </c>
      <c r="H148" s="8"/>
      <c r="I148" s="64" t="s">
        <v>643</v>
      </c>
      <c r="J148" s="1" t="s">
        <v>38</v>
      </c>
      <c r="K148" s="1" t="s">
        <v>644</v>
      </c>
      <c r="L148" s="1" t="s">
        <v>511</v>
      </c>
      <c r="M148" s="192">
        <v>30600000</v>
      </c>
      <c r="N148" s="192">
        <v>0.05</v>
      </c>
      <c r="O148" s="196">
        <f>M148*N148</f>
        <v>1530000</v>
      </c>
      <c r="P148" s="196"/>
      <c r="Q148" s="196">
        <f t="shared" si="39"/>
        <v>257450</v>
      </c>
      <c r="R148" s="203">
        <f t="shared" si="40"/>
        <v>1787450</v>
      </c>
      <c r="S148" s="203">
        <f>900000+887450</f>
        <v>1787450</v>
      </c>
      <c r="T148" s="217">
        <f t="shared" si="41"/>
        <v>0</v>
      </c>
      <c r="V148" s="40"/>
      <c r="W148" s="40" t="s">
        <v>262</v>
      </c>
      <c r="X148" s="43"/>
      <c r="Y148" s="35"/>
    </row>
    <row r="149" spans="1:27" s="67" customFormat="1" x14ac:dyDescent="0.3">
      <c r="A149" s="71" t="s">
        <v>639</v>
      </c>
      <c r="B149" s="73" t="s">
        <v>645</v>
      </c>
      <c r="C149" s="178">
        <v>44824</v>
      </c>
      <c r="D149" s="68">
        <v>44914</v>
      </c>
      <c r="E149" s="68"/>
      <c r="F149" s="69" t="s">
        <v>632</v>
      </c>
      <c r="G149" s="69" t="s">
        <v>632</v>
      </c>
      <c r="H149" s="70" t="s">
        <v>646</v>
      </c>
      <c r="I149" s="73" t="s">
        <v>647</v>
      </c>
      <c r="J149" s="69" t="s">
        <v>38</v>
      </c>
      <c r="K149" s="69" t="s">
        <v>510</v>
      </c>
      <c r="L149" s="69" t="s">
        <v>62</v>
      </c>
      <c r="M149" s="191"/>
      <c r="N149" s="191"/>
      <c r="O149" s="187">
        <v>60000</v>
      </c>
      <c r="P149" s="187"/>
      <c r="Q149" s="187">
        <f t="shared" si="39"/>
        <v>14900</v>
      </c>
      <c r="R149" s="72">
        <f t="shared" si="40"/>
        <v>74900</v>
      </c>
      <c r="S149" s="72">
        <v>39950</v>
      </c>
      <c r="T149" s="218">
        <f t="shared" si="41"/>
        <v>34950</v>
      </c>
      <c r="U149" s="212"/>
      <c r="V149" s="72"/>
      <c r="W149" s="72" t="s">
        <v>262</v>
      </c>
      <c r="X149" s="236"/>
      <c r="Y149" s="68"/>
      <c r="Z149" s="69"/>
      <c r="AA149" s="69"/>
    </row>
    <row r="150" spans="1:27" ht="17.399999999999999" customHeight="1" x14ac:dyDescent="0.3">
      <c r="A150" s="85" t="s">
        <v>189</v>
      </c>
      <c r="B150" s="64" t="s">
        <v>648</v>
      </c>
      <c r="C150" s="179">
        <v>44824</v>
      </c>
      <c r="D150" s="38">
        <v>44914</v>
      </c>
      <c r="E150" s="6">
        <v>45188</v>
      </c>
      <c r="F150" s="1" t="s">
        <v>649</v>
      </c>
      <c r="G150" s="1" t="s">
        <v>649</v>
      </c>
      <c r="H150" s="8" t="s">
        <v>651</v>
      </c>
      <c r="I150" s="64" t="s">
        <v>650</v>
      </c>
      <c r="J150" s="1" t="s">
        <v>38</v>
      </c>
      <c r="K150" s="1" t="s">
        <v>542</v>
      </c>
      <c r="L150" s="1" t="s">
        <v>511</v>
      </c>
      <c r="M150" s="192">
        <v>7000000</v>
      </c>
      <c r="N150" s="192">
        <v>0.05</v>
      </c>
      <c r="O150" s="196">
        <f>M150*N150</f>
        <v>350000</v>
      </c>
      <c r="P150" s="196"/>
      <c r="Q150" s="196">
        <f t="shared" si="39"/>
        <v>62750</v>
      </c>
      <c r="R150" s="203">
        <f t="shared" si="40"/>
        <v>412750</v>
      </c>
      <c r="S150" s="203">
        <v>412750</v>
      </c>
      <c r="T150" s="217">
        <f t="shared" si="41"/>
        <v>0</v>
      </c>
      <c r="V150" s="40"/>
      <c r="W150" s="40" t="s">
        <v>262</v>
      </c>
      <c r="X150" s="43"/>
      <c r="Y150" s="35"/>
    </row>
    <row r="151" spans="1:27" x14ac:dyDescent="0.3">
      <c r="A151" s="85" t="s">
        <v>189</v>
      </c>
      <c r="B151" s="64" t="s">
        <v>654</v>
      </c>
      <c r="C151" s="179">
        <v>44825</v>
      </c>
      <c r="D151" s="38"/>
      <c r="E151" s="6">
        <v>45189</v>
      </c>
      <c r="F151" s="1" t="s">
        <v>655</v>
      </c>
      <c r="G151" s="1" t="s">
        <v>655</v>
      </c>
      <c r="H151" s="8" t="s">
        <v>656</v>
      </c>
      <c r="I151" s="64" t="s">
        <v>657</v>
      </c>
      <c r="J151" s="1" t="s">
        <v>38</v>
      </c>
      <c r="K151" s="1" t="s">
        <v>451</v>
      </c>
      <c r="L151" s="1" t="s">
        <v>511</v>
      </c>
      <c r="M151" s="192">
        <v>3000000</v>
      </c>
      <c r="N151" s="192">
        <v>5.5E-2</v>
      </c>
      <c r="O151" s="196">
        <f>M151*N151</f>
        <v>165000</v>
      </c>
      <c r="P151" s="196"/>
      <c r="Q151" s="196">
        <f t="shared" si="39"/>
        <v>32225</v>
      </c>
      <c r="R151" s="203">
        <f t="shared" si="40"/>
        <v>197225</v>
      </c>
      <c r="S151" s="203">
        <v>197225</v>
      </c>
      <c r="T151" s="217">
        <f t="shared" si="41"/>
        <v>0</v>
      </c>
      <c r="V151" s="40"/>
      <c r="W151" s="40" t="s">
        <v>262</v>
      </c>
      <c r="X151" s="43"/>
      <c r="Y151" s="35"/>
    </row>
    <row r="152" spans="1:27" x14ac:dyDescent="0.3">
      <c r="A152" s="85" t="s">
        <v>190</v>
      </c>
      <c r="B152" s="64" t="s">
        <v>667</v>
      </c>
      <c r="C152" s="179">
        <v>44827</v>
      </c>
      <c r="D152" s="38"/>
      <c r="E152" s="6">
        <v>45191</v>
      </c>
      <c r="F152" s="1" t="s">
        <v>668</v>
      </c>
      <c r="G152" s="1" t="s">
        <v>668</v>
      </c>
      <c r="H152" s="8"/>
      <c r="I152" s="64" t="s">
        <v>669</v>
      </c>
      <c r="J152" s="1" t="s">
        <v>38</v>
      </c>
      <c r="K152" s="1" t="s">
        <v>500</v>
      </c>
      <c r="L152" s="1" t="s">
        <v>62</v>
      </c>
      <c r="M152" s="192"/>
      <c r="N152" s="192"/>
      <c r="O152" s="196">
        <v>60000</v>
      </c>
      <c r="P152" s="196"/>
      <c r="Q152" s="196">
        <f>(O152+P152)*16.5%+5000</f>
        <v>14900</v>
      </c>
      <c r="R152" s="203">
        <f>SUM(O152:Q152)</f>
        <v>74900</v>
      </c>
      <c r="S152" s="203">
        <v>74900</v>
      </c>
      <c r="T152" s="217">
        <f t="shared" si="41"/>
        <v>0</v>
      </c>
      <c r="V152" s="40"/>
      <c r="W152" s="40"/>
      <c r="X152" s="43"/>
      <c r="Y152" s="35"/>
    </row>
    <row r="153" spans="1:27" x14ac:dyDescent="0.3">
      <c r="A153" s="85" t="s">
        <v>190</v>
      </c>
      <c r="B153" s="64" t="s">
        <v>652</v>
      </c>
      <c r="C153" s="179">
        <v>44828</v>
      </c>
      <c r="D153" s="38"/>
      <c r="E153" s="6">
        <v>45192</v>
      </c>
      <c r="F153" s="1" t="s">
        <v>498</v>
      </c>
      <c r="G153" s="1" t="s">
        <v>498</v>
      </c>
      <c r="H153" s="8" t="s">
        <v>503</v>
      </c>
      <c r="I153" s="64" t="s">
        <v>653</v>
      </c>
      <c r="J153" s="1" t="s">
        <v>38</v>
      </c>
      <c r="K153" s="1" t="s">
        <v>94</v>
      </c>
      <c r="L153" s="1" t="s">
        <v>62</v>
      </c>
      <c r="M153" s="192">
        <v>3000000</v>
      </c>
      <c r="N153" s="192"/>
      <c r="O153" s="196">
        <v>50000</v>
      </c>
      <c r="P153" s="196"/>
      <c r="Q153" s="196">
        <f t="shared" si="39"/>
        <v>13250</v>
      </c>
      <c r="R153" s="203">
        <f t="shared" si="40"/>
        <v>63250</v>
      </c>
      <c r="S153" s="203">
        <v>63250</v>
      </c>
      <c r="T153" s="217">
        <f t="shared" si="41"/>
        <v>0</v>
      </c>
      <c r="V153" s="40"/>
      <c r="W153" s="40" t="s">
        <v>262</v>
      </c>
      <c r="X153" s="43"/>
      <c r="Y153" s="35"/>
    </row>
    <row r="154" spans="1:27" x14ac:dyDescent="0.3">
      <c r="A154" s="85" t="s">
        <v>639</v>
      </c>
      <c r="B154" s="64" t="s">
        <v>670</v>
      </c>
      <c r="C154" s="179">
        <v>44841</v>
      </c>
      <c r="D154" s="38"/>
      <c r="E154" s="6">
        <v>45205</v>
      </c>
      <c r="F154" s="1" t="s">
        <v>671</v>
      </c>
      <c r="G154" s="1" t="s">
        <v>671</v>
      </c>
      <c r="H154" s="8"/>
      <c r="I154" s="64" t="s">
        <v>672</v>
      </c>
      <c r="J154" s="1" t="s">
        <v>38</v>
      </c>
      <c r="K154" s="1" t="s">
        <v>305</v>
      </c>
      <c r="L154" s="1" t="s">
        <v>62</v>
      </c>
      <c r="M154" s="192"/>
      <c r="N154" s="192"/>
      <c r="O154" s="196">
        <v>60000</v>
      </c>
      <c r="P154" s="196"/>
      <c r="Q154" s="196">
        <f>(O154+P154)*16.5%+5000</f>
        <v>14900</v>
      </c>
      <c r="R154" s="203">
        <f>SUM(O154:Q154)</f>
        <v>74900</v>
      </c>
      <c r="S154" s="203">
        <v>74900</v>
      </c>
      <c r="T154" s="217">
        <f t="shared" ref="T154:T160" si="42">R154-S154</f>
        <v>0</v>
      </c>
      <c r="V154" s="40"/>
      <c r="W154" s="40" t="s">
        <v>339</v>
      </c>
      <c r="X154" s="43"/>
      <c r="Y154" s="35"/>
    </row>
    <row r="155" spans="1:27" x14ac:dyDescent="0.3">
      <c r="A155" s="85" t="s">
        <v>191</v>
      </c>
      <c r="B155" s="64" t="s">
        <v>673</v>
      </c>
      <c r="C155" s="179">
        <v>44853</v>
      </c>
      <c r="D155" s="38">
        <v>44944</v>
      </c>
      <c r="E155" s="6">
        <v>45217</v>
      </c>
      <c r="F155" s="1" t="s">
        <v>380</v>
      </c>
      <c r="G155" s="1" t="s">
        <v>380</v>
      </c>
      <c r="H155" s="8"/>
      <c r="I155" s="64" t="s">
        <v>674</v>
      </c>
      <c r="J155" s="1" t="s">
        <v>38</v>
      </c>
      <c r="K155" s="1" t="s">
        <v>305</v>
      </c>
      <c r="L155" s="1" t="s">
        <v>62</v>
      </c>
      <c r="M155" s="192">
        <v>3500000</v>
      </c>
      <c r="N155" s="192"/>
      <c r="O155" s="196">
        <v>60000</v>
      </c>
      <c r="P155" s="196"/>
      <c r="Q155" s="196">
        <f>(O155+P155)*16.5%+5000</f>
        <v>14900</v>
      </c>
      <c r="R155" s="203">
        <f>SUM(O155:Q155)</f>
        <v>74900</v>
      </c>
      <c r="S155" s="203">
        <f>39950+34950</f>
        <v>74900</v>
      </c>
      <c r="T155" s="217">
        <f t="shared" si="42"/>
        <v>0</v>
      </c>
      <c r="V155" s="40"/>
      <c r="W155" s="40"/>
      <c r="X155" s="43"/>
      <c r="Y155" s="35"/>
    </row>
    <row r="156" spans="1:27" x14ac:dyDescent="0.3">
      <c r="A156" s="85" t="s">
        <v>638</v>
      </c>
      <c r="B156" s="64" t="s">
        <v>701</v>
      </c>
      <c r="C156" s="179">
        <v>44855</v>
      </c>
      <c r="D156" s="38"/>
      <c r="E156" s="6">
        <v>45219</v>
      </c>
      <c r="F156" s="1" t="s">
        <v>702</v>
      </c>
      <c r="G156" s="1" t="s">
        <v>702</v>
      </c>
      <c r="H156" s="8" t="s">
        <v>704</v>
      </c>
      <c r="I156" s="64" t="s">
        <v>703</v>
      </c>
      <c r="J156" s="1" t="s">
        <v>38</v>
      </c>
      <c r="K156" s="1" t="s">
        <v>608</v>
      </c>
      <c r="L156" s="1" t="s">
        <v>62</v>
      </c>
      <c r="M156" s="192"/>
      <c r="N156" s="192"/>
      <c r="O156" s="196">
        <v>60000</v>
      </c>
      <c r="P156" s="196"/>
      <c r="Q156" s="196">
        <f>(O156+P156)*16.5%+5000</f>
        <v>14900</v>
      </c>
      <c r="R156" s="203">
        <f>SUM(O156:Q156)</f>
        <v>74900</v>
      </c>
      <c r="S156" s="203">
        <v>74900</v>
      </c>
      <c r="T156" s="217">
        <f t="shared" si="42"/>
        <v>0</v>
      </c>
      <c r="V156" s="40"/>
      <c r="W156" s="40"/>
      <c r="X156" s="43"/>
      <c r="Y156" s="35"/>
    </row>
    <row r="157" spans="1:27" x14ac:dyDescent="0.3">
      <c r="A157" s="85" t="s">
        <v>189</v>
      </c>
      <c r="B157" s="64" t="s">
        <v>693</v>
      </c>
      <c r="C157" s="179">
        <v>44861</v>
      </c>
      <c r="D157" s="38">
        <v>44952</v>
      </c>
      <c r="E157" s="6">
        <v>45225</v>
      </c>
      <c r="F157" s="1" t="s">
        <v>366</v>
      </c>
      <c r="G157" s="1" t="s">
        <v>366</v>
      </c>
      <c r="H157" s="8"/>
      <c r="I157" s="64" t="s">
        <v>694</v>
      </c>
      <c r="J157" s="1" t="s">
        <v>38</v>
      </c>
      <c r="K157" s="1" t="s">
        <v>695</v>
      </c>
      <c r="L157" s="1" t="s">
        <v>511</v>
      </c>
      <c r="M157" s="192">
        <v>10000000</v>
      </c>
      <c r="N157" s="192">
        <v>0.05</v>
      </c>
      <c r="O157" s="196">
        <f>M157*N157</f>
        <v>500000</v>
      </c>
      <c r="P157" s="196"/>
      <c r="Q157" s="196">
        <f>(O157+P157)*16.5%+5000</f>
        <v>87500</v>
      </c>
      <c r="R157" s="203">
        <f>SUM(O157:Q157)</f>
        <v>587500</v>
      </c>
      <c r="S157" s="203">
        <v>587500</v>
      </c>
      <c r="T157" s="217">
        <f t="shared" si="42"/>
        <v>0</v>
      </c>
      <c r="V157" s="40"/>
      <c r="W157" s="40"/>
      <c r="X157" s="43"/>
      <c r="Y157" s="35"/>
    </row>
    <row r="158" spans="1:27" x14ac:dyDescent="0.3">
      <c r="A158" s="85" t="s">
        <v>189</v>
      </c>
      <c r="B158" s="64" t="s">
        <v>678</v>
      </c>
      <c r="C158" s="179">
        <v>44869</v>
      </c>
      <c r="D158" s="38">
        <v>44960</v>
      </c>
      <c r="E158" s="6"/>
      <c r="F158" s="1" t="s">
        <v>594</v>
      </c>
      <c r="G158" s="1" t="s">
        <v>679</v>
      </c>
      <c r="H158" s="8" t="s">
        <v>596</v>
      </c>
      <c r="I158" s="64" t="s">
        <v>680</v>
      </c>
      <c r="J158" s="1" t="s">
        <v>38</v>
      </c>
      <c r="K158" s="1" t="s">
        <v>618</v>
      </c>
      <c r="L158" s="1" t="s">
        <v>62</v>
      </c>
      <c r="M158" s="192"/>
      <c r="N158" s="192"/>
      <c r="O158" s="196">
        <v>60000</v>
      </c>
      <c r="P158" s="196"/>
      <c r="Q158" s="196">
        <f t="shared" ref="Q158:Q163" si="43">(O158+P158)*16.5%+5000</f>
        <v>14900</v>
      </c>
      <c r="R158" s="203">
        <f t="shared" ref="R158:R163" si="44">SUM(O158:Q158)</f>
        <v>74900</v>
      </c>
      <c r="S158" s="203">
        <v>39950</v>
      </c>
      <c r="T158" s="217">
        <f t="shared" si="42"/>
        <v>34950</v>
      </c>
      <c r="V158" s="40"/>
      <c r="W158" s="40" t="s">
        <v>339</v>
      </c>
      <c r="X158" s="43"/>
      <c r="Y158" s="35"/>
    </row>
    <row r="159" spans="1:27" x14ac:dyDescent="0.3">
      <c r="A159" s="85" t="s">
        <v>189</v>
      </c>
      <c r="B159" s="64" t="s">
        <v>681</v>
      </c>
      <c r="C159" s="179">
        <v>44870</v>
      </c>
      <c r="D159" s="38"/>
      <c r="E159" s="6">
        <v>45234</v>
      </c>
      <c r="F159" s="1" t="s">
        <v>303</v>
      </c>
      <c r="G159" s="1" t="s">
        <v>303</v>
      </c>
      <c r="H159" s="8" t="s">
        <v>675</v>
      </c>
      <c r="I159" s="64" t="s">
        <v>682</v>
      </c>
      <c r="J159" s="1" t="s">
        <v>38</v>
      </c>
      <c r="K159" s="1" t="s">
        <v>305</v>
      </c>
      <c r="L159" s="1" t="s">
        <v>62</v>
      </c>
      <c r="M159" s="192">
        <v>4000000</v>
      </c>
      <c r="N159" s="192"/>
      <c r="O159" s="196">
        <v>60000</v>
      </c>
      <c r="P159" s="196"/>
      <c r="Q159" s="196">
        <f t="shared" si="43"/>
        <v>14900</v>
      </c>
      <c r="R159" s="203">
        <f t="shared" si="44"/>
        <v>74900</v>
      </c>
      <c r="S159" s="203">
        <v>74900</v>
      </c>
      <c r="T159" s="217">
        <f t="shared" si="42"/>
        <v>0</v>
      </c>
      <c r="V159" s="40"/>
      <c r="W159" s="40" t="s">
        <v>339</v>
      </c>
      <c r="X159" s="43"/>
      <c r="Y159" s="35"/>
    </row>
    <row r="160" spans="1:27" x14ac:dyDescent="0.3">
      <c r="A160" s="85" t="s">
        <v>189</v>
      </c>
      <c r="B160" s="64" t="s">
        <v>696</v>
      </c>
      <c r="C160" s="179">
        <v>44879</v>
      </c>
      <c r="D160" s="38">
        <v>44970</v>
      </c>
      <c r="E160" s="6">
        <v>45243</v>
      </c>
      <c r="F160" s="1" t="s">
        <v>697</v>
      </c>
      <c r="G160" s="1" t="s">
        <v>697</v>
      </c>
      <c r="H160" s="8"/>
      <c r="I160" s="64" t="s">
        <v>698</v>
      </c>
      <c r="J160" s="1" t="s">
        <v>38</v>
      </c>
      <c r="K160" s="1" t="s">
        <v>542</v>
      </c>
      <c r="L160" s="1" t="s">
        <v>62</v>
      </c>
      <c r="M160" s="192"/>
      <c r="N160" s="192"/>
      <c r="O160" s="196">
        <v>60000</v>
      </c>
      <c r="P160" s="196"/>
      <c r="Q160" s="196">
        <f t="shared" si="43"/>
        <v>14900</v>
      </c>
      <c r="R160" s="203">
        <f t="shared" si="44"/>
        <v>74900</v>
      </c>
      <c r="S160" s="203">
        <f>39950+34950</f>
        <v>74900</v>
      </c>
      <c r="T160" s="217">
        <f t="shared" si="42"/>
        <v>0</v>
      </c>
      <c r="V160" s="40"/>
      <c r="W160" s="40" t="s">
        <v>699</v>
      </c>
      <c r="X160" s="43"/>
      <c r="Y160" s="35"/>
    </row>
    <row r="161" spans="1:26" x14ac:dyDescent="0.3">
      <c r="A161" s="85" t="s">
        <v>189</v>
      </c>
      <c r="B161" s="64" t="s">
        <v>705</v>
      </c>
      <c r="C161" s="179">
        <v>44882</v>
      </c>
      <c r="D161" s="38"/>
      <c r="E161" s="6">
        <v>45246</v>
      </c>
      <c r="F161" s="1" t="s">
        <v>706</v>
      </c>
      <c r="G161" s="1" t="s">
        <v>706</v>
      </c>
      <c r="H161" s="8"/>
      <c r="I161" s="64" t="s">
        <v>707</v>
      </c>
      <c r="J161" s="1" t="s">
        <v>38</v>
      </c>
      <c r="K161" s="1" t="s">
        <v>360</v>
      </c>
      <c r="L161" s="1" t="s">
        <v>62</v>
      </c>
      <c r="M161" s="192"/>
      <c r="N161" s="192"/>
      <c r="O161" s="196">
        <v>60000</v>
      </c>
      <c r="P161" s="196"/>
      <c r="Q161" s="196">
        <f t="shared" si="43"/>
        <v>14900</v>
      </c>
      <c r="R161" s="203">
        <f t="shared" si="44"/>
        <v>74900</v>
      </c>
      <c r="S161" s="203"/>
      <c r="T161" s="217"/>
      <c r="V161" s="40"/>
      <c r="W161" s="40" t="s">
        <v>710</v>
      </c>
      <c r="X161" s="43"/>
      <c r="Y161" s="35"/>
    </row>
    <row r="162" spans="1:26" x14ac:dyDescent="0.3">
      <c r="A162" s="85" t="s">
        <v>189</v>
      </c>
      <c r="B162" s="64" t="s">
        <v>705</v>
      </c>
      <c r="C162" s="179">
        <v>44882</v>
      </c>
      <c r="D162" s="38"/>
      <c r="E162" s="6">
        <v>45246</v>
      </c>
      <c r="F162" s="1" t="s">
        <v>706</v>
      </c>
      <c r="G162" s="1" t="s">
        <v>706</v>
      </c>
      <c r="H162" s="8"/>
      <c r="I162" s="64" t="s">
        <v>708</v>
      </c>
      <c r="J162" s="1" t="s">
        <v>38</v>
      </c>
      <c r="K162" s="1" t="s">
        <v>709</v>
      </c>
      <c r="L162" s="1" t="s">
        <v>62</v>
      </c>
      <c r="M162" s="192"/>
      <c r="N162" s="192"/>
      <c r="O162" s="196">
        <v>60000</v>
      </c>
      <c r="P162" s="196"/>
      <c r="Q162" s="196">
        <f t="shared" si="43"/>
        <v>14900</v>
      </c>
      <c r="R162" s="203">
        <f t="shared" si="44"/>
        <v>74900</v>
      </c>
      <c r="S162" s="203"/>
      <c r="T162" s="217"/>
      <c r="V162" s="40"/>
      <c r="W162" s="40" t="s">
        <v>710</v>
      </c>
      <c r="X162" s="43"/>
      <c r="Y162" s="35"/>
    </row>
    <row r="163" spans="1:26" x14ac:dyDescent="0.3">
      <c r="A163" s="85" t="s">
        <v>638</v>
      </c>
      <c r="B163" s="64" t="s">
        <v>715</v>
      </c>
      <c r="C163" s="179">
        <v>44894</v>
      </c>
      <c r="D163" s="38"/>
      <c r="E163" s="6">
        <v>45258</v>
      </c>
      <c r="F163" s="1" t="s">
        <v>666</v>
      </c>
      <c r="G163" s="1" t="s">
        <v>666</v>
      </c>
      <c r="H163" s="8" t="s">
        <v>716</v>
      </c>
      <c r="I163" s="64" t="s">
        <v>717</v>
      </c>
      <c r="J163" s="1" t="s">
        <v>38</v>
      </c>
      <c r="K163" s="1" t="s">
        <v>329</v>
      </c>
      <c r="L163" s="1" t="s">
        <v>62</v>
      </c>
      <c r="M163" s="192"/>
      <c r="N163" s="192"/>
      <c r="O163" s="196">
        <v>60000</v>
      </c>
      <c r="P163" s="196"/>
      <c r="Q163" s="196">
        <f t="shared" si="43"/>
        <v>14900</v>
      </c>
      <c r="R163" s="203">
        <f t="shared" si="44"/>
        <v>74900</v>
      </c>
      <c r="S163" s="203">
        <v>74900</v>
      </c>
      <c r="T163" s="217">
        <f>R163-S163</f>
        <v>0</v>
      </c>
      <c r="V163" s="40"/>
      <c r="W163" s="40" t="s">
        <v>262</v>
      </c>
      <c r="X163" s="43"/>
      <c r="Y163" s="35"/>
    </row>
    <row r="164" spans="1:26" s="116" customFormat="1" x14ac:dyDescent="0.3">
      <c r="A164" s="116" t="s">
        <v>638</v>
      </c>
      <c r="B164" s="116" t="s">
        <v>726</v>
      </c>
      <c r="C164" s="180">
        <v>44901</v>
      </c>
      <c r="D164" s="117"/>
      <c r="E164" s="120">
        <v>45265</v>
      </c>
      <c r="F164" s="116" t="s">
        <v>414</v>
      </c>
      <c r="G164" s="116" t="s">
        <v>414</v>
      </c>
      <c r="H164" s="118" t="s">
        <v>727</v>
      </c>
      <c r="I164" s="116" t="s">
        <v>728</v>
      </c>
      <c r="J164" s="116" t="s">
        <v>38</v>
      </c>
      <c r="K164" s="116" t="s">
        <v>729</v>
      </c>
      <c r="L164" s="116" t="s">
        <v>217</v>
      </c>
      <c r="M164" s="189">
        <v>3000000</v>
      </c>
      <c r="N164" s="40"/>
      <c r="O164" s="189">
        <v>75000</v>
      </c>
      <c r="P164" s="40"/>
      <c r="Q164" s="189">
        <f>(O164+P164)*16.5%+5000</f>
        <v>17375</v>
      </c>
      <c r="R164" s="203">
        <f>SUM(O164:Q164)</f>
        <v>92375</v>
      </c>
      <c r="S164" s="210">
        <f>48687.5+43687.5</f>
        <v>92375</v>
      </c>
      <c r="T164" s="221">
        <f t="shared" ref="T164:T170" si="45">R164-S164</f>
        <v>0</v>
      </c>
      <c r="U164" s="232"/>
      <c r="V164" s="40"/>
      <c r="W164" s="189" t="s">
        <v>262</v>
      </c>
      <c r="X164" s="40"/>
      <c r="Y164" s="119"/>
      <c r="Z164" s="117"/>
    </row>
    <row r="165" spans="1:26" x14ac:dyDescent="0.3">
      <c r="A165" s="55" t="s">
        <v>190</v>
      </c>
      <c r="B165" s="64" t="s">
        <v>720</v>
      </c>
      <c r="C165" s="179">
        <v>44902</v>
      </c>
      <c r="D165" s="101">
        <v>44991</v>
      </c>
      <c r="F165" s="1" t="s">
        <v>721</v>
      </c>
      <c r="G165" s="1" t="s">
        <v>721</v>
      </c>
      <c r="I165" s="64" t="s">
        <v>722</v>
      </c>
      <c r="J165" s="1" t="s">
        <v>38</v>
      </c>
      <c r="K165" s="1" t="s">
        <v>510</v>
      </c>
      <c r="L165" s="1" t="s">
        <v>217</v>
      </c>
      <c r="O165" s="188">
        <v>60000</v>
      </c>
      <c r="Q165" s="188">
        <f>(O165+P165)*16.5%+5000</f>
        <v>14900</v>
      </c>
      <c r="R165" s="202">
        <f>SUM(O165:Q165)</f>
        <v>74900</v>
      </c>
      <c r="S165" s="202">
        <v>39950</v>
      </c>
      <c r="T165" s="216">
        <f t="shared" si="45"/>
        <v>34950</v>
      </c>
      <c r="W165" s="1" t="s">
        <v>262</v>
      </c>
    </row>
    <row r="166" spans="1:26" x14ac:dyDescent="0.3">
      <c r="A166" s="1" t="s">
        <v>638</v>
      </c>
      <c r="B166" s="64" t="s">
        <v>723</v>
      </c>
      <c r="C166" s="179">
        <v>44904</v>
      </c>
      <c r="D166" s="101"/>
      <c r="E166" s="115">
        <v>45268</v>
      </c>
      <c r="F166" s="1" t="s">
        <v>724</v>
      </c>
      <c r="G166" s="1" t="s">
        <v>724</v>
      </c>
      <c r="I166" s="64" t="s">
        <v>725</v>
      </c>
      <c r="J166" s="1" t="s">
        <v>38</v>
      </c>
      <c r="K166" s="1" t="s">
        <v>19</v>
      </c>
      <c r="L166" s="1" t="s">
        <v>217</v>
      </c>
      <c r="O166" s="188">
        <v>60000</v>
      </c>
      <c r="Q166" s="188">
        <f>(O166+P166)*16.5%+5000</f>
        <v>14900</v>
      </c>
      <c r="R166" s="202">
        <f>SUM(O166:Q166)</f>
        <v>74900</v>
      </c>
      <c r="S166" s="202">
        <v>74900</v>
      </c>
      <c r="T166" s="216">
        <f t="shared" si="45"/>
        <v>0</v>
      </c>
      <c r="W166" s="1" t="s">
        <v>262</v>
      </c>
    </row>
    <row r="167" spans="1:26" x14ac:dyDescent="0.3">
      <c r="A167" s="55" t="s">
        <v>638</v>
      </c>
      <c r="B167" s="64" t="s">
        <v>730</v>
      </c>
      <c r="C167" s="179">
        <v>44904</v>
      </c>
      <c r="D167" s="101"/>
      <c r="E167" s="115">
        <v>45268</v>
      </c>
      <c r="F167" s="1" t="s">
        <v>731</v>
      </c>
      <c r="G167" s="1" t="s">
        <v>731</v>
      </c>
      <c r="I167" s="64" t="s">
        <v>732</v>
      </c>
      <c r="J167" s="1" t="s">
        <v>38</v>
      </c>
      <c r="K167" s="1" t="s">
        <v>733</v>
      </c>
      <c r="L167" s="1" t="s">
        <v>217</v>
      </c>
      <c r="O167" s="188">
        <v>60000</v>
      </c>
      <c r="Q167" s="188">
        <f>(O167+P167)*16.5%+5000</f>
        <v>14900</v>
      </c>
      <c r="R167" s="202">
        <f>SUM(O167:Q167)</f>
        <v>74900</v>
      </c>
      <c r="S167" s="202">
        <v>74900</v>
      </c>
      <c r="T167" s="216">
        <f t="shared" si="45"/>
        <v>0</v>
      </c>
      <c r="W167" s="1" t="s">
        <v>262</v>
      </c>
    </row>
    <row r="168" spans="1:26" x14ac:dyDescent="0.3">
      <c r="A168" s="85" t="s">
        <v>189</v>
      </c>
      <c r="B168" s="64" t="s">
        <v>718</v>
      </c>
      <c r="C168" s="179">
        <v>44910</v>
      </c>
      <c r="D168" s="38">
        <v>44999</v>
      </c>
      <c r="E168" s="6">
        <v>45274</v>
      </c>
      <c r="F168" s="1" t="s">
        <v>336</v>
      </c>
      <c r="G168" s="1" t="s">
        <v>336</v>
      </c>
      <c r="H168" s="8"/>
      <c r="I168" s="64" t="s">
        <v>337</v>
      </c>
      <c r="J168" s="1" t="s">
        <v>38</v>
      </c>
      <c r="K168" s="1" t="s">
        <v>719</v>
      </c>
      <c r="L168" s="1" t="s">
        <v>217</v>
      </c>
      <c r="M168" s="192"/>
      <c r="N168" s="192"/>
      <c r="O168" s="196">
        <v>60000</v>
      </c>
      <c r="P168" s="196"/>
      <c r="Q168" s="196">
        <f>(O168+P168)*16.5%+5000</f>
        <v>14900</v>
      </c>
      <c r="R168" s="203">
        <f>SUM(O168:Q168)</f>
        <v>74900</v>
      </c>
      <c r="S168" s="203">
        <f>39950+34950</f>
        <v>74900</v>
      </c>
      <c r="T168" s="217">
        <f t="shared" si="45"/>
        <v>0</v>
      </c>
      <c r="V168" s="40"/>
      <c r="W168" s="40" t="s">
        <v>262</v>
      </c>
      <c r="X168" s="43"/>
      <c r="Y168" s="35"/>
    </row>
    <row r="169" spans="1:26" x14ac:dyDescent="0.3">
      <c r="A169" s="85" t="s">
        <v>189</v>
      </c>
      <c r="B169" s="64" t="s">
        <v>734</v>
      </c>
      <c r="C169" s="179">
        <v>44910</v>
      </c>
      <c r="D169" s="38"/>
      <c r="E169" s="6">
        <v>45274</v>
      </c>
      <c r="F169" s="1" t="s">
        <v>655</v>
      </c>
      <c r="G169" s="1" t="s">
        <v>655</v>
      </c>
      <c r="H169" s="8"/>
      <c r="I169" s="64" t="s">
        <v>735</v>
      </c>
      <c r="J169" s="1" t="s">
        <v>38</v>
      </c>
      <c r="K169" s="1" t="s">
        <v>736</v>
      </c>
      <c r="L169" s="1" t="s">
        <v>511</v>
      </c>
      <c r="M169" s="192">
        <v>5000000</v>
      </c>
      <c r="N169" s="192">
        <v>0.05</v>
      </c>
      <c r="O169" s="196">
        <f>M169*N169</f>
        <v>250000</v>
      </c>
      <c r="P169" s="196"/>
      <c r="Q169" s="196">
        <f>(M169+O169)*16.5%+5000</f>
        <v>871250</v>
      </c>
      <c r="R169" s="203">
        <v>296250</v>
      </c>
      <c r="S169" s="203">
        <v>296250</v>
      </c>
      <c r="T169" s="217">
        <f t="shared" si="45"/>
        <v>0</v>
      </c>
      <c r="V169" s="40"/>
      <c r="W169" s="40" t="s">
        <v>262</v>
      </c>
      <c r="X169" s="43"/>
      <c r="Y169" s="35"/>
    </row>
    <row r="170" spans="1:26" x14ac:dyDescent="0.3">
      <c r="A170" s="85" t="s">
        <v>189</v>
      </c>
      <c r="B170" s="64" t="s">
        <v>737</v>
      </c>
      <c r="C170" s="179">
        <v>44910</v>
      </c>
      <c r="D170" s="38"/>
      <c r="E170" s="6">
        <v>45274</v>
      </c>
      <c r="F170" s="1" t="s">
        <v>738</v>
      </c>
      <c r="G170" s="1" t="s">
        <v>738</v>
      </c>
      <c r="H170" s="8"/>
      <c r="I170" s="64" t="s">
        <v>739</v>
      </c>
      <c r="J170" s="1" t="s">
        <v>38</v>
      </c>
      <c r="K170" s="1" t="s">
        <v>740</v>
      </c>
      <c r="L170" s="1" t="s">
        <v>511</v>
      </c>
      <c r="M170" s="192">
        <v>12000000</v>
      </c>
      <c r="N170" s="192">
        <v>0.05</v>
      </c>
      <c r="O170" s="196">
        <f>M170*N170</f>
        <v>600000</v>
      </c>
      <c r="P170" s="196"/>
      <c r="Q170" s="196">
        <f>(M170+O170)*16.5%+5000</f>
        <v>2084000</v>
      </c>
      <c r="R170" s="203">
        <v>704000</v>
      </c>
      <c r="S170" s="203">
        <v>704000</v>
      </c>
      <c r="T170" s="217">
        <f t="shared" si="45"/>
        <v>0</v>
      </c>
      <c r="V170" s="40"/>
      <c r="W170" s="40" t="s">
        <v>262</v>
      </c>
      <c r="X170" s="43"/>
      <c r="Y170" s="35"/>
    </row>
    <row r="171" spans="1:26" x14ac:dyDescent="0.3">
      <c r="A171" s="85" t="s">
        <v>638</v>
      </c>
      <c r="B171" s="64" t="s">
        <v>744</v>
      </c>
      <c r="C171" s="179">
        <v>44915</v>
      </c>
      <c r="D171" s="38"/>
      <c r="E171" s="6">
        <v>45279</v>
      </c>
      <c r="F171" s="1" t="s">
        <v>741</v>
      </c>
      <c r="G171" s="1" t="s">
        <v>741</v>
      </c>
      <c r="H171" s="8" t="s">
        <v>742</v>
      </c>
      <c r="I171" s="64" t="s">
        <v>743</v>
      </c>
      <c r="J171" s="1" t="s">
        <v>38</v>
      </c>
      <c r="K171" s="1" t="s">
        <v>510</v>
      </c>
      <c r="L171" s="1" t="s">
        <v>217</v>
      </c>
      <c r="M171" s="192"/>
      <c r="N171" s="192"/>
      <c r="O171" s="196">
        <v>60000</v>
      </c>
      <c r="P171" s="196"/>
      <c r="Q171" s="196">
        <f>(M171+O171)*16.5%+5000</f>
        <v>14900</v>
      </c>
      <c r="R171" s="203">
        <f>SUM(O171:Q171)</f>
        <v>74900</v>
      </c>
      <c r="S171" s="203">
        <v>74900</v>
      </c>
      <c r="T171" s="217">
        <f>R171-S171</f>
        <v>0</v>
      </c>
      <c r="V171" s="40"/>
      <c r="W171" s="40" t="s">
        <v>262</v>
      </c>
      <c r="X171" s="43"/>
      <c r="Y171" s="35"/>
    </row>
    <row r="172" spans="1:26" x14ac:dyDescent="0.3">
      <c r="A172" s="85" t="s">
        <v>189</v>
      </c>
      <c r="B172" s="64" t="s">
        <v>340</v>
      </c>
      <c r="C172" s="179">
        <v>44926</v>
      </c>
      <c r="D172" s="38">
        <v>45015</v>
      </c>
      <c r="E172" s="6">
        <v>45290</v>
      </c>
      <c r="F172" s="1" t="s">
        <v>341</v>
      </c>
      <c r="G172" s="1" t="s">
        <v>341</v>
      </c>
      <c r="H172" s="8"/>
      <c r="I172" s="64" t="s">
        <v>342</v>
      </c>
      <c r="J172" s="1" t="s">
        <v>38</v>
      </c>
      <c r="K172" s="1" t="s">
        <v>751</v>
      </c>
      <c r="L172" s="1" t="s">
        <v>62</v>
      </c>
      <c r="M172" s="192"/>
      <c r="N172" s="192"/>
      <c r="O172" s="196">
        <v>60000</v>
      </c>
      <c r="P172" s="196"/>
      <c r="Q172" s="196">
        <f>(M172+O172)*16.5%+5000</f>
        <v>14900</v>
      </c>
      <c r="R172" s="203">
        <f>SUM(O172:Q172)</f>
        <v>74900</v>
      </c>
      <c r="S172" s="203">
        <f>39950+34950</f>
        <v>74900</v>
      </c>
      <c r="T172" s="217">
        <f>R172-S172</f>
        <v>0</v>
      </c>
      <c r="V172" s="40"/>
      <c r="W172" s="40" t="s">
        <v>262</v>
      </c>
      <c r="X172" s="43"/>
      <c r="Y172" s="35"/>
    </row>
    <row r="173" spans="1:26" s="122" customFormat="1" x14ac:dyDescent="0.3">
      <c r="A173" s="122" t="s">
        <v>189</v>
      </c>
      <c r="B173" s="126" t="s">
        <v>752</v>
      </c>
      <c r="C173" s="183">
        <v>44929</v>
      </c>
      <c r="D173" s="127">
        <v>45018</v>
      </c>
      <c r="E173" s="124"/>
      <c r="F173" s="126" t="s">
        <v>372</v>
      </c>
      <c r="G173" s="126" t="s">
        <v>372</v>
      </c>
      <c r="I173" s="126" t="s">
        <v>753</v>
      </c>
      <c r="J173" s="126" t="s">
        <v>38</v>
      </c>
      <c r="K173" s="126" t="s">
        <v>329</v>
      </c>
      <c r="L173" s="126" t="s">
        <v>62</v>
      </c>
      <c r="M173" s="195"/>
      <c r="N173" s="195"/>
      <c r="O173" s="198">
        <v>60000</v>
      </c>
      <c r="P173" s="195"/>
      <c r="Q173" s="196">
        <f t="shared" ref="Q173:Q181" si="46">(O173*16.5%)+5000</f>
        <v>14900</v>
      </c>
      <c r="R173" s="206">
        <f t="shared" ref="R173:R181" si="47">SUM(O173:Q173)</f>
        <v>74900</v>
      </c>
      <c r="S173" s="211">
        <v>39950</v>
      </c>
      <c r="T173" s="222">
        <f t="shared" ref="T173:T178" si="48">R173-S173</f>
        <v>34950</v>
      </c>
      <c r="U173" s="233"/>
      <c r="V173" s="195"/>
      <c r="W173" s="235" t="s">
        <v>262</v>
      </c>
      <c r="X173" s="195"/>
      <c r="Y173" s="125"/>
      <c r="Z173" s="123"/>
    </row>
    <row r="174" spans="1:26" x14ac:dyDescent="0.3">
      <c r="A174" s="85" t="s">
        <v>189</v>
      </c>
      <c r="B174" s="64" t="s">
        <v>745</v>
      </c>
      <c r="C174" s="179">
        <v>44932</v>
      </c>
      <c r="D174" s="38"/>
      <c r="E174" s="6">
        <v>45296</v>
      </c>
      <c r="F174" s="1" t="s">
        <v>376</v>
      </c>
      <c r="G174" s="1" t="s">
        <v>346</v>
      </c>
      <c r="H174" s="8" t="s">
        <v>133</v>
      </c>
      <c r="I174" s="64" t="s">
        <v>152</v>
      </c>
      <c r="J174" s="1" t="s">
        <v>38</v>
      </c>
      <c r="K174" s="1" t="s">
        <v>125</v>
      </c>
      <c r="L174" s="1" t="s">
        <v>62</v>
      </c>
      <c r="M174" s="196"/>
      <c r="N174" s="192"/>
      <c r="O174" s="196">
        <v>60000</v>
      </c>
      <c r="P174" s="196"/>
      <c r="Q174" s="196">
        <f t="shared" si="46"/>
        <v>14900</v>
      </c>
      <c r="R174" s="203">
        <f t="shared" si="47"/>
        <v>74900</v>
      </c>
      <c r="S174" s="203">
        <v>74900</v>
      </c>
      <c r="T174" s="217">
        <f t="shared" si="48"/>
        <v>0</v>
      </c>
      <c r="V174" s="40"/>
      <c r="W174" s="40" t="s">
        <v>262</v>
      </c>
      <c r="X174" s="43"/>
      <c r="Y174" s="35"/>
    </row>
    <row r="175" spans="1:26" x14ac:dyDescent="0.3">
      <c r="A175" s="85" t="s">
        <v>189</v>
      </c>
      <c r="B175" s="64" t="s">
        <v>745</v>
      </c>
      <c r="C175" s="179">
        <v>44932</v>
      </c>
      <c r="D175" s="38"/>
      <c r="E175" s="6">
        <v>45296</v>
      </c>
      <c r="F175" s="1" t="s">
        <v>376</v>
      </c>
      <c r="G175" s="1" t="s">
        <v>346</v>
      </c>
      <c r="H175" s="8" t="s">
        <v>133</v>
      </c>
      <c r="I175" s="64" t="s">
        <v>148</v>
      </c>
      <c r="J175" s="1" t="s">
        <v>38</v>
      </c>
      <c r="K175" s="1" t="s">
        <v>368</v>
      </c>
      <c r="L175" s="1" t="s">
        <v>511</v>
      </c>
      <c r="M175" s="192">
        <v>20000000</v>
      </c>
      <c r="N175" s="192">
        <v>4.4999999999999998E-2</v>
      </c>
      <c r="O175" s="196">
        <f>M175*N175</f>
        <v>900000</v>
      </c>
      <c r="P175" s="196"/>
      <c r="Q175" s="196">
        <f t="shared" si="46"/>
        <v>153500</v>
      </c>
      <c r="R175" s="203">
        <f t="shared" si="47"/>
        <v>1053500</v>
      </c>
      <c r="S175" s="203">
        <v>1053500</v>
      </c>
      <c r="T175" s="217">
        <f t="shared" si="48"/>
        <v>0</v>
      </c>
      <c r="V175" s="40"/>
      <c r="W175" s="40" t="s">
        <v>262</v>
      </c>
      <c r="X175" s="43"/>
      <c r="Y175" s="35"/>
    </row>
    <row r="176" spans="1:26" x14ac:dyDescent="0.3">
      <c r="A176" s="85" t="s">
        <v>189</v>
      </c>
      <c r="B176" s="64" t="s">
        <v>746</v>
      </c>
      <c r="C176" s="179">
        <v>44932</v>
      </c>
      <c r="D176" s="38">
        <v>45021</v>
      </c>
      <c r="E176" s="6"/>
      <c r="F176" s="1" t="s">
        <v>366</v>
      </c>
      <c r="G176" s="1" t="s">
        <v>366</v>
      </c>
      <c r="H176" s="8" t="s">
        <v>286</v>
      </c>
      <c r="I176" s="64" t="s">
        <v>367</v>
      </c>
      <c r="J176" s="1" t="s">
        <v>38</v>
      </c>
      <c r="K176" s="1" t="s">
        <v>368</v>
      </c>
      <c r="L176" s="1" t="s">
        <v>511</v>
      </c>
      <c r="M176" s="192">
        <v>45000000</v>
      </c>
      <c r="N176" s="192">
        <v>4.7E-2</v>
      </c>
      <c r="O176" s="196">
        <f>M176*N176</f>
        <v>2115000</v>
      </c>
      <c r="P176" s="196"/>
      <c r="Q176" s="196">
        <f t="shared" si="46"/>
        <v>353975</v>
      </c>
      <c r="R176" s="203">
        <f t="shared" si="47"/>
        <v>2468975</v>
      </c>
      <c r="S176" s="203">
        <f>1236987.5+1231987.5</f>
        <v>2468975</v>
      </c>
      <c r="T176" s="217">
        <f t="shared" si="48"/>
        <v>0</v>
      </c>
      <c r="V176" s="40"/>
      <c r="W176" s="40" t="s">
        <v>262</v>
      </c>
      <c r="X176" s="43"/>
      <c r="Y176" s="35"/>
    </row>
    <row r="177" spans="1:26" x14ac:dyDescent="0.3">
      <c r="A177" s="85" t="s">
        <v>638</v>
      </c>
      <c r="B177" s="64" t="s">
        <v>747</v>
      </c>
      <c r="C177" s="179">
        <v>44935</v>
      </c>
      <c r="D177" s="38"/>
      <c r="E177" s="6">
        <v>44934</v>
      </c>
      <c r="F177" s="1" t="s">
        <v>748</v>
      </c>
      <c r="G177" s="1" t="s">
        <v>748</v>
      </c>
      <c r="H177" s="8" t="s">
        <v>749</v>
      </c>
      <c r="I177" s="64" t="s">
        <v>750</v>
      </c>
      <c r="J177" s="1" t="s">
        <v>38</v>
      </c>
      <c r="K177" s="1" t="s">
        <v>618</v>
      </c>
      <c r="L177" s="1" t="s">
        <v>62</v>
      </c>
      <c r="M177" s="192"/>
      <c r="N177" s="192"/>
      <c r="O177" s="196">
        <v>60000</v>
      </c>
      <c r="P177" s="196"/>
      <c r="Q177" s="196">
        <f t="shared" si="46"/>
        <v>14900</v>
      </c>
      <c r="R177" s="203">
        <f t="shared" si="47"/>
        <v>74900</v>
      </c>
      <c r="S177" s="203">
        <v>74900</v>
      </c>
      <c r="T177" s="217">
        <f t="shared" si="48"/>
        <v>0</v>
      </c>
      <c r="V177" s="40"/>
      <c r="W177" s="40" t="s">
        <v>262</v>
      </c>
      <c r="X177" s="43"/>
      <c r="Y177" s="35"/>
    </row>
    <row r="178" spans="1:26" x14ac:dyDescent="0.3">
      <c r="A178" s="85" t="s">
        <v>189</v>
      </c>
      <c r="B178" s="64" t="s">
        <v>754</v>
      </c>
      <c r="C178" s="179">
        <v>44938</v>
      </c>
      <c r="D178" s="38"/>
      <c r="E178" s="6">
        <v>45302</v>
      </c>
      <c r="F178" s="1" t="s">
        <v>356</v>
      </c>
      <c r="G178" s="1" t="s">
        <v>356</v>
      </c>
      <c r="H178" s="8"/>
      <c r="I178" s="64" t="s">
        <v>359</v>
      </c>
      <c r="J178" s="1" t="s">
        <v>38</v>
      </c>
      <c r="K178" s="1" t="s">
        <v>360</v>
      </c>
      <c r="L178" s="1" t="s">
        <v>62</v>
      </c>
      <c r="M178" s="192"/>
      <c r="N178" s="192"/>
      <c r="O178" s="196">
        <v>75000</v>
      </c>
      <c r="P178" s="196"/>
      <c r="Q178" s="196">
        <f t="shared" si="46"/>
        <v>17375</v>
      </c>
      <c r="R178" s="203">
        <f t="shared" si="47"/>
        <v>92375</v>
      </c>
      <c r="S178" s="203">
        <v>92375</v>
      </c>
      <c r="T178" s="217">
        <f t="shared" si="48"/>
        <v>0</v>
      </c>
      <c r="V178" s="40"/>
      <c r="W178" s="40" t="s">
        <v>262</v>
      </c>
      <c r="X178" s="43"/>
      <c r="Y178" s="35"/>
    </row>
    <row r="179" spans="1:26" x14ac:dyDescent="0.3">
      <c r="A179" s="85" t="s">
        <v>189</v>
      </c>
      <c r="B179" s="64" t="s">
        <v>755</v>
      </c>
      <c r="C179" s="179">
        <v>44949</v>
      </c>
      <c r="D179" s="38"/>
      <c r="E179" s="6" t="s">
        <v>946</v>
      </c>
      <c r="F179" s="1" t="s">
        <v>376</v>
      </c>
      <c r="G179" s="1" t="s">
        <v>346</v>
      </c>
      <c r="H179" s="8" t="s">
        <v>133</v>
      </c>
      <c r="I179" s="64" t="s">
        <v>756</v>
      </c>
      <c r="J179" s="1" t="s">
        <v>38</v>
      </c>
      <c r="K179" s="1" t="s">
        <v>757</v>
      </c>
      <c r="L179" s="1" t="s">
        <v>62</v>
      </c>
      <c r="M179" s="192"/>
      <c r="N179" s="192"/>
      <c r="O179" s="196">
        <v>75000</v>
      </c>
      <c r="P179" s="196"/>
      <c r="Q179" s="196">
        <f t="shared" si="46"/>
        <v>17375</v>
      </c>
      <c r="R179" s="203">
        <f t="shared" si="47"/>
        <v>92375</v>
      </c>
      <c r="S179" s="203"/>
      <c r="T179" s="217"/>
      <c r="V179" s="40"/>
      <c r="W179" s="40" t="s">
        <v>262</v>
      </c>
      <c r="X179" s="43"/>
      <c r="Y179" s="35"/>
    </row>
    <row r="180" spans="1:26" x14ac:dyDescent="0.3">
      <c r="A180" s="85" t="s">
        <v>189</v>
      </c>
      <c r="B180" s="64" t="s">
        <v>758</v>
      </c>
      <c r="C180" s="179">
        <v>44950</v>
      </c>
      <c r="D180" s="38"/>
      <c r="E180" s="6">
        <v>45314</v>
      </c>
      <c r="F180" s="1" t="s">
        <v>351</v>
      </c>
      <c r="G180" s="1" t="s">
        <v>351</v>
      </c>
      <c r="H180" s="8"/>
      <c r="I180" s="64" t="s">
        <v>352</v>
      </c>
      <c r="J180" s="1" t="s">
        <v>38</v>
      </c>
      <c r="K180" s="1" t="s">
        <v>759</v>
      </c>
      <c r="L180" s="1" t="s">
        <v>62</v>
      </c>
      <c r="M180" s="192"/>
      <c r="N180" s="192"/>
      <c r="O180" s="196">
        <v>60000</v>
      </c>
      <c r="P180" s="196"/>
      <c r="Q180" s="196">
        <f t="shared" si="46"/>
        <v>14900</v>
      </c>
      <c r="R180" s="203">
        <f t="shared" si="47"/>
        <v>74900</v>
      </c>
      <c r="S180" s="203">
        <v>74900</v>
      </c>
      <c r="T180" s="217">
        <f t="shared" ref="T180:T188" si="49">R180-S180</f>
        <v>0</v>
      </c>
      <c r="V180" s="40"/>
      <c r="W180" s="40" t="s">
        <v>262</v>
      </c>
      <c r="X180" s="43"/>
      <c r="Y180" s="35"/>
    </row>
    <row r="181" spans="1:26" x14ac:dyDescent="0.3">
      <c r="A181" s="85" t="s">
        <v>189</v>
      </c>
      <c r="B181" s="64" t="s">
        <v>762</v>
      </c>
      <c r="C181" s="179">
        <v>44954</v>
      </c>
      <c r="D181" s="38"/>
      <c r="E181" s="6">
        <v>44953</v>
      </c>
      <c r="F181" s="1" t="s">
        <v>376</v>
      </c>
      <c r="G181" s="1" t="s">
        <v>346</v>
      </c>
      <c r="H181" s="8" t="s">
        <v>133</v>
      </c>
      <c r="I181" s="64" t="s">
        <v>377</v>
      </c>
      <c r="J181" s="1" t="s">
        <v>38</v>
      </c>
      <c r="K181" s="1" t="s">
        <v>378</v>
      </c>
      <c r="L181" s="1" t="s">
        <v>62</v>
      </c>
      <c r="M181" s="192"/>
      <c r="N181" s="192"/>
      <c r="O181" s="196">
        <v>60000</v>
      </c>
      <c r="P181" s="196"/>
      <c r="Q181" s="196">
        <f t="shared" si="46"/>
        <v>14900</v>
      </c>
      <c r="R181" s="203">
        <f t="shared" si="47"/>
        <v>74900</v>
      </c>
      <c r="S181" s="203">
        <v>74900</v>
      </c>
      <c r="T181" s="217">
        <f t="shared" si="49"/>
        <v>0</v>
      </c>
      <c r="V181" s="40"/>
      <c r="W181" s="40" t="s">
        <v>262</v>
      </c>
      <c r="X181" s="43"/>
      <c r="Y181" s="35"/>
    </row>
    <row r="182" spans="1:26" x14ac:dyDescent="0.3">
      <c r="A182" s="85" t="s">
        <v>638</v>
      </c>
      <c r="B182" s="64" t="s">
        <v>804</v>
      </c>
      <c r="C182" s="179">
        <v>44957</v>
      </c>
      <c r="D182" s="38"/>
      <c r="E182" s="6">
        <v>45321</v>
      </c>
      <c r="F182" s="1" t="s">
        <v>382</v>
      </c>
      <c r="G182" s="1" t="s">
        <v>382</v>
      </c>
      <c r="H182" s="8" t="s">
        <v>383</v>
      </c>
      <c r="I182" s="64" t="s">
        <v>805</v>
      </c>
      <c r="J182" s="1" t="s">
        <v>38</v>
      </c>
      <c r="K182" s="1" t="s">
        <v>806</v>
      </c>
      <c r="L182" s="1" t="s">
        <v>511</v>
      </c>
      <c r="M182" s="192">
        <v>6200000</v>
      </c>
      <c r="N182" s="192">
        <v>0.04</v>
      </c>
      <c r="O182" s="196">
        <f>M182*N182</f>
        <v>248000</v>
      </c>
      <c r="P182" s="196"/>
      <c r="Q182" s="196">
        <f t="shared" ref="Q182:Q187" si="50">(O182*16.5%)+5000</f>
        <v>45920</v>
      </c>
      <c r="R182" s="203">
        <f t="shared" ref="R182:R187" si="51">SUM(O182:Q182)</f>
        <v>293920</v>
      </c>
      <c r="S182" s="203">
        <f>150000+143920</f>
        <v>293920</v>
      </c>
      <c r="T182" s="217">
        <f t="shared" si="49"/>
        <v>0</v>
      </c>
      <c r="V182" s="40"/>
      <c r="W182" s="40" t="s">
        <v>262</v>
      </c>
      <c r="X182" s="43"/>
      <c r="Y182" s="35"/>
    </row>
    <row r="183" spans="1:26" x14ac:dyDescent="0.3">
      <c r="A183" s="85" t="s">
        <v>189</v>
      </c>
      <c r="B183" s="64" t="s">
        <v>764</v>
      </c>
      <c r="C183" s="179">
        <v>44967</v>
      </c>
      <c r="D183" s="38">
        <v>45055</v>
      </c>
      <c r="E183" s="6">
        <v>44966</v>
      </c>
      <c r="F183" s="1" t="s">
        <v>763</v>
      </c>
      <c r="G183" s="1" t="s">
        <v>403</v>
      </c>
      <c r="H183" s="8"/>
      <c r="I183" s="64" t="s">
        <v>404</v>
      </c>
      <c r="J183" s="1" t="s">
        <v>38</v>
      </c>
      <c r="K183" s="1" t="s">
        <v>405</v>
      </c>
      <c r="L183" s="1" t="s">
        <v>62</v>
      </c>
      <c r="M183" s="192"/>
      <c r="N183" s="192"/>
      <c r="O183" s="196">
        <v>70000</v>
      </c>
      <c r="P183" s="196"/>
      <c r="Q183" s="196">
        <f t="shared" si="50"/>
        <v>16550</v>
      </c>
      <c r="R183" s="203">
        <f t="shared" si="51"/>
        <v>86550</v>
      </c>
      <c r="S183" s="203">
        <f>45775+40775</f>
        <v>86550</v>
      </c>
      <c r="T183" s="217">
        <f t="shared" si="49"/>
        <v>0</v>
      </c>
      <c r="V183" s="40"/>
      <c r="W183" s="40" t="s">
        <v>262</v>
      </c>
      <c r="X183" s="43"/>
      <c r="Y183" s="35"/>
    </row>
    <row r="184" spans="1:26" x14ac:dyDescent="0.3">
      <c r="A184" s="85" t="s">
        <v>190</v>
      </c>
      <c r="B184" s="64" t="s">
        <v>765</v>
      </c>
      <c r="C184" s="179">
        <v>44968</v>
      </c>
      <c r="D184" s="38"/>
      <c r="E184" s="6">
        <v>45332</v>
      </c>
      <c r="F184" s="1" t="s">
        <v>498</v>
      </c>
      <c r="G184" s="1" t="s">
        <v>498</v>
      </c>
      <c r="H184" s="8"/>
      <c r="I184" s="64" t="s">
        <v>409</v>
      </c>
      <c r="J184" s="1" t="s">
        <v>38</v>
      </c>
      <c r="K184" s="1" t="s">
        <v>360</v>
      </c>
      <c r="L184" s="1" t="s">
        <v>62</v>
      </c>
      <c r="M184" s="192"/>
      <c r="N184" s="192"/>
      <c r="O184" s="196">
        <v>70000</v>
      </c>
      <c r="P184" s="196"/>
      <c r="Q184" s="196">
        <f t="shared" si="50"/>
        <v>16550</v>
      </c>
      <c r="R184" s="203">
        <f t="shared" si="51"/>
        <v>86550</v>
      </c>
      <c r="S184" s="203">
        <v>86550</v>
      </c>
      <c r="T184" s="217">
        <f t="shared" si="49"/>
        <v>0</v>
      </c>
      <c r="V184" s="40"/>
      <c r="W184" s="40" t="s">
        <v>262</v>
      </c>
      <c r="X184" s="43"/>
      <c r="Y184" s="35"/>
    </row>
    <row r="185" spans="1:26" x14ac:dyDescent="0.3">
      <c r="A185" s="85" t="s">
        <v>638</v>
      </c>
      <c r="B185" s="64" t="s">
        <v>766</v>
      </c>
      <c r="C185" s="179">
        <v>44973</v>
      </c>
      <c r="D185" s="38">
        <v>45061</v>
      </c>
      <c r="E185" s="6"/>
      <c r="F185" s="1" t="s">
        <v>413</v>
      </c>
      <c r="G185" s="1" t="s">
        <v>767</v>
      </c>
      <c r="H185" s="8" t="s">
        <v>768</v>
      </c>
      <c r="I185" s="64" t="s">
        <v>415</v>
      </c>
      <c r="J185" s="1" t="s">
        <v>38</v>
      </c>
      <c r="K185" s="1" t="s">
        <v>19</v>
      </c>
      <c r="L185" s="1" t="s">
        <v>62</v>
      </c>
      <c r="M185" s="192"/>
      <c r="N185" s="192"/>
      <c r="O185" s="196">
        <v>70000</v>
      </c>
      <c r="P185" s="196"/>
      <c r="Q185" s="196">
        <f t="shared" si="50"/>
        <v>16550</v>
      </c>
      <c r="R185" s="203">
        <f t="shared" si="51"/>
        <v>86550</v>
      </c>
      <c r="S185" s="203">
        <v>45800</v>
      </c>
      <c r="T185" s="217">
        <f t="shared" si="49"/>
        <v>40750</v>
      </c>
      <c r="V185" s="40"/>
      <c r="W185" s="40" t="s">
        <v>262</v>
      </c>
      <c r="X185" s="43"/>
      <c r="Y185" s="35"/>
    </row>
    <row r="186" spans="1:26" x14ac:dyDescent="0.3">
      <c r="A186" s="85" t="s">
        <v>189</v>
      </c>
      <c r="B186" s="64" t="s">
        <v>833</v>
      </c>
      <c r="C186" s="179">
        <v>44979</v>
      </c>
      <c r="D186" s="38"/>
      <c r="E186" s="6">
        <v>45343</v>
      </c>
      <c r="F186" s="1" t="s">
        <v>421</v>
      </c>
      <c r="G186" s="1" t="s">
        <v>421</v>
      </c>
      <c r="H186" s="8"/>
      <c r="I186" s="64" t="s">
        <v>161</v>
      </c>
      <c r="J186" s="1" t="s">
        <v>38</v>
      </c>
      <c r="K186" s="1" t="s">
        <v>310</v>
      </c>
      <c r="L186" s="1" t="s">
        <v>62</v>
      </c>
      <c r="M186" s="192"/>
      <c r="N186" s="192"/>
      <c r="O186" s="196">
        <v>70000</v>
      </c>
      <c r="P186" s="196"/>
      <c r="Q186" s="196">
        <f t="shared" si="50"/>
        <v>16550</v>
      </c>
      <c r="R186" s="203">
        <f t="shared" si="51"/>
        <v>86550</v>
      </c>
      <c r="S186" s="203">
        <f>45775+40775</f>
        <v>86550</v>
      </c>
      <c r="T186" s="217">
        <f t="shared" si="49"/>
        <v>0</v>
      </c>
      <c r="V186" s="40"/>
      <c r="W186" s="40" t="s">
        <v>262</v>
      </c>
      <c r="X186" s="43"/>
      <c r="Y186" s="35"/>
    </row>
    <row r="187" spans="1:26" s="130" customFormat="1" x14ac:dyDescent="0.3">
      <c r="A187" s="130" t="s">
        <v>189</v>
      </c>
      <c r="B187" s="130" t="s">
        <v>796</v>
      </c>
      <c r="C187" s="184">
        <v>44986</v>
      </c>
      <c r="D187" s="131">
        <v>45016</v>
      </c>
      <c r="E187" s="132">
        <v>45380</v>
      </c>
      <c r="F187" s="130" t="s">
        <v>797</v>
      </c>
      <c r="G187" s="130" t="s">
        <v>427</v>
      </c>
      <c r="I187" s="130" t="s">
        <v>428</v>
      </c>
      <c r="J187" s="130" t="s">
        <v>781</v>
      </c>
      <c r="K187" s="130" t="s">
        <v>19</v>
      </c>
      <c r="L187" s="130" t="s">
        <v>62</v>
      </c>
      <c r="M187" s="166"/>
      <c r="N187" s="166"/>
      <c r="O187" s="199">
        <v>70000</v>
      </c>
      <c r="P187" s="166"/>
      <c r="Q187" s="199">
        <f t="shared" si="50"/>
        <v>16550</v>
      </c>
      <c r="R187" s="207">
        <f t="shared" si="51"/>
        <v>86550</v>
      </c>
      <c r="S187" s="207">
        <f>45775+40775</f>
        <v>86550</v>
      </c>
      <c r="T187" s="223">
        <f t="shared" si="49"/>
        <v>0</v>
      </c>
      <c r="U187" s="234"/>
      <c r="V187" s="166"/>
      <c r="W187" s="166" t="s">
        <v>262</v>
      </c>
      <c r="X187" s="166"/>
      <c r="Y187" s="134"/>
      <c r="Z187" s="131"/>
    </row>
    <row r="188" spans="1:26" s="130" customFormat="1" x14ac:dyDescent="0.3">
      <c r="A188" s="130" t="s">
        <v>189</v>
      </c>
      <c r="B188" s="130" t="s">
        <v>790</v>
      </c>
      <c r="C188" s="184">
        <v>44989</v>
      </c>
      <c r="D188" s="131">
        <v>45080</v>
      </c>
      <c r="E188" s="132">
        <v>45354</v>
      </c>
      <c r="F188" s="130" t="s">
        <v>163</v>
      </c>
      <c r="G188" s="130" t="s">
        <v>388</v>
      </c>
      <c r="H188" s="133" t="s">
        <v>389</v>
      </c>
      <c r="I188" s="130" t="s">
        <v>164</v>
      </c>
      <c r="J188" s="130" t="s">
        <v>781</v>
      </c>
      <c r="K188" s="130" t="s">
        <v>434</v>
      </c>
      <c r="L188" s="130" t="s">
        <v>62</v>
      </c>
      <c r="M188" s="166"/>
      <c r="N188" s="166"/>
      <c r="O188" s="200">
        <v>70000</v>
      </c>
      <c r="P188" s="166"/>
      <c r="Q188" s="199">
        <f t="shared" ref="Q188:Q195" si="52">(O188*16.5%)+5000</f>
        <v>16550</v>
      </c>
      <c r="R188" s="207">
        <f t="shared" ref="R188:R195" si="53">SUM(O188:Q188)</f>
        <v>86550</v>
      </c>
      <c r="S188" s="207">
        <f>45775+40775</f>
        <v>86550</v>
      </c>
      <c r="T188" s="223">
        <f t="shared" si="49"/>
        <v>0</v>
      </c>
      <c r="U188" s="234"/>
      <c r="V188" s="166"/>
      <c r="W188" s="166" t="s">
        <v>262</v>
      </c>
      <c r="X188" s="166"/>
      <c r="Y188" s="134"/>
      <c r="Z188" s="131"/>
    </row>
    <row r="189" spans="1:26" s="130" customFormat="1" x14ac:dyDescent="0.3">
      <c r="A189" s="130" t="s">
        <v>189</v>
      </c>
      <c r="B189" s="130" t="s">
        <v>314</v>
      </c>
      <c r="C189" s="184">
        <v>44991</v>
      </c>
      <c r="D189" s="131">
        <v>45143</v>
      </c>
      <c r="E189" s="132"/>
      <c r="F189" s="130" t="s">
        <v>440</v>
      </c>
      <c r="G189" s="130" t="s">
        <v>440</v>
      </c>
      <c r="H189" s="133"/>
      <c r="I189" s="130" t="s">
        <v>798</v>
      </c>
      <c r="J189" s="130" t="s">
        <v>781</v>
      </c>
      <c r="K189" s="130" t="s">
        <v>799</v>
      </c>
      <c r="L189" s="130" t="s">
        <v>511</v>
      </c>
      <c r="M189" s="166"/>
      <c r="N189" s="166"/>
      <c r="O189" s="200"/>
      <c r="P189" s="166"/>
      <c r="Q189" s="199">
        <f t="shared" si="52"/>
        <v>5000</v>
      </c>
      <c r="R189" s="207">
        <f t="shared" si="53"/>
        <v>5000</v>
      </c>
      <c r="S189" s="207"/>
      <c r="T189" s="223"/>
      <c r="U189" s="234"/>
      <c r="V189" s="166"/>
      <c r="W189" s="166"/>
      <c r="X189" s="166"/>
      <c r="Y189" s="134"/>
      <c r="Z189" s="131"/>
    </row>
    <row r="190" spans="1:26" x14ac:dyDescent="0.3">
      <c r="A190" s="85" t="s">
        <v>638</v>
      </c>
      <c r="B190" s="64" t="s">
        <v>779</v>
      </c>
      <c r="C190" s="179">
        <v>44995</v>
      </c>
      <c r="D190" s="38">
        <v>45086</v>
      </c>
      <c r="E190" s="6">
        <v>45360</v>
      </c>
      <c r="F190" s="1" t="s">
        <v>455</v>
      </c>
      <c r="G190" s="1" t="s">
        <v>780</v>
      </c>
      <c r="H190" s="8" t="s">
        <v>456</v>
      </c>
      <c r="I190" s="64" t="s">
        <v>457</v>
      </c>
      <c r="J190" s="1" t="s">
        <v>781</v>
      </c>
      <c r="K190" s="1" t="s">
        <v>618</v>
      </c>
      <c r="L190" s="1" t="s">
        <v>511</v>
      </c>
      <c r="M190" s="192">
        <v>4500000</v>
      </c>
      <c r="N190" s="192">
        <v>5.5E-2</v>
      </c>
      <c r="O190" s="196">
        <f>M190*N190</f>
        <v>247500</v>
      </c>
      <c r="P190" s="196"/>
      <c r="Q190" s="199">
        <f t="shared" si="52"/>
        <v>45837.5</v>
      </c>
      <c r="R190" s="207">
        <f t="shared" si="53"/>
        <v>293337.5</v>
      </c>
      <c r="S190" s="203">
        <f>150000+143337.5</f>
        <v>293337.5</v>
      </c>
      <c r="T190" s="217">
        <f t="shared" ref="T190:T195" si="54">R190-S190</f>
        <v>0</v>
      </c>
      <c r="V190" s="40"/>
      <c r="W190" s="40" t="s">
        <v>262</v>
      </c>
      <c r="X190" s="43"/>
      <c r="Y190" s="35"/>
    </row>
    <row r="191" spans="1:26" x14ac:dyDescent="0.3">
      <c r="A191" s="85" t="s">
        <v>638</v>
      </c>
      <c r="B191" s="64" t="s">
        <v>791</v>
      </c>
      <c r="C191" s="179">
        <v>44995</v>
      </c>
      <c r="D191" s="38">
        <v>45086</v>
      </c>
      <c r="E191" s="6"/>
      <c r="F191" s="1" t="s">
        <v>792</v>
      </c>
      <c r="G191" s="1" t="s">
        <v>792</v>
      </c>
      <c r="H191" s="8" t="s">
        <v>793</v>
      </c>
      <c r="I191" s="64" t="s">
        <v>794</v>
      </c>
      <c r="J191" s="1" t="s">
        <v>781</v>
      </c>
      <c r="K191" s="1" t="s">
        <v>795</v>
      </c>
      <c r="L191" s="1" t="s">
        <v>62</v>
      </c>
      <c r="M191" s="192"/>
      <c r="N191" s="192"/>
      <c r="O191" s="196">
        <v>70000</v>
      </c>
      <c r="P191" s="196"/>
      <c r="Q191" s="199">
        <f t="shared" si="52"/>
        <v>16550</v>
      </c>
      <c r="R191" s="207">
        <f t="shared" si="53"/>
        <v>86550</v>
      </c>
      <c r="S191" s="203">
        <v>45775</v>
      </c>
      <c r="T191" s="217">
        <f t="shared" si="54"/>
        <v>40775</v>
      </c>
      <c r="V191" s="40"/>
      <c r="W191" s="40" t="s">
        <v>262</v>
      </c>
      <c r="X191" s="43"/>
      <c r="Y191" s="35"/>
    </row>
    <row r="192" spans="1:26" x14ac:dyDescent="0.3">
      <c r="A192" s="85" t="s">
        <v>190</v>
      </c>
      <c r="B192" s="64" t="s">
        <v>800</v>
      </c>
      <c r="C192" s="179">
        <v>45008</v>
      </c>
      <c r="D192" s="38">
        <v>45099</v>
      </c>
      <c r="E192" s="6">
        <v>45373</v>
      </c>
      <c r="F192" s="1" t="s">
        <v>180</v>
      </c>
      <c r="G192" s="1" t="s">
        <v>180</v>
      </c>
      <c r="H192" s="8"/>
      <c r="I192" s="64" t="s">
        <v>487</v>
      </c>
      <c r="J192" s="1" t="s">
        <v>781</v>
      </c>
      <c r="K192" s="1" t="s">
        <v>488</v>
      </c>
      <c r="L192" s="1" t="s">
        <v>511</v>
      </c>
      <c r="M192" s="192">
        <v>3000000</v>
      </c>
      <c r="N192" s="192">
        <v>0.05</v>
      </c>
      <c r="O192" s="196">
        <f>M192*N192</f>
        <v>150000</v>
      </c>
      <c r="P192" s="196"/>
      <c r="Q192" s="199">
        <f t="shared" si="52"/>
        <v>29750</v>
      </c>
      <c r="R192" s="207">
        <f t="shared" si="53"/>
        <v>179750</v>
      </c>
      <c r="S192" s="203">
        <f>92375+87375</f>
        <v>179750</v>
      </c>
      <c r="T192" s="217">
        <f t="shared" si="54"/>
        <v>0</v>
      </c>
      <c r="V192" s="40"/>
      <c r="W192" s="40" t="s">
        <v>262</v>
      </c>
      <c r="X192" s="43"/>
      <c r="Y192" s="35"/>
    </row>
    <row r="193" spans="1:25" x14ac:dyDescent="0.3">
      <c r="A193" s="85" t="s">
        <v>189</v>
      </c>
      <c r="B193" s="64" t="s">
        <v>786</v>
      </c>
      <c r="C193" s="179">
        <v>45015</v>
      </c>
      <c r="D193" s="38">
        <v>45106</v>
      </c>
      <c r="E193" s="6">
        <v>45380</v>
      </c>
      <c r="F193" s="1" t="s">
        <v>421</v>
      </c>
      <c r="G193" s="1" t="s">
        <v>421</v>
      </c>
      <c r="H193" s="8"/>
      <c r="I193" s="64" t="s">
        <v>185</v>
      </c>
      <c r="J193" s="1" t="s">
        <v>781</v>
      </c>
      <c r="K193" s="1" t="s">
        <v>360</v>
      </c>
      <c r="L193" s="1" t="s">
        <v>511</v>
      </c>
      <c r="M193" s="192">
        <v>15000000</v>
      </c>
      <c r="N193" s="192">
        <v>4.6699999999999998E-2</v>
      </c>
      <c r="O193" s="196">
        <f>M193*N193</f>
        <v>700500</v>
      </c>
      <c r="P193" s="196"/>
      <c r="Q193" s="199">
        <f t="shared" si="52"/>
        <v>120582.5</v>
      </c>
      <c r="R193" s="207">
        <f t="shared" si="53"/>
        <v>821082.5</v>
      </c>
      <c r="S193" s="203">
        <f>412750+408332.5</f>
        <v>821082.5</v>
      </c>
      <c r="T193" s="217">
        <f t="shared" si="54"/>
        <v>0</v>
      </c>
      <c r="V193" s="40"/>
      <c r="W193" s="40" t="s">
        <v>262</v>
      </c>
      <c r="X193" s="43"/>
      <c r="Y193" s="35"/>
    </row>
    <row r="194" spans="1:25" x14ac:dyDescent="0.3">
      <c r="A194" s="85" t="s">
        <v>189</v>
      </c>
      <c r="B194" s="64" t="s">
        <v>787</v>
      </c>
      <c r="C194" s="179">
        <v>45015</v>
      </c>
      <c r="D194" s="38">
        <v>45106</v>
      </c>
      <c r="E194" s="6"/>
      <c r="F194" s="1" t="s">
        <v>372</v>
      </c>
      <c r="G194" s="1" t="s">
        <v>372</v>
      </c>
      <c r="H194" s="8"/>
      <c r="I194" s="64" t="s">
        <v>788</v>
      </c>
      <c r="J194" s="1" t="s">
        <v>781</v>
      </c>
      <c r="K194" s="1" t="s">
        <v>789</v>
      </c>
      <c r="L194" s="1" t="s">
        <v>62</v>
      </c>
      <c r="M194" s="192"/>
      <c r="N194" s="192"/>
      <c r="O194" s="196">
        <v>70000</v>
      </c>
      <c r="P194" s="196"/>
      <c r="Q194" s="199">
        <f t="shared" si="52"/>
        <v>16550</v>
      </c>
      <c r="R194" s="207">
        <f t="shared" si="53"/>
        <v>86550</v>
      </c>
      <c r="S194" s="203">
        <f>45775+40775</f>
        <v>86550</v>
      </c>
      <c r="T194" s="217">
        <f t="shared" si="54"/>
        <v>0</v>
      </c>
      <c r="V194" s="40"/>
      <c r="W194" s="40"/>
      <c r="X194" s="43"/>
      <c r="Y194" s="35"/>
    </row>
    <row r="195" spans="1:25" x14ac:dyDescent="0.3">
      <c r="A195" s="85" t="s">
        <v>190</v>
      </c>
      <c r="B195" s="64" t="s">
        <v>785</v>
      </c>
      <c r="C195" s="179">
        <v>45016</v>
      </c>
      <c r="D195" s="38">
        <v>45107</v>
      </c>
      <c r="E195" s="6"/>
      <c r="F195" s="1" t="s">
        <v>180</v>
      </c>
      <c r="G195" s="1" t="s">
        <v>180</v>
      </c>
      <c r="H195" s="8"/>
      <c r="I195" s="64" t="s">
        <v>181</v>
      </c>
      <c r="J195" s="1" t="s">
        <v>781</v>
      </c>
      <c r="K195" s="1" t="s">
        <v>538</v>
      </c>
      <c r="L195" s="1" t="s">
        <v>511</v>
      </c>
      <c r="M195" s="192">
        <v>6000000</v>
      </c>
      <c r="N195" s="192">
        <v>0.05</v>
      </c>
      <c r="O195" s="196">
        <f>M195*N195</f>
        <v>300000</v>
      </c>
      <c r="P195" s="196"/>
      <c r="Q195" s="199">
        <f t="shared" si="52"/>
        <v>54500</v>
      </c>
      <c r="R195" s="207">
        <f t="shared" si="53"/>
        <v>354500</v>
      </c>
      <c r="S195" s="203">
        <f>200000+87575</f>
        <v>287575</v>
      </c>
      <c r="T195" s="217">
        <f t="shared" si="54"/>
        <v>66925</v>
      </c>
      <c r="V195" s="40"/>
      <c r="W195" s="40"/>
      <c r="X195" s="43"/>
      <c r="Y195" s="35"/>
    </row>
    <row r="196" spans="1:25" x14ac:dyDescent="0.3">
      <c r="A196" s="85" t="s">
        <v>638</v>
      </c>
      <c r="B196" s="64" t="s">
        <v>783</v>
      </c>
      <c r="C196" s="179">
        <v>45021</v>
      </c>
      <c r="D196" s="38"/>
      <c r="E196" s="6">
        <v>45386</v>
      </c>
      <c r="F196" s="1" t="s">
        <v>784</v>
      </c>
      <c r="G196" s="1" t="s">
        <v>784</v>
      </c>
      <c r="H196" s="8" t="s">
        <v>449</v>
      </c>
      <c r="I196" s="64" t="s">
        <v>450</v>
      </c>
      <c r="J196" s="1" t="s">
        <v>38</v>
      </c>
      <c r="K196" s="1" t="s">
        <v>451</v>
      </c>
      <c r="L196" s="1" t="s">
        <v>62</v>
      </c>
      <c r="M196" s="192"/>
      <c r="N196" s="192"/>
      <c r="O196" s="196">
        <v>70000</v>
      </c>
      <c r="P196" s="196"/>
      <c r="Q196" s="196">
        <f t="shared" ref="Q196:Q204" si="55">(O196*16.5%)+5000</f>
        <v>16550</v>
      </c>
      <c r="R196" s="203">
        <f t="shared" ref="R196:R204" si="56">SUM(O196:Q196)</f>
        <v>86550</v>
      </c>
      <c r="S196" s="203">
        <v>86550</v>
      </c>
      <c r="T196" s="217">
        <f t="shared" ref="T196:T204" si="57">R196-S196</f>
        <v>0</v>
      </c>
      <c r="V196" s="40"/>
      <c r="W196" s="40" t="s">
        <v>262</v>
      </c>
      <c r="X196" s="43"/>
      <c r="Y196" s="35"/>
    </row>
    <row r="197" spans="1:25" x14ac:dyDescent="0.3">
      <c r="A197" s="85" t="s">
        <v>638</v>
      </c>
      <c r="B197" s="64" t="s">
        <v>808</v>
      </c>
      <c r="C197" s="179">
        <v>45029</v>
      </c>
      <c r="D197" s="38">
        <v>44948</v>
      </c>
      <c r="E197" s="6"/>
      <c r="F197" s="1" t="s">
        <v>414</v>
      </c>
      <c r="G197" s="1" t="s">
        <v>414</v>
      </c>
      <c r="H197" s="8" t="s">
        <v>727</v>
      </c>
      <c r="I197" s="64" t="s">
        <v>474</v>
      </c>
      <c r="J197" s="1" t="s">
        <v>38</v>
      </c>
      <c r="K197" s="1" t="s">
        <v>299</v>
      </c>
      <c r="L197" s="1" t="s">
        <v>511</v>
      </c>
      <c r="M197" s="192">
        <v>16000000</v>
      </c>
      <c r="N197" s="192"/>
      <c r="O197" s="196">
        <v>750000</v>
      </c>
      <c r="P197" s="196"/>
      <c r="Q197" s="196">
        <f t="shared" si="55"/>
        <v>128750</v>
      </c>
      <c r="R197" s="203">
        <f t="shared" si="56"/>
        <v>878750</v>
      </c>
      <c r="S197" s="203">
        <f>400000+240000</f>
        <v>640000</v>
      </c>
      <c r="T197" s="217">
        <f t="shared" si="57"/>
        <v>238750</v>
      </c>
      <c r="V197" s="40"/>
      <c r="W197" s="40" t="s">
        <v>262</v>
      </c>
      <c r="X197" s="43"/>
      <c r="Y197" s="35"/>
    </row>
    <row r="198" spans="1:25" x14ac:dyDescent="0.3">
      <c r="A198" s="85" t="s">
        <v>189</v>
      </c>
      <c r="B198" s="64" t="s">
        <v>807</v>
      </c>
      <c r="C198" s="179">
        <v>45033</v>
      </c>
      <c r="D198" s="38"/>
      <c r="E198" s="6">
        <v>45398</v>
      </c>
      <c r="F198" s="1" t="s">
        <v>391</v>
      </c>
      <c r="G198" s="1" t="s">
        <v>391</v>
      </c>
      <c r="H198" s="8"/>
      <c r="I198" s="64" t="s">
        <v>200</v>
      </c>
      <c r="J198" s="1" t="s">
        <v>38</v>
      </c>
      <c r="K198" s="1" t="s">
        <v>94</v>
      </c>
      <c r="L198" s="1" t="s">
        <v>62</v>
      </c>
      <c r="M198" s="192"/>
      <c r="N198" s="192"/>
      <c r="O198" s="196">
        <v>70000</v>
      </c>
      <c r="P198" s="196"/>
      <c r="Q198" s="196">
        <f t="shared" si="55"/>
        <v>16550</v>
      </c>
      <c r="R198" s="203">
        <f t="shared" si="56"/>
        <v>86550</v>
      </c>
      <c r="S198" s="203"/>
      <c r="T198" s="217">
        <f t="shared" si="57"/>
        <v>86550</v>
      </c>
      <c r="V198" s="40"/>
      <c r="W198" s="40"/>
      <c r="X198" s="43"/>
      <c r="Y198" s="35"/>
    </row>
    <row r="199" spans="1:25" x14ac:dyDescent="0.3">
      <c r="A199" s="85" t="s">
        <v>189</v>
      </c>
      <c r="B199" s="64" t="s">
        <v>890</v>
      </c>
      <c r="C199" s="179">
        <v>45034</v>
      </c>
      <c r="D199" s="38"/>
      <c r="E199" s="6">
        <v>45398</v>
      </c>
      <c r="F199" s="1" t="s">
        <v>346</v>
      </c>
      <c r="G199" s="1" t="s">
        <v>346</v>
      </c>
      <c r="H199" s="8"/>
      <c r="I199" s="64" t="s">
        <v>891</v>
      </c>
      <c r="J199" s="1" t="s">
        <v>38</v>
      </c>
      <c r="K199" s="1" t="s">
        <v>892</v>
      </c>
      <c r="L199" s="1" t="s">
        <v>62</v>
      </c>
      <c r="M199" s="192"/>
      <c r="N199" s="192"/>
      <c r="O199" s="196">
        <v>140000</v>
      </c>
      <c r="P199" s="196"/>
      <c r="Q199" s="196">
        <f t="shared" si="55"/>
        <v>28100</v>
      </c>
      <c r="R199" s="203">
        <f t="shared" si="56"/>
        <v>168100</v>
      </c>
      <c r="S199" s="203">
        <v>168100</v>
      </c>
      <c r="T199" s="217">
        <f t="shared" si="57"/>
        <v>0</v>
      </c>
      <c r="V199" s="40"/>
      <c r="W199" s="40" t="s">
        <v>262</v>
      </c>
      <c r="X199" s="43"/>
      <c r="Y199" s="35"/>
    </row>
    <row r="200" spans="1:25" x14ac:dyDescent="0.3">
      <c r="A200" s="85" t="s">
        <v>190</v>
      </c>
      <c r="B200" s="64" t="s">
        <v>863</v>
      </c>
      <c r="C200" s="179">
        <v>45036</v>
      </c>
      <c r="D200" s="38">
        <v>45126</v>
      </c>
      <c r="E200" s="6">
        <v>45401</v>
      </c>
      <c r="F200" s="1" t="s">
        <v>847</v>
      </c>
      <c r="G200" s="1" t="s">
        <v>847</v>
      </c>
      <c r="H200" s="8"/>
      <c r="I200" s="64" t="s">
        <v>864</v>
      </c>
      <c r="J200" s="1" t="s">
        <v>38</v>
      </c>
      <c r="K200" s="1" t="s">
        <v>125</v>
      </c>
      <c r="L200" s="1" t="s">
        <v>511</v>
      </c>
      <c r="M200" s="192">
        <v>3000000</v>
      </c>
      <c r="N200" s="192">
        <v>0.06</v>
      </c>
      <c r="O200" s="196">
        <f>M200*N200</f>
        <v>180000</v>
      </c>
      <c r="P200" s="196"/>
      <c r="Q200" s="196">
        <f t="shared" si="55"/>
        <v>34700</v>
      </c>
      <c r="R200" s="203">
        <f t="shared" si="56"/>
        <v>214700</v>
      </c>
      <c r="S200" s="203">
        <f>109850+104850</f>
        <v>214700</v>
      </c>
      <c r="T200" s="217">
        <f t="shared" si="57"/>
        <v>0</v>
      </c>
      <c r="V200" s="40"/>
      <c r="W200" s="40" t="s">
        <v>493</v>
      </c>
      <c r="X200" s="43"/>
      <c r="Y200" s="35"/>
    </row>
    <row r="201" spans="1:25" x14ac:dyDescent="0.3">
      <c r="A201" s="85" t="s">
        <v>189</v>
      </c>
      <c r="B201" s="64" t="s">
        <v>893</v>
      </c>
      <c r="C201" s="179">
        <v>45037</v>
      </c>
      <c r="D201" s="38"/>
      <c r="E201" s="6">
        <v>45402</v>
      </c>
      <c r="F201" s="1" t="s">
        <v>894</v>
      </c>
      <c r="G201" s="1" t="s">
        <v>895</v>
      </c>
      <c r="H201" s="8"/>
      <c r="I201" s="64" t="s">
        <v>896</v>
      </c>
      <c r="J201" s="1" t="s">
        <v>38</v>
      </c>
      <c r="K201" s="1" t="s">
        <v>500</v>
      </c>
      <c r="L201" s="1" t="s">
        <v>62</v>
      </c>
      <c r="M201" s="192"/>
      <c r="N201" s="192"/>
      <c r="O201" s="196">
        <v>85000</v>
      </c>
      <c r="P201" s="196"/>
      <c r="Q201" s="196">
        <f t="shared" si="55"/>
        <v>19025</v>
      </c>
      <c r="R201" s="203">
        <f t="shared" si="56"/>
        <v>104025</v>
      </c>
      <c r="S201" s="203">
        <v>104025</v>
      </c>
      <c r="T201" s="217">
        <f t="shared" si="57"/>
        <v>0</v>
      </c>
      <c r="V201" s="40"/>
      <c r="W201" s="40" t="s">
        <v>262</v>
      </c>
      <c r="X201" s="43"/>
      <c r="Y201" s="35"/>
    </row>
    <row r="202" spans="1:25" x14ac:dyDescent="0.3">
      <c r="A202" s="85" t="s">
        <v>189</v>
      </c>
      <c r="B202" s="64" t="s">
        <v>820</v>
      </c>
      <c r="C202" s="179">
        <v>45037</v>
      </c>
      <c r="D202" s="38"/>
      <c r="E202" s="6">
        <v>45402</v>
      </c>
      <c r="F202" s="1" t="s">
        <v>821</v>
      </c>
      <c r="G202" s="1" t="s">
        <v>821</v>
      </c>
      <c r="H202" s="8" t="s">
        <v>822</v>
      </c>
      <c r="I202" s="64" t="s">
        <v>823</v>
      </c>
      <c r="J202" s="1" t="s">
        <v>38</v>
      </c>
      <c r="K202" s="1" t="s">
        <v>224</v>
      </c>
      <c r="L202" s="1" t="s">
        <v>62</v>
      </c>
      <c r="M202" s="192">
        <v>6000000</v>
      </c>
      <c r="N202" s="192"/>
      <c r="O202" s="196">
        <v>85000</v>
      </c>
      <c r="P202" s="196"/>
      <c r="Q202" s="196">
        <f t="shared" si="55"/>
        <v>19025</v>
      </c>
      <c r="R202" s="203">
        <f t="shared" si="56"/>
        <v>104025</v>
      </c>
      <c r="S202" s="203">
        <v>104025</v>
      </c>
      <c r="T202" s="217">
        <f t="shared" si="57"/>
        <v>0</v>
      </c>
      <c r="V202" s="40"/>
      <c r="W202" s="40"/>
      <c r="X202" s="43"/>
      <c r="Y202" s="35"/>
    </row>
    <row r="203" spans="1:25" x14ac:dyDescent="0.3">
      <c r="A203" s="85" t="s">
        <v>639</v>
      </c>
      <c r="B203" s="64" t="s">
        <v>829</v>
      </c>
      <c r="C203" s="179">
        <v>45044</v>
      </c>
      <c r="D203" s="38">
        <v>45134</v>
      </c>
      <c r="E203" s="6">
        <v>45134</v>
      </c>
      <c r="F203" s="1" t="s">
        <v>830</v>
      </c>
      <c r="G203" s="1" t="s">
        <v>830</v>
      </c>
      <c r="H203" s="8"/>
      <c r="I203" s="64" t="s">
        <v>831</v>
      </c>
      <c r="J203" s="1" t="s">
        <v>38</v>
      </c>
      <c r="K203" s="1" t="s">
        <v>832</v>
      </c>
      <c r="L203" s="1" t="s">
        <v>62</v>
      </c>
      <c r="M203" s="192"/>
      <c r="N203" s="192"/>
      <c r="O203" s="196">
        <v>25000</v>
      </c>
      <c r="P203" s="196"/>
      <c r="Q203" s="196">
        <f t="shared" si="55"/>
        <v>9125</v>
      </c>
      <c r="R203" s="203">
        <f t="shared" si="56"/>
        <v>34125</v>
      </c>
      <c r="S203" s="203">
        <v>34125</v>
      </c>
      <c r="T203" s="217">
        <f t="shared" si="57"/>
        <v>0</v>
      </c>
      <c r="V203" s="40"/>
      <c r="W203" s="40" t="s">
        <v>613</v>
      </c>
      <c r="X203" s="43"/>
      <c r="Y203" s="35"/>
    </row>
    <row r="204" spans="1:25" x14ac:dyDescent="0.3">
      <c r="A204" s="85" t="s">
        <v>190</v>
      </c>
      <c r="B204" s="64" t="s">
        <v>889</v>
      </c>
      <c r="C204" s="179">
        <v>45045</v>
      </c>
      <c r="D204" s="38">
        <v>45135</v>
      </c>
      <c r="E204" s="6">
        <v>45410</v>
      </c>
      <c r="F204" s="1" t="s">
        <v>513</v>
      </c>
      <c r="G204" s="1" t="s">
        <v>513</v>
      </c>
      <c r="H204" s="8"/>
      <c r="I204" s="64" t="s">
        <v>515</v>
      </c>
      <c r="J204" s="1" t="s">
        <v>38</v>
      </c>
      <c r="K204" s="1" t="s">
        <v>451</v>
      </c>
      <c r="L204" s="1" t="s">
        <v>62</v>
      </c>
      <c r="M204" s="192"/>
      <c r="N204" s="192"/>
      <c r="O204" s="196">
        <v>70000</v>
      </c>
      <c r="P204" s="196"/>
      <c r="Q204" s="196">
        <f t="shared" si="55"/>
        <v>16550</v>
      </c>
      <c r="R204" s="203">
        <f t="shared" si="56"/>
        <v>86550</v>
      </c>
      <c r="S204" s="203">
        <f>45775+40775</f>
        <v>86550</v>
      </c>
      <c r="T204" s="217">
        <f t="shared" si="57"/>
        <v>0</v>
      </c>
      <c r="V204" s="40"/>
      <c r="W204" s="40" t="s">
        <v>262</v>
      </c>
      <c r="X204" s="43"/>
      <c r="Y204" s="35"/>
    </row>
    <row r="205" spans="1:25" x14ac:dyDescent="0.3">
      <c r="A205" s="85" t="s">
        <v>189</v>
      </c>
      <c r="B205" s="64" t="s">
        <v>828</v>
      </c>
      <c r="C205" s="179">
        <v>45055</v>
      </c>
      <c r="D205" s="38">
        <v>45146</v>
      </c>
      <c r="E205" s="6">
        <v>45420</v>
      </c>
      <c r="F205" s="1" t="s">
        <v>521</v>
      </c>
      <c r="G205" s="1" t="s">
        <v>521</v>
      </c>
      <c r="H205" s="99" t="s">
        <v>522</v>
      </c>
      <c r="I205" s="64" t="s">
        <v>523</v>
      </c>
      <c r="J205" s="1" t="s">
        <v>38</v>
      </c>
      <c r="K205" s="1" t="s">
        <v>524</v>
      </c>
      <c r="L205" s="1" t="s">
        <v>511</v>
      </c>
      <c r="M205" s="192">
        <v>6000000</v>
      </c>
      <c r="N205" s="192">
        <v>5.5E-2</v>
      </c>
      <c r="O205" s="196">
        <f>(M205*N205)</f>
        <v>330000</v>
      </c>
      <c r="P205" s="196"/>
      <c r="Q205" s="196">
        <f t="shared" ref="Q205:Q213" si="58">(O205*16.5%)+5000</f>
        <v>59450</v>
      </c>
      <c r="R205" s="203">
        <f t="shared" ref="R205:R213" si="59">SUM(O205:Q205)</f>
        <v>389450</v>
      </c>
      <c r="S205" s="203">
        <f>179750+209700</f>
        <v>389450</v>
      </c>
      <c r="T205" s="217">
        <f t="shared" ref="T205:T213" si="60">R205-S205</f>
        <v>0</v>
      </c>
      <c r="V205" s="40"/>
      <c r="W205" s="40"/>
      <c r="X205" s="43"/>
      <c r="Y205" s="35"/>
    </row>
    <row r="206" spans="1:25" x14ac:dyDescent="0.3">
      <c r="A206" s="85" t="s">
        <v>189</v>
      </c>
      <c r="B206" s="64" t="s">
        <v>838</v>
      </c>
      <c r="C206" s="179">
        <v>45059</v>
      </c>
      <c r="D206" s="38"/>
      <c r="E206" s="6">
        <v>45426</v>
      </c>
      <c r="F206" s="1" t="s">
        <v>839</v>
      </c>
      <c r="G206" s="1" t="s">
        <v>839</v>
      </c>
      <c r="H206" s="99"/>
      <c r="I206" s="64" t="s">
        <v>840</v>
      </c>
      <c r="J206" s="1" t="s">
        <v>38</v>
      </c>
      <c r="K206" s="1" t="s">
        <v>841</v>
      </c>
      <c r="L206" s="1" t="s">
        <v>62</v>
      </c>
      <c r="M206" s="192"/>
      <c r="N206" s="192"/>
      <c r="O206" s="196">
        <v>85000</v>
      </c>
      <c r="P206" s="196"/>
      <c r="Q206" s="196">
        <f t="shared" si="58"/>
        <v>19025</v>
      </c>
      <c r="R206" s="203">
        <f t="shared" si="59"/>
        <v>104025</v>
      </c>
      <c r="S206" s="203">
        <v>104025</v>
      </c>
      <c r="T206" s="217">
        <f t="shared" si="60"/>
        <v>0</v>
      </c>
      <c r="V206" s="40"/>
      <c r="W206" s="40" t="s">
        <v>262</v>
      </c>
      <c r="X206" s="43"/>
      <c r="Y206" s="35"/>
    </row>
    <row r="207" spans="1:25" x14ac:dyDescent="0.3">
      <c r="A207" s="85" t="s">
        <v>189</v>
      </c>
      <c r="B207" s="64" t="s">
        <v>842</v>
      </c>
      <c r="C207" s="179">
        <v>45059</v>
      </c>
      <c r="D207" s="38"/>
      <c r="E207" s="6">
        <v>45424</v>
      </c>
      <c r="F207" s="1" t="s">
        <v>839</v>
      </c>
      <c r="G207" s="1" t="s">
        <v>839</v>
      </c>
      <c r="H207" s="99"/>
      <c r="I207" s="64" t="s">
        <v>843</v>
      </c>
      <c r="J207" s="1" t="s">
        <v>38</v>
      </c>
      <c r="K207" s="1" t="s">
        <v>844</v>
      </c>
      <c r="L207" s="1" t="s">
        <v>62</v>
      </c>
      <c r="M207" s="192"/>
      <c r="N207" s="192"/>
      <c r="O207" s="196">
        <v>85000</v>
      </c>
      <c r="P207" s="196"/>
      <c r="Q207" s="196">
        <f t="shared" si="58"/>
        <v>19025</v>
      </c>
      <c r="R207" s="203">
        <f t="shared" si="59"/>
        <v>104025</v>
      </c>
      <c r="S207" s="203">
        <v>104025</v>
      </c>
      <c r="T207" s="217">
        <f t="shared" si="60"/>
        <v>0</v>
      </c>
      <c r="V207" s="40"/>
      <c r="W207" s="40" t="s">
        <v>262</v>
      </c>
      <c r="X207" s="43"/>
      <c r="Y207" s="35"/>
    </row>
    <row r="208" spans="1:25" x14ac:dyDescent="0.3">
      <c r="A208" s="85" t="s">
        <v>638</v>
      </c>
      <c r="B208" s="64" t="s">
        <v>834</v>
      </c>
      <c r="C208" s="179">
        <v>45068</v>
      </c>
      <c r="D208" s="38">
        <v>45251</v>
      </c>
      <c r="E208" s="6"/>
      <c r="F208" s="1" t="s">
        <v>835</v>
      </c>
      <c r="G208" s="1" t="s">
        <v>835</v>
      </c>
      <c r="H208" s="8" t="s">
        <v>836</v>
      </c>
      <c r="I208" s="64" t="s">
        <v>837</v>
      </c>
      <c r="J208" s="1" t="s">
        <v>38</v>
      </c>
      <c r="K208" s="1" t="s">
        <v>299</v>
      </c>
      <c r="L208" s="1" t="s">
        <v>511</v>
      </c>
      <c r="M208" s="192">
        <v>35000000</v>
      </c>
      <c r="N208" s="192">
        <v>4.4999999999999998E-2</v>
      </c>
      <c r="O208" s="196">
        <f>(M208*N208)</f>
        <v>1575000</v>
      </c>
      <c r="P208" s="196"/>
      <c r="Q208" s="196">
        <f t="shared" si="58"/>
        <v>264875</v>
      </c>
      <c r="R208" s="203">
        <f t="shared" si="59"/>
        <v>1839875</v>
      </c>
      <c r="S208" s="203">
        <f>922437.5+460000</f>
        <v>1382437.5</v>
      </c>
      <c r="T208" s="217">
        <f t="shared" si="60"/>
        <v>457437.5</v>
      </c>
      <c r="V208" s="40"/>
      <c r="W208" s="40" t="s">
        <v>262</v>
      </c>
      <c r="X208" s="43"/>
      <c r="Y208" s="35"/>
    </row>
    <row r="209" spans="1:27" x14ac:dyDescent="0.3">
      <c r="A209" s="85" t="s">
        <v>638</v>
      </c>
      <c r="B209" s="64" t="s">
        <v>850</v>
      </c>
      <c r="C209" s="179">
        <v>45073</v>
      </c>
      <c r="D209" s="38">
        <v>45164</v>
      </c>
      <c r="E209" s="6">
        <v>45438</v>
      </c>
      <c r="F209" s="1" t="s">
        <v>851</v>
      </c>
      <c r="G209" s="1" t="s">
        <v>851</v>
      </c>
      <c r="H209" s="8" t="s">
        <v>531</v>
      </c>
      <c r="I209" s="64" t="s">
        <v>532</v>
      </c>
      <c r="J209" s="1" t="s">
        <v>38</v>
      </c>
      <c r="K209" s="1" t="s">
        <v>533</v>
      </c>
      <c r="L209" s="1" t="s">
        <v>511</v>
      </c>
      <c r="M209" s="192">
        <v>17000000</v>
      </c>
      <c r="N209" s="192">
        <v>5.2999999999999999E-2</v>
      </c>
      <c r="O209" s="196">
        <f>(M209*N209)</f>
        <v>901000</v>
      </c>
      <c r="P209" s="196"/>
      <c r="Q209" s="196">
        <f t="shared" si="58"/>
        <v>153665</v>
      </c>
      <c r="R209" s="203">
        <f t="shared" si="59"/>
        <v>1054665</v>
      </c>
      <c r="S209" s="203">
        <f>529802.5+524862.5</f>
        <v>1054665</v>
      </c>
      <c r="T209" s="217">
        <f t="shared" si="60"/>
        <v>0</v>
      </c>
      <c r="V209" s="40"/>
      <c r="W209" s="40" t="s">
        <v>262</v>
      </c>
      <c r="X209" s="43"/>
      <c r="Y209" s="35"/>
    </row>
    <row r="210" spans="1:27" x14ac:dyDescent="0.3">
      <c r="A210" s="85" t="s">
        <v>637</v>
      </c>
      <c r="B210" s="64" t="s">
        <v>852</v>
      </c>
      <c r="C210" s="179">
        <v>45073</v>
      </c>
      <c r="D210" s="38">
        <v>45164</v>
      </c>
      <c r="E210" s="6">
        <v>45438</v>
      </c>
      <c r="F210" s="1" t="s">
        <v>853</v>
      </c>
      <c r="G210" s="1" t="s">
        <v>853</v>
      </c>
      <c r="H210" s="8"/>
      <c r="I210" s="64" t="s">
        <v>528</v>
      </c>
      <c r="J210" s="1" t="s">
        <v>38</v>
      </c>
      <c r="K210" s="1" t="s">
        <v>378</v>
      </c>
      <c r="L210" s="1" t="s">
        <v>62</v>
      </c>
      <c r="M210" s="192"/>
      <c r="N210" s="192"/>
      <c r="O210" s="196">
        <v>70000</v>
      </c>
      <c r="P210" s="196"/>
      <c r="Q210" s="196">
        <f t="shared" si="58"/>
        <v>16550</v>
      </c>
      <c r="R210" s="203">
        <f t="shared" si="59"/>
        <v>86550</v>
      </c>
      <c r="S210" s="203">
        <f>45775+40775</f>
        <v>86550</v>
      </c>
      <c r="T210" s="217">
        <f t="shared" si="60"/>
        <v>0</v>
      </c>
      <c r="V210" s="40"/>
      <c r="W210" s="40" t="s">
        <v>262</v>
      </c>
      <c r="X210" s="43"/>
      <c r="Y210" s="35"/>
    </row>
    <row r="211" spans="1:27" x14ac:dyDescent="0.3">
      <c r="A211" s="85" t="s">
        <v>638</v>
      </c>
      <c r="B211" s="64" t="s">
        <v>869</v>
      </c>
      <c r="C211" s="179">
        <v>45075</v>
      </c>
      <c r="D211" s="38"/>
      <c r="E211" s="6">
        <v>45440</v>
      </c>
      <c r="F211" s="1" t="s">
        <v>870</v>
      </c>
      <c r="G211" s="1" t="s">
        <v>870</v>
      </c>
      <c r="H211" s="8" t="s">
        <v>871</v>
      </c>
      <c r="I211" s="64" t="s">
        <v>872</v>
      </c>
      <c r="J211" s="1" t="s">
        <v>38</v>
      </c>
      <c r="K211" s="1" t="s">
        <v>434</v>
      </c>
      <c r="L211" s="1" t="s">
        <v>62</v>
      </c>
      <c r="M211" s="192"/>
      <c r="N211" s="192"/>
      <c r="O211" s="196">
        <v>70000</v>
      </c>
      <c r="P211" s="196"/>
      <c r="Q211" s="196">
        <f t="shared" si="58"/>
        <v>16550</v>
      </c>
      <c r="R211" s="203">
        <f t="shared" si="59"/>
        <v>86550</v>
      </c>
      <c r="S211" s="203">
        <v>86550</v>
      </c>
      <c r="T211" s="217">
        <f t="shared" si="60"/>
        <v>0</v>
      </c>
      <c r="V211" s="40"/>
      <c r="W211" s="40" t="s">
        <v>339</v>
      </c>
      <c r="X211" s="43"/>
      <c r="Y211" s="35"/>
    </row>
    <row r="212" spans="1:27" x14ac:dyDescent="0.3">
      <c r="A212" s="85" t="s">
        <v>190</v>
      </c>
      <c r="B212" s="64" t="s">
        <v>873</v>
      </c>
      <c r="C212" s="179">
        <v>45075</v>
      </c>
      <c r="D212" s="38">
        <v>45166</v>
      </c>
      <c r="E212" s="6">
        <v>45440</v>
      </c>
      <c r="F212" s="1" t="s">
        <v>874</v>
      </c>
      <c r="G212" s="1" t="s">
        <v>874</v>
      </c>
      <c r="H212" s="8"/>
      <c r="I212" s="64" t="s">
        <v>875</v>
      </c>
      <c r="J212" s="1" t="s">
        <v>38</v>
      </c>
      <c r="K212" s="1" t="s">
        <v>125</v>
      </c>
      <c r="L212" s="1" t="s">
        <v>62</v>
      </c>
      <c r="M212" s="192"/>
      <c r="N212" s="192"/>
      <c r="O212" s="196">
        <v>70000</v>
      </c>
      <c r="P212" s="196"/>
      <c r="Q212" s="196">
        <f t="shared" si="58"/>
        <v>16550</v>
      </c>
      <c r="R212" s="203">
        <f t="shared" si="59"/>
        <v>86550</v>
      </c>
      <c r="S212" s="203">
        <f>45775+40775</f>
        <v>86550</v>
      </c>
      <c r="T212" s="217">
        <f t="shared" si="60"/>
        <v>0</v>
      </c>
      <c r="V212" s="40"/>
      <c r="W212" s="40"/>
      <c r="X212" s="43"/>
      <c r="Y212" s="35"/>
    </row>
    <row r="213" spans="1:27" x14ac:dyDescent="0.3">
      <c r="A213" s="85" t="s">
        <v>190</v>
      </c>
      <c r="B213" s="64" t="s">
        <v>865</v>
      </c>
      <c r="C213" s="179">
        <v>45077</v>
      </c>
      <c r="D213" s="38">
        <v>45168</v>
      </c>
      <c r="E213" s="6">
        <v>45534</v>
      </c>
      <c r="F213" s="1" t="s">
        <v>507</v>
      </c>
      <c r="G213" s="1" t="s">
        <v>507</v>
      </c>
      <c r="H213" s="8" t="s">
        <v>142</v>
      </c>
      <c r="I213" s="64" t="s">
        <v>509</v>
      </c>
      <c r="J213" s="1" t="s">
        <v>38</v>
      </c>
      <c r="K213" s="1" t="s">
        <v>510</v>
      </c>
      <c r="L213" s="1" t="s">
        <v>62</v>
      </c>
      <c r="M213" s="192">
        <v>4000000</v>
      </c>
      <c r="N213" s="192">
        <v>5.5E-2</v>
      </c>
      <c r="O213" s="196">
        <f>M213*N213</f>
        <v>220000</v>
      </c>
      <c r="P213" s="196"/>
      <c r="Q213" s="196">
        <f t="shared" si="58"/>
        <v>41300</v>
      </c>
      <c r="R213" s="203">
        <f t="shared" si="59"/>
        <v>261300</v>
      </c>
      <c r="S213" s="203">
        <f>133150+128150</f>
        <v>261300</v>
      </c>
      <c r="T213" s="217">
        <f t="shared" si="60"/>
        <v>0</v>
      </c>
      <c r="V213" s="40"/>
      <c r="W213" s="40" t="s">
        <v>262</v>
      </c>
      <c r="X213" s="43"/>
      <c r="Y213" s="35"/>
    </row>
    <row r="214" spans="1:27" x14ac:dyDescent="0.3">
      <c r="A214" s="85" t="s">
        <v>189</v>
      </c>
      <c r="B214" s="64" t="s">
        <v>854</v>
      </c>
      <c r="C214" s="179">
        <v>45078</v>
      </c>
      <c r="D214" s="38"/>
      <c r="E214" s="6">
        <v>45443</v>
      </c>
      <c r="F214" s="1" t="s">
        <v>855</v>
      </c>
      <c r="G214" s="1" t="s">
        <v>855</v>
      </c>
      <c r="H214" s="8" t="s">
        <v>856</v>
      </c>
      <c r="I214" s="64" t="s">
        <v>857</v>
      </c>
      <c r="J214" s="1" t="s">
        <v>38</v>
      </c>
      <c r="K214" s="1" t="s">
        <v>19</v>
      </c>
      <c r="L214" s="1" t="s">
        <v>62</v>
      </c>
      <c r="M214" s="192"/>
      <c r="N214" s="192"/>
      <c r="O214" s="196">
        <v>70000</v>
      </c>
      <c r="P214" s="196"/>
      <c r="Q214" s="196">
        <f t="shared" ref="Q214:Q224" si="61">(O214*16.5%)+5000</f>
        <v>16550</v>
      </c>
      <c r="R214" s="203">
        <f t="shared" ref="R214:R224" si="62">SUM(O214:Q214)</f>
        <v>86550</v>
      </c>
      <c r="S214" s="203">
        <v>86550</v>
      </c>
      <c r="T214" s="217">
        <f t="shared" ref="T214:T224" si="63">R214-S214</f>
        <v>0</v>
      </c>
      <c r="V214" s="40"/>
      <c r="W214" s="40" t="s">
        <v>262</v>
      </c>
      <c r="X214" s="43"/>
      <c r="Y214" s="35"/>
    </row>
    <row r="215" spans="1:27" x14ac:dyDescent="0.3">
      <c r="A215" s="85" t="s">
        <v>639</v>
      </c>
      <c r="B215" s="64" t="s">
        <v>548</v>
      </c>
      <c r="C215" s="179">
        <v>45079</v>
      </c>
      <c r="D215" s="38"/>
      <c r="E215" s="6">
        <v>45444</v>
      </c>
      <c r="F215" s="1" t="s">
        <v>549</v>
      </c>
      <c r="G215" s="1" t="s">
        <v>549</v>
      </c>
      <c r="H215" s="8"/>
      <c r="I215" s="64" t="s">
        <v>550</v>
      </c>
      <c r="J215" s="1" t="s">
        <v>38</v>
      </c>
      <c r="K215" s="1" t="s">
        <v>799</v>
      </c>
      <c r="L215" s="1" t="s">
        <v>62</v>
      </c>
      <c r="M215" s="192"/>
      <c r="N215" s="192"/>
      <c r="O215" s="196">
        <v>70000</v>
      </c>
      <c r="P215" s="196"/>
      <c r="Q215" s="196">
        <f t="shared" si="61"/>
        <v>16550</v>
      </c>
      <c r="R215" s="203">
        <f t="shared" si="62"/>
        <v>86550</v>
      </c>
      <c r="S215" s="203">
        <v>86550</v>
      </c>
      <c r="T215" s="217">
        <f t="shared" si="63"/>
        <v>0</v>
      </c>
      <c r="V215" s="40"/>
      <c r="W215" s="40" t="s">
        <v>262</v>
      </c>
      <c r="X215" s="43"/>
      <c r="Y215" s="35"/>
    </row>
    <row r="216" spans="1:27" x14ac:dyDescent="0.3">
      <c r="A216" s="85" t="s">
        <v>639</v>
      </c>
      <c r="B216" s="64" t="s">
        <v>548</v>
      </c>
      <c r="C216" s="179">
        <v>45079</v>
      </c>
      <c r="D216" s="38"/>
      <c r="E216" s="6">
        <v>45444</v>
      </c>
      <c r="F216" s="1" t="s">
        <v>549</v>
      </c>
      <c r="G216" s="1" t="s">
        <v>549</v>
      </c>
      <c r="H216" s="8"/>
      <c r="I216" s="64" t="s">
        <v>858</v>
      </c>
      <c r="J216" s="1" t="s">
        <v>38</v>
      </c>
      <c r="K216" s="1" t="s">
        <v>859</v>
      </c>
      <c r="L216" s="1" t="s">
        <v>62</v>
      </c>
      <c r="M216" s="192"/>
      <c r="N216" s="192"/>
      <c r="O216" s="196">
        <v>70000</v>
      </c>
      <c r="P216" s="196"/>
      <c r="Q216" s="196">
        <f t="shared" si="61"/>
        <v>16550</v>
      </c>
      <c r="R216" s="203">
        <f t="shared" si="62"/>
        <v>86550</v>
      </c>
      <c r="S216" s="203">
        <v>86550</v>
      </c>
      <c r="T216" s="217">
        <f t="shared" si="63"/>
        <v>0</v>
      </c>
      <c r="V216" s="40"/>
      <c r="W216" s="40" t="s">
        <v>262</v>
      </c>
      <c r="X216" s="43"/>
      <c r="Y216" s="35"/>
    </row>
    <row r="217" spans="1:27" s="67" customFormat="1" x14ac:dyDescent="0.3">
      <c r="A217" s="71" t="s">
        <v>638</v>
      </c>
      <c r="B217" s="73" t="s">
        <v>876</v>
      </c>
      <c r="C217" s="178">
        <v>45080</v>
      </c>
      <c r="D217" s="68">
        <v>45171</v>
      </c>
      <c r="E217" s="68"/>
      <c r="F217" s="69" t="s">
        <v>877</v>
      </c>
      <c r="G217" s="69" t="s">
        <v>877</v>
      </c>
      <c r="H217" s="70"/>
      <c r="I217" s="73" t="s">
        <v>878</v>
      </c>
      <c r="J217" s="69" t="s">
        <v>38</v>
      </c>
      <c r="K217" s="69" t="s">
        <v>19</v>
      </c>
      <c r="L217" s="69" t="s">
        <v>62</v>
      </c>
      <c r="M217" s="191">
        <v>7500000</v>
      </c>
      <c r="N217" s="191"/>
      <c r="O217" s="187">
        <v>20000</v>
      </c>
      <c r="P217" s="187"/>
      <c r="Q217" s="187">
        <f t="shared" si="61"/>
        <v>8300</v>
      </c>
      <c r="R217" s="72">
        <f t="shared" si="62"/>
        <v>28300</v>
      </c>
      <c r="S217" s="72">
        <v>28300</v>
      </c>
      <c r="T217" s="218">
        <f t="shared" si="63"/>
        <v>0</v>
      </c>
      <c r="U217" s="212"/>
      <c r="V217" s="72"/>
      <c r="W217" s="72" t="s">
        <v>262</v>
      </c>
      <c r="X217" s="236"/>
      <c r="Y217" s="68"/>
      <c r="Z217" s="69"/>
      <c r="AA217" s="69"/>
    </row>
    <row r="218" spans="1:27" x14ac:dyDescent="0.3">
      <c r="A218" s="85" t="s">
        <v>189</v>
      </c>
      <c r="B218" s="64" t="s">
        <v>867</v>
      </c>
      <c r="C218" s="179">
        <v>45087</v>
      </c>
      <c r="D218" s="38">
        <v>45178</v>
      </c>
      <c r="E218" s="6"/>
      <c r="F218" s="1" t="s">
        <v>686</v>
      </c>
      <c r="G218" s="1" t="s">
        <v>686</v>
      </c>
      <c r="H218" s="8"/>
      <c r="I218" s="64" t="s">
        <v>687</v>
      </c>
      <c r="J218" s="1" t="s">
        <v>38</v>
      </c>
      <c r="K218" s="1" t="s">
        <v>866</v>
      </c>
      <c r="L218" s="1" t="s">
        <v>511</v>
      </c>
      <c r="M218" s="192">
        <v>5000000</v>
      </c>
      <c r="N218" s="192">
        <v>5.5E-2</v>
      </c>
      <c r="O218" s="196">
        <f>M218*N218</f>
        <v>275000</v>
      </c>
      <c r="P218" s="196"/>
      <c r="Q218" s="196">
        <f t="shared" si="61"/>
        <v>50375</v>
      </c>
      <c r="R218" s="203">
        <f t="shared" si="62"/>
        <v>325375</v>
      </c>
      <c r="S218" s="203">
        <v>150000</v>
      </c>
      <c r="T218" s="217">
        <f t="shared" si="63"/>
        <v>175375</v>
      </c>
      <c r="V218" s="40"/>
      <c r="W218" s="40" t="s">
        <v>262</v>
      </c>
      <c r="X218" s="43"/>
      <c r="Y218" s="35"/>
    </row>
    <row r="219" spans="1:27" x14ac:dyDescent="0.3">
      <c r="A219" s="85" t="s">
        <v>189</v>
      </c>
      <c r="B219" s="64" t="s">
        <v>868</v>
      </c>
      <c r="C219" s="179">
        <v>45087</v>
      </c>
      <c r="D219" s="38">
        <v>45178</v>
      </c>
      <c r="E219" s="6">
        <v>45452</v>
      </c>
      <c r="F219" s="1" t="s">
        <v>210</v>
      </c>
      <c r="G219" s="1" t="s">
        <v>390</v>
      </c>
      <c r="H219" s="8"/>
      <c r="I219" s="64" t="s">
        <v>212</v>
      </c>
      <c r="J219" s="1" t="s">
        <v>38</v>
      </c>
      <c r="K219" s="1" t="s">
        <v>19</v>
      </c>
      <c r="L219" s="1" t="s">
        <v>511</v>
      </c>
      <c r="M219" s="192">
        <v>2500000</v>
      </c>
      <c r="N219" s="192">
        <v>7.0000000000000007E-2</v>
      </c>
      <c r="O219" s="196">
        <f>M219*N219</f>
        <v>175000.00000000003</v>
      </c>
      <c r="P219" s="196"/>
      <c r="Q219" s="196">
        <f t="shared" si="61"/>
        <v>33875.000000000007</v>
      </c>
      <c r="R219" s="203">
        <f t="shared" si="62"/>
        <v>208875.00000000003</v>
      </c>
      <c r="S219" s="203">
        <f>102860+97860</f>
        <v>200720</v>
      </c>
      <c r="T219" s="217">
        <f t="shared" si="63"/>
        <v>8155.0000000000291</v>
      </c>
      <c r="V219" s="40"/>
      <c r="W219" s="40" t="s">
        <v>262</v>
      </c>
      <c r="X219" s="43"/>
      <c r="Y219" s="35"/>
    </row>
    <row r="220" spans="1:27" x14ac:dyDescent="0.3">
      <c r="A220" s="85" t="s">
        <v>189</v>
      </c>
      <c r="B220" s="64" t="s">
        <v>884</v>
      </c>
      <c r="C220" s="179">
        <v>45097</v>
      </c>
      <c r="D220" s="38">
        <v>45188</v>
      </c>
      <c r="E220" s="6">
        <v>45096</v>
      </c>
      <c r="F220" s="1" t="s">
        <v>372</v>
      </c>
      <c r="G220" s="1" t="s">
        <v>372</v>
      </c>
      <c r="H220" s="8" t="s">
        <v>206</v>
      </c>
      <c r="I220" s="64" t="s">
        <v>271</v>
      </c>
      <c r="J220" s="1" t="s">
        <v>38</v>
      </c>
      <c r="K220" s="1" t="s">
        <v>305</v>
      </c>
      <c r="L220" s="1" t="s">
        <v>62</v>
      </c>
      <c r="M220" s="192"/>
      <c r="N220" s="192"/>
      <c r="O220" s="196">
        <v>70000</v>
      </c>
      <c r="P220" s="196"/>
      <c r="Q220" s="196">
        <f t="shared" si="61"/>
        <v>16550</v>
      </c>
      <c r="R220" s="203">
        <f t="shared" si="62"/>
        <v>86550</v>
      </c>
      <c r="S220" s="203">
        <f>40775+45775</f>
        <v>86550</v>
      </c>
      <c r="T220" s="217">
        <f t="shared" si="63"/>
        <v>0</v>
      </c>
      <c r="V220" s="40"/>
      <c r="W220" s="40"/>
      <c r="X220" s="43"/>
      <c r="Y220" s="35"/>
    </row>
    <row r="221" spans="1:27" x14ac:dyDescent="0.3">
      <c r="A221" s="85" t="s">
        <v>189</v>
      </c>
      <c r="B221" s="64" t="s">
        <v>885</v>
      </c>
      <c r="C221" s="179">
        <v>45100</v>
      </c>
      <c r="D221" s="38">
        <v>45191</v>
      </c>
      <c r="E221" s="6"/>
      <c r="F221" s="1" t="s">
        <v>839</v>
      </c>
      <c r="G221" s="1" t="s">
        <v>839</v>
      </c>
      <c r="H221" s="8"/>
      <c r="I221" s="64" t="s">
        <v>886</v>
      </c>
      <c r="J221" s="1" t="s">
        <v>38</v>
      </c>
      <c r="K221" s="1" t="s">
        <v>751</v>
      </c>
      <c r="L221" s="1" t="s">
        <v>62</v>
      </c>
      <c r="M221" s="192"/>
      <c r="N221" s="192"/>
      <c r="O221" s="196">
        <v>85000</v>
      </c>
      <c r="P221" s="196"/>
      <c r="Q221" s="196">
        <f t="shared" si="61"/>
        <v>19025</v>
      </c>
      <c r="R221" s="203">
        <f t="shared" si="62"/>
        <v>104025</v>
      </c>
      <c r="S221" s="203">
        <v>54512.5</v>
      </c>
      <c r="T221" s="217">
        <f t="shared" si="63"/>
        <v>49512.5</v>
      </c>
      <c r="V221" s="40"/>
      <c r="W221" s="40" t="s">
        <v>262</v>
      </c>
      <c r="X221" s="43"/>
      <c r="Y221" s="35"/>
    </row>
    <row r="222" spans="1:27" x14ac:dyDescent="0.3">
      <c r="A222" s="85" t="s">
        <v>638</v>
      </c>
      <c r="B222" s="64" t="s">
        <v>937</v>
      </c>
      <c r="C222" s="179">
        <v>45101</v>
      </c>
      <c r="D222" s="38">
        <v>45192</v>
      </c>
      <c r="E222" s="6">
        <v>45466</v>
      </c>
      <c r="F222" s="1" t="s">
        <v>938</v>
      </c>
      <c r="G222" s="1" t="s">
        <v>938</v>
      </c>
      <c r="H222" s="8" t="s">
        <v>939</v>
      </c>
      <c r="I222" s="64" t="s">
        <v>940</v>
      </c>
      <c r="J222" s="1" t="s">
        <v>38</v>
      </c>
      <c r="K222" s="1" t="s">
        <v>941</v>
      </c>
      <c r="L222" s="1" t="s">
        <v>62</v>
      </c>
      <c r="M222" s="192"/>
      <c r="N222" s="192"/>
      <c r="O222" s="196">
        <v>70000</v>
      </c>
      <c r="P222" s="196"/>
      <c r="Q222" s="196">
        <f t="shared" si="61"/>
        <v>16550</v>
      </c>
      <c r="R222" s="203">
        <f t="shared" si="62"/>
        <v>86550</v>
      </c>
      <c r="S222" s="203">
        <f>46600+39950</f>
        <v>86550</v>
      </c>
      <c r="T222" s="217">
        <f t="shared" si="63"/>
        <v>0</v>
      </c>
      <c r="V222" s="40"/>
      <c r="W222" s="40"/>
      <c r="X222" s="43"/>
      <c r="Y222" s="35"/>
    </row>
    <row r="223" spans="1:27" x14ac:dyDescent="0.3">
      <c r="A223" s="85" t="s">
        <v>189</v>
      </c>
      <c r="B223" s="64" t="s">
        <v>927</v>
      </c>
      <c r="C223" s="179">
        <v>45104</v>
      </c>
      <c r="D223" s="38">
        <v>45195</v>
      </c>
      <c r="E223" s="6">
        <v>45469</v>
      </c>
      <c r="F223" s="1" t="s">
        <v>928</v>
      </c>
      <c r="G223" s="1" t="s">
        <v>929</v>
      </c>
      <c r="H223" s="8"/>
      <c r="I223" s="64" t="s">
        <v>287</v>
      </c>
      <c r="J223" s="1" t="s">
        <v>38</v>
      </c>
      <c r="K223" s="1" t="s">
        <v>930</v>
      </c>
      <c r="L223" s="1" t="s">
        <v>511</v>
      </c>
      <c r="M223" s="192">
        <v>3000000</v>
      </c>
      <c r="N223" s="192">
        <v>0.05</v>
      </c>
      <c r="O223" s="196">
        <f>M223*N223</f>
        <v>150000</v>
      </c>
      <c r="P223" s="196"/>
      <c r="Q223" s="196">
        <f t="shared" si="61"/>
        <v>29750</v>
      </c>
      <c r="R223" s="203">
        <f t="shared" si="62"/>
        <v>179750</v>
      </c>
      <c r="S223" s="203">
        <f>87375+92375</f>
        <v>179750</v>
      </c>
      <c r="T223" s="217">
        <f t="shared" si="63"/>
        <v>0</v>
      </c>
      <c r="V223" s="40"/>
      <c r="W223" s="40" t="s">
        <v>262</v>
      </c>
      <c r="X223" s="43"/>
      <c r="Y223" s="35"/>
    </row>
    <row r="224" spans="1:27" x14ac:dyDescent="0.3">
      <c r="A224" s="85" t="s">
        <v>189</v>
      </c>
      <c r="B224" s="64" t="s">
        <v>882</v>
      </c>
      <c r="C224" s="179">
        <v>45105</v>
      </c>
      <c r="D224" s="38">
        <v>45196</v>
      </c>
      <c r="E224" s="6"/>
      <c r="F224" s="1" t="s">
        <v>214</v>
      </c>
      <c r="G224" s="1" t="s">
        <v>214</v>
      </c>
      <c r="H224" s="8" t="s">
        <v>883</v>
      </c>
      <c r="I224" s="64" t="s">
        <v>215</v>
      </c>
      <c r="J224" s="1" t="s">
        <v>38</v>
      </c>
      <c r="K224" s="1" t="s">
        <v>216</v>
      </c>
      <c r="L224" s="1" t="s">
        <v>62</v>
      </c>
      <c r="M224" s="192"/>
      <c r="N224" s="192"/>
      <c r="O224" s="196">
        <v>70000</v>
      </c>
      <c r="P224" s="196"/>
      <c r="Q224" s="196">
        <f t="shared" si="61"/>
        <v>16550</v>
      </c>
      <c r="R224" s="203">
        <f t="shared" si="62"/>
        <v>86550</v>
      </c>
      <c r="S224" s="203">
        <v>46000</v>
      </c>
      <c r="T224" s="217">
        <f t="shared" si="63"/>
        <v>40550</v>
      </c>
      <c r="V224" s="40"/>
      <c r="W224" s="40" t="s">
        <v>262</v>
      </c>
      <c r="X224" s="43"/>
      <c r="Y224" s="35"/>
    </row>
    <row r="225" spans="1:26" x14ac:dyDescent="0.3">
      <c r="A225" s="85" t="s">
        <v>638</v>
      </c>
      <c r="B225" s="64" t="s">
        <v>887</v>
      </c>
      <c r="C225" s="179">
        <v>45108</v>
      </c>
      <c r="D225" s="38">
        <v>45199</v>
      </c>
      <c r="E225" s="6">
        <v>45473</v>
      </c>
      <c r="F225" s="1" t="s">
        <v>414</v>
      </c>
      <c r="G225" s="1" t="s">
        <v>414</v>
      </c>
      <c r="H225" s="8" t="s">
        <v>727</v>
      </c>
      <c r="I225" s="64" t="s">
        <v>563</v>
      </c>
      <c r="J225" s="1" t="s">
        <v>38</v>
      </c>
      <c r="K225" s="1" t="s">
        <v>533</v>
      </c>
      <c r="L225" s="1" t="s">
        <v>62</v>
      </c>
      <c r="M225" s="192">
        <v>6000000</v>
      </c>
      <c r="N225" s="192"/>
      <c r="O225" s="196">
        <v>70000</v>
      </c>
      <c r="P225" s="196"/>
      <c r="Q225" s="196">
        <f t="shared" ref="Q225:Q233" si="64">(O225*16.5%)+5000</f>
        <v>16550</v>
      </c>
      <c r="R225" s="203">
        <f t="shared" ref="R225:R233" si="65">SUM(O225:Q225)</f>
        <v>86550</v>
      </c>
      <c r="S225" s="203">
        <f>45775+40775</f>
        <v>86550</v>
      </c>
      <c r="T225" s="217">
        <f t="shared" ref="T225:T234" si="66">R225-S225</f>
        <v>0</v>
      </c>
      <c r="V225" s="40"/>
      <c r="W225" s="40" t="s">
        <v>262</v>
      </c>
      <c r="X225" s="43"/>
      <c r="Y225" s="35"/>
    </row>
    <row r="226" spans="1:26" x14ac:dyDescent="0.3">
      <c r="A226" s="85" t="s">
        <v>189</v>
      </c>
      <c r="B226" s="64" t="s">
        <v>888</v>
      </c>
      <c r="C226" s="179">
        <v>45109</v>
      </c>
      <c r="D226" s="38"/>
      <c r="E226" s="6">
        <v>45474</v>
      </c>
      <c r="F226" s="1" t="s">
        <v>565</v>
      </c>
      <c r="G226" s="1" t="s">
        <v>565</v>
      </c>
      <c r="H226" s="8"/>
      <c r="I226" s="64" t="s">
        <v>566</v>
      </c>
      <c r="J226" s="1" t="s">
        <v>38</v>
      </c>
      <c r="K226" s="1" t="s">
        <v>216</v>
      </c>
      <c r="L226" s="1" t="s">
        <v>62</v>
      </c>
      <c r="M226" s="192"/>
      <c r="N226" s="192"/>
      <c r="O226" s="196">
        <v>70000</v>
      </c>
      <c r="P226" s="196"/>
      <c r="Q226" s="196">
        <f t="shared" si="64"/>
        <v>16550</v>
      </c>
      <c r="R226" s="203">
        <f t="shared" si="65"/>
        <v>86550</v>
      </c>
      <c r="S226" s="203">
        <v>86550</v>
      </c>
      <c r="T226" s="217">
        <f t="shared" si="66"/>
        <v>0</v>
      </c>
      <c r="V226" s="40"/>
      <c r="W226" s="40" t="s">
        <v>262</v>
      </c>
      <c r="X226" s="43"/>
      <c r="Y226" s="35"/>
    </row>
    <row r="227" spans="1:26" x14ac:dyDescent="0.3">
      <c r="A227" s="85" t="s">
        <v>639</v>
      </c>
      <c r="B227" s="64" t="s">
        <v>897</v>
      </c>
      <c r="C227" s="179">
        <v>45117</v>
      </c>
      <c r="D227" s="38"/>
      <c r="E227" s="6">
        <v>45482</v>
      </c>
      <c r="F227" s="1" t="s">
        <v>898</v>
      </c>
      <c r="G227" s="1" t="s">
        <v>898</v>
      </c>
      <c r="H227" s="8" t="s">
        <v>899</v>
      </c>
      <c r="I227" s="64" t="s">
        <v>900</v>
      </c>
      <c r="J227" s="1" t="s">
        <v>38</v>
      </c>
      <c r="K227" s="1" t="s">
        <v>618</v>
      </c>
      <c r="L227" s="1" t="s">
        <v>62</v>
      </c>
      <c r="M227" s="192">
        <v>5000000</v>
      </c>
      <c r="N227" s="192"/>
      <c r="O227" s="196">
        <v>70000</v>
      </c>
      <c r="P227" s="196"/>
      <c r="Q227" s="196">
        <f t="shared" si="64"/>
        <v>16550</v>
      </c>
      <c r="R227" s="203">
        <f t="shared" si="65"/>
        <v>86550</v>
      </c>
      <c r="S227" s="203">
        <v>86550</v>
      </c>
      <c r="T227" s="217">
        <f t="shared" si="66"/>
        <v>0</v>
      </c>
      <c r="V227" s="40"/>
      <c r="W227" s="40" t="s">
        <v>262</v>
      </c>
      <c r="X227" s="43"/>
      <c r="Y227" s="35"/>
    </row>
    <row r="228" spans="1:26" x14ac:dyDescent="0.3">
      <c r="A228" s="85" t="s">
        <v>431</v>
      </c>
      <c r="B228" s="64" t="s">
        <v>903</v>
      </c>
      <c r="C228" s="179">
        <v>45117</v>
      </c>
      <c r="D228" s="38">
        <v>45208</v>
      </c>
      <c r="E228" s="6">
        <v>45482</v>
      </c>
      <c r="F228" s="1" t="s">
        <v>507</v>
      </c>
      <c r="G228" s="1" t="s">
        <v>507</v>
      </c>
      <c r="H228" s="8"/>
      <c r="I228" s="64" t="s">
        <v>904</v>
      </c>
      <c r="J228" s="1" t="s">
        <v>38</v>
      </c>
      <c r="K228" s="1" t="s">
        <v>125</v>
      </c>
      <c r="L228" s="1" t="s">
        <v>511</v>
      </c>
      <c r="M228" s="192">
        <v>4500000</v>
      </c>
      <c r="N228" s="192">
        <v>5.5E-2</v>
      </c>
      <c r="O228" s="196">
        <f>M228*N228</f>
        <v>247500</v>
      </c>
      <c r="P228" s="196"/>
      <c r="Q228" s="196">
        <f t="shared" si="64"/>
        <v>45837.5</v>
      </c>
      <c r="R228" s="203">
        <f t="shared" si="65"/>
        <v>293337.5</v>
      </c>
      <c r="S228" s="203">
        <f>150000+143337.5</f>
        <v>293337.5</v>
      </c>
      <c r="T228" s="217">
        <f t="shared" si="66"/>
        <v>0</v>
      </c>
      <c r="V228" s="40"/>
      <c r="W228" s="40" t="s">
        <v>901</v>
      </c>
      <c r="X228" s="43"/>
      <c r="Y228" s="35"/>
    </row>
    <row r="229" spans="1:26" x14ac:dyDescent="0.3">
      <c r="A229" s="85" t="s">
        <v>189</v>
      </c>
      <c r="B229" s="64" t="s">
        <v>902</v>
      </c>
      <c r="C229" s="179">
        <v>45120</v>
      </c>
      <c r="D229" s="38">
        <v>45216</v>
      </c>
      <c r="E229" s="6"/>
      <c r="F229" s="1" t="s">
        <v>570</v>
      </c>
      <c r="G229" s="1" t="s">
        <v>570</v>
      </c>
      <c r="H229" s="8" t="s">
        <v>571</v>
      </c>
      <c r="I229" s="64" t="s">
        <v>782</v>
      </c>
      <c r="J229" s="1" t="s">
        <v>38</v>
      </c>
      <c r="K229" s="1" t="s">
        <v>542</v>
      </c>
      <c r="L229" s="1" t="s">
        <v>511</v>
      </c>
      <c r="M229" s="192">
        <v>6000000</v>
      </c>
      <c r="N229" s="192">
        <v>0.06</v>
      </c>
      <c r="O229" s="196">
        <f>M229*N229</f>
        <v>360000</v>
      </c>
      <c r="P229" s="196"/>
      <c r="Q229" s="196">
        <f t="shared" si="64"/>
        <v>64400</v>
      </c>
      <c r="R229" s="203">
        <f t="shared" si="65"/>
        <v>424400</v>
      </c>
      <c r="S229" s="203">
        <v>214700</v>
      </c>
      <c r="T229" s="217">
        <f t="shared" si="66"/>
        <v>209700</v>
      </c>
      <c r="V229" s="40"/>
      <c r="W229" s="40" t="s">
        <v>262</v>
      </c>
      <c r="X229" s="43"/>
      <c r="Y229" s="35"/>
    </row>
    <row r="230" spans="1:26" x14ac:dyDescent="0.3">
      <c r="A230" s="85" t="s">
        <v>189</v>
      </c>
      <c r="B230" s="64" t="s">
        <v>960</v>
      </c>
      <c r="C230" s="179">
        <v>45126</v>
      </c>
      <c r="D230" s="38">
        <v>45217</v>
      </c>
      <c r="E230" s="6"/>
      <c r="F230" s="1" t="s">
        <v>441</v>
      </c>
      <c r="G230" s="1" t="s">
        <v>961</v>
      </c>
      <c r="H230" s="8"/>
      <c r="I230" s="64" t="s">
        <v>574</v>
      </c>
      <c r="J230" s="1" t="s">
        <v>38</v>
      </c>
      <c r="K230" s="1" t="s">
        <v>575</v>
      </c>
      <c r="L230" s="1" t="s">
        <v>62</v>
      </c>
      <c r="M230" s="192"/>
      <c r="N230" s="192"/>
      <c r="O230" s="196">
        <v>70000</v>
      </c>
      <c r="P230" s="196"/>
      <c r="Q230" s="196">
        <f t="shared" si="64"/>
        <v>16550</v>
      </c>
      <c r="R230" s="203">
        <f t="shared" si="65"/>
        <v>86550</v>
      </c>
      <c r="S230" s="203">
        <v>45775</v>
      </c>
      <c r="T230" s="217">
        <f t="shared" si="66"/>
        <v>40775</v>
      </c>
      <c r="V230" s="40"/>
      <c r="W230" s="40" t="s">
        <v>262</v>
      </c>
      <c r="X230" s="43"/>
      <c r="Y230" s="35"/>
    </row>
    <row r="231" spans="1:26" x14ac:dyDescent="0.3">
      <c r="A231" s="85" t="s">
        <v>190</v>
      </c>
      <c r="B231" s="64" t="s">
        <v>922</v>
      </c>
      <c r="C231" s="179">
        <v>45127</v>
      </c>
      <c r="D231" s="38">
        <v>45218</v>
      </c>
      <c r="E231" s="6"/>
      <c r="F231" s="1" t="s">
        <v>577</v>
      </c>
      <c r="G231" s="1" t="s">
        <v>577</v>
      </c>
      <c r="H231" s="8" t="s">
        <v>578</v>
      </c>
      <c r="I231" s="64" t="s">
        <v>579</v>
      </c>
      <c r="J231" s="1" t="s">
        <v>39</v>
      </c>
      <c r="K231" s="1" t="s">
        <v>923</v>
      </c>
      <c r="L231" s="1" t="s">
        <v>62</v>
      </c>
      <c r="M231" s="192"/>
      <c r="N231" s="192"/>
      <c r="O231" s="196">
        <v>85000</v>
      </c>
      <c r="P231" s="196"/>
      <c r="Q231" s="196">
        <f t="shared" si="64"/>
        <v>19025</v>
      </c>
      <c r="R231" s="203">
        <f t="shared" si="65"/>
        <v>104025</v>
      </c>
      <c r="S231" s="203">
        <v>54512.5</v>
      </c>
      <c r="T231" s="217">
        <f t="shared" si="66"/>
        <v>49512.5</v>
      </c>
      <c r="V231" s="40"/>
      <c r="W231" s="40" t="s">
        <v>262</v>
      </c>
      <c r="X231" s="43"/>
      <c r="Y231" s="35"/>
    </row>
    <row r="232" spans="1:26" x14ac:dyDescent="0.3">
      <c r="A232" s="85" t="s">
        <v>954</v>
      </c>
      <c r="B232" s="64" t="s">
        <v>955</v>
      </c>
      <c r="C232" s="179">
        <v>45131</v>
      </c>
      <c r="D232" s="38">
        <v>45222</v>
      </c>
      <c r="E232" s="6"/>
      <c r="F232" s="1" t="s">
        <v>956</v>
      </c>
      <c r="G232" s="1" t="s">
        <v>956</v>
      </c>
      <c r="H232" s="8"/>
      <c r="I232" s="64" t="s">
        <v>957</v>
      </c>
      <c r="J232" s="1" t="s">
        <v>38</v>
      </c>
      <c r="K232" s="1" t="s">
        <v>958</v>
      </c>
      <c r="L232" s="1" t="s">
        <v>62</v>
      </c>
      <c r="M232" s="192"/>
      <c r="N232" s="192"/>
      <c r="O232" s="196">
        <v>70000</v>
      </c>
      <c r="P232" s="196"/>
      <c r="Q232" s="196">
        <f t="shared" si="64"/>
        <v>16550</v>
      </c>
      <c r="R232" s="203">
        <f t="shared" si="65"/>
        <v>86550</v>
      </c>
      <c r="S232" s="203">
        <v>45775</v>
      </c>
      <c r="T232" s="217">
        <f t="shared" si="66"/>
        <v>40775</v>
      </c>
      <c r="V232" s="40"/>
      <c r="W232" s="40" t="s">
        <v>262</v>
      </c>
      <c r="X232" s="43"/>
      <c r="Y232" s="35"/>
    </row>
    <row r="233" spans="1:26" x14ac:dyDescent="0.3">
      <c r="A233" s="85" t="s">
        <v>638</v>
      </c>
      <c r="B233" s="64" t="s">
        <v>959</v>
      </c>
      <c r="C233" s="179">
        <v>45131</v>
      </c>
      <c r="D233" s="38">
        <v>45222</v>
      </c>
      <c r="E233" s="6">
        <v>45496</v>
      </c>
      <c r="F233" s="1" t="s">
        <v>544</v>
      </c>
      <c r="G233" s="1" t="s">
        <v>544</v>
      </c>
      <c r="H233" s="8" t="s">
        <v>545</v>
      </c>
      <c r="I233" s="64" t="s">
        <v>546</v>
      </c>
      <c r="J233" s="1" t="s">
        <v>38</v>
      </c>
      <c r="K233" s="1" t="s">
        <v>547</v>
      </c>
      <c r="L233" s="1" t="s">
        <v>62</v>
      </c>
      <c r="M233" s="192"/>
      <c r="N233" s="192"/>
      <c r="O233" s="196">
        <v>70000</v>
      </c>
      <c r="P233" s="196"/>
      <c r="Q233" s="196">
        <f t="shared" si="64"/>
        <v>16550</v>
      </c>
      <c r="R233" s="203">
        <f t="shared" si="65"/>
        <v>86550</v>
      </c>
      <c r="S233" s="203">
        <f>45775+40775</f>
        <v>86550</v>
      </c>
      <c r="T233" s="217">
        <f t="shared" si="66"/>
        <v>0</v>
      </c>
      <c r="V233" s="40"/>
      <c r="W233" s="40" t="s">
        <v>262</v>
      </c>
      <c r="X233" s="43"/>
      <c r="Y233" s="35"/>
    </row>
    <row r="234" spans="1:26" x14ac:dyDescent="0.3">
      <c r="A234" s="85" t="s">
        <v>638</v>
      </c>
      <c r="B234" s="64" t="s">
        <v>970</v>
      </c>
      <c r="C234" s="179">
        <v>45131</v>
      </c>
      <c r="D234" s="38">
        <v>45222</v>
      </c>
      <c r="E234" s="6">
        <v>45496</v>
      </c>
      <c r="F234" s="1" t="s">
        <v>582</v>
      </c>
      <c r="G234" s="1" t="s">
        <v>582</v>
      </c>
      <c r="H234" s="8" t="s">
        <v>67</v>
      </c>
      <c r="I234" s="64" t="s">
        <v>583</v>
      </c>
      <c r="J234" s="1" t="s">
        <v>38</v>
      </c>
      <c r="K234" s="1" t="s">
        <v>252</v>
      </c>
      <c r="L234" s="1" t="s">
        <v>511</v>
      </c>
      <c r="M234" s="192">
        <v>15000000</v>
      </c>
      <c r="N234" s="192">
        <v>4.4999999999999998E-2</v>
      </c>
      <c r="O234" s="196">
        <f>M234*N234</f>
        <v>675000</v>
      </c>
      <c r="P234" s="196"/>
      <c r="Q234" s="196">
        <f>(O234*16.5%)+5000</f>
        <v>116375</v>
      </c>
      <c r="R234" s="203">
        <f>SUM(O234:Q234)</f>
        <v>791375</v>
      </c>
      <c r="S234" s="203">
        <f>398187.5+393187.5</f>
        <v>791375</v>
      </c>
      <c r="T234" s="217">
        <f t="shared" si="66"/>
        <v>0</v>
      </c>
      <c r="V234" s="40"/>
      <c r="W234" s="40"/>
      <c r="X234" s="43"/>
      <c r="Y234" s="35"/>
    </row>
    <row r="235" spans="1:26" s="158" customFormat="1" x14ac:dyDescent="0.3">
      <c r="A235" s="158" t="s">
        <v>190</v>
      </c>
      <c r="B235" s="158" t="s">
        <v>949</v>
      </c>
      <c r="C235" s="185">
        <v>45141</v>
      </c>
      <c r="D235" s="160">
        <v>45232</v>
      </c>
      <c r="E235" s="161">
        <v>45506</v>
      </c>
      <c r="F235" s="158" t="s">
        <v>916</v>
      </c>
      <c r="G235" s="158" t="s">
        <v>916</v>
      </c>
      <c r="H235" s="162" t="s">
        <v>951</v>
      </c>
      <c r="I235" s="169" t="s">
        <v>950</v>
      </c>
      <c r="J235" s="158" t="s">
        <v>555</v>
      </c>
      <c r="K235" s="158" t="s">
        <v>841</v>
      </c>
      <c r="L235" s="158" t="s">
        <v>62</v>
      </c>
      <c r="M235" s="164"/>
      <c r="N235" s="164"/>
      <c r="O235" s="164">
        <v>85000</v>
      </c>
      <c r="P235" s="164"/>
      <c r="Q235" s="164">
        <f t="shared" ref="Q235:Q248" si="67">(O235*16.5%)+5000</f>
        <v>19025</v>
      </c>
      <c r="R235" s="208">
        <f t="shared" ref="R235:R248" si="68">SUM(O235:Q235)</f>
        <v>104025</v>
      </c>
      <c r="S235" s="208">
        <f>54513+49512</f>
        <v>104025</v>
      </c>
      <c r="T235" s="224">
        <f t="shared" ref="T235:T244" si="69">R235-S235</f>
        <v>0</v>
      </c>
      <c r="U235" s="224"/>
      <c r="V235" s="164"/>
      <c r="W235" s="164" t="s">
        <v>262</v>
      </c>
      <c r="X235" s="164"/>
      <c r="Y235" s="159"/>
      <c r="Z235" s="160"/>
    </row>
    <row r="236" spans="1:26" s="158" customFormat="1" x14ac:dyDescent="0.3">
      <c r="A236" s="169" t="s">
        <v>191</v>
      </c>
      <c r="B236" s="169" t="s">
        <v>1047</v>
      </c>
      <c r="C236" s="185">
        <v>45142</v>
      </c>
      <c r="D236" s="160">
        <v>45233</v>
      </c>
      <c r="E236" s="161">
        <v>45507</v>
      </c>
      <c r="F236" s="169" t="s">
        <v>568</v>
      </c>
      <c r="G236" s="169" t="s">
        <v>568</v>
      </c>
      <c r="H236" s="162"/>
      <c r="I236" s="169" t="s">
        <v>223</v>
      </c>
      <c r="J236" s="169" t="s">
        <v>39</v>
      </c>
      <c r="K236" s="169" t="s">
        <v>224</v>
      </c>
      <c r="L236" s="169" t="s">
        <v>62</v>
      </c>
      <c r="M236" s="164"/>
      <c r="N236" s="164"/>
      <c r="O236" s="164">
        <v>150000</v>
      </c>
      <c r="P236" s="164"/>
      <c r="Q236" s="164">
        <f t="shared" si="67"/>
        <v>29750</v>
      </c>
      <c r="R236" s="208">
        <v>144800</v>
      </c>
      <c r="S236" s="208">
        <f>74900+69900</f>
        <v>144800</v>
      </c>
      <c r="T236" s="224">
        <f t="shared" si="69"/>
        <v>0</v>
      </c>
      <c r="U236" s="224"/>
      <c r="V236" s="164"/>
      <c r="W236" s="199" t="s">
        <v>262</v>
      </c>
      <c r="X236" s="164"/>
      <c r="Y236" s="159"/>
      <c r="Z236" s="160"/>
    </row>
    <row r="237" spans="1:26" s="158" customFormat="1" x14ac:dyDescent="0.3">
      <c r="A237" s="158" t="s">
        <v>189</v>
      </c>
      <c r="B237" s="158" t="s">
        <v>942</v>
      </c>
      <c r="C237" s="185">
        <v>45143</v>
      </c>
      <c r="D237" s="160">
        <v>45234</v>
      </c>
      <c r="E237" s="161">
        <v>45508</v>
      </c>
      <c r="F237" s="158" t="s">
        <v>436</v>
      </c>
      <c r="G237" s="158" t="s">
        <v>436</v>
      </c>
      <c r="I237" s="158" t="s">
        <v>260</v>
      </c>
      <c r="J237" s="158" t="s">
        <v>38</v>
      </c>
      <c r="K237" s="158" t="s">
        <v>82</v>
      </c>
      <c r="L237" s="158" t="s">
        <v>511</v>
      </c>
      <c r="M237" s="164">
        <v>10000000</v>
      </c>
      <c r="N237" s="163">
        <v>0.05</v>
      </c>
      <c r="O237" s="164">
        <f>M237*5%</f>
        <v>500000</v>
      </c>
      <c r="P237" s="164"/>
      <c r="Q237" s="164">
        <f t="shared" si="67"/>
        <v>87500</v>
      </c>
      <c r="R237" s="208">
        <f t="shared" si="68"/>
        <v>587500</v>
      </c>
      <c r="S237" s="208">
        <f>296250+291250</f>
        <v>587500</v>
      </c>
      <c r="T237" s="224">
        <f t="shared" si="69"/>
        <v>0</v>
      </c>
      <c r="U237" s="224"/>
      <c r="V237" s="164"/>
      <c r="W237" s="164" t="s">
        <v>262</v>
      </c>
      <c r="X237" s="164"/>
      <c r="Y237" s="159"/>
      <c r="Z237" s="160"/>
    </row>
    <row r="238" spans="1:26" s="158" customFormat="1" x14ac:dyDescent="0.3">
      <c r="A238" s="158" t="s">
        <v>189</v>
      </c>
      <c r="B238" s="158" t="s">
        <v>952</v>
      </c>
      <c r="C238" s="185">
        <v>45143</v>
      </c>
      <c r="D238" s="160">
        <v>45234</v>
      </c>
      <c r="E238" s="161">
        <v>45508</v>
      </c>
      <c r="F238" s="158" t="s">
        <v>690</v>
      </c>
      <c r="G238" s="158" t="s">
        <v>690</v>
      </c>
      <c r="I238" s="158" t="s">
        <v>691</v>
      </c>
      <c r="J238" s="158" t="s">
        <v>38</v>
      </c>
      <c r="K238" s="158" t="s">
        <v>953</v>
      </c>
      <c r="L238" s="158" t="s">
        <v>511</v>
      </c>
      <c r="M238" s="164">
        <v>8000000</v>
      </c>
      <c r="N238" s="164">
        <v>0.05</v>
      </c>
      <c r="O238" s="164">
        <f>M238*N238</f>
        <v>400000</v>
      </c>
      <c r="P238" s="164"/>
      <c r="Q238" s="164">
        <f t="shared" si="67"/>
        <v>71000</v>
      </c>
      <c r="R238" s="208">
        <f t="shared" si="68"/>
        <v>471000</v>
      </c>
      <c r="S238" s="208">
        <f>238000+233000</f>
        <v>471000</v>
      </c>
      <c r="T238" s="224">
        <f t="shared" si="69"/>
        <v>0</v>
      </c>
      <c r="U238" s="224"/>
      <c r="V238" s="164"/>
      <c r="W238" s="164" t="s">
        <v>262</v>
      </c>
      <c r="X238" s="164"/>
      <c r="Y238" s="159"/>
      <c r="Z238" s="160"/>
    </row>
    <row r="239" spans="1:26" s="158" customFormat="1" x14ac:dyDescent="0.3">
      <c r="A239" s="169" t="s">
        <v>189</v>
      </c>
      <c r="B239" s="169" t="s">
        <v>92</v>
      </c>
      <c r="C239" s="185">
        <v>45150</v>
      </c>
      <c r="D239" s="160">
        <v>45241</v>
      </c>
      <c r="E239" s="161">
        <v>45515</v>
      </c>
      <c r="F239" s="169" t="s">
        <v>203</v>
      </c>
      <c r="G239" s="169" t="s">
        <v>203</v>
      </c>
      <c r="H239" s="162" t="s">
        <v>36</v>
      </c>
      <c r="I239" s="169" t="s">
        <v>630</v>
      </c>
      <c r="J239" s="169" t="s">
        <v>38</v>
      </c>
      <c r="K239" s="169" t="s">
        <v>94</v>
      </c>
      <c r="L239" s="169" t="s">
        <v>1048</v>
      </c>
      <c r="M239" s="164">
        <v>2100000</v>
      </c>
      <c r="N239" s="164">
        <v>0.05</v>
      </c>
      <c r="O239" s="164">
        <v>150000</v>
      </c>
      <c r="P239" s="164"/>
      <c r="Q239" s="164">
        <f t="shared" si="67"/>
        <v>29750</v>
      </c>
      <c r="R239" s="208">
        <f t="shared" si="68"/>
        <v>179750</v>
      </c>
      <c r="S239" s="208">
        <v>100000</v>
      </c>
      <c r="T239" s="224">
        <f t="shared" si="69"/>
        <v>79750</v>
      </c>
      <c r="U239" s="224"/>
      <c r="V239" s="164"/>
      <c r="W239" s="199" t="s">
        <v>262</v>
      </c>
      <c r="X239" s="164"/>
      <c r="Y239" s="159"/>
      <c r="Z239" s="160"/>
    </row>
    <row r="240" spans="1:26" x14ac:dyDescent="0.3">
      <c r="A240" s="85" t="s">
        <v>638</v>
      </c>
      <c r="B240" s="64" t="s">
        <v>924</v>
      </c>
      <c r="C240" s="179">
        <v>45152</v>
      </c>
      <c r="D240" s="38"/>
      <c r="E240" s="6">
        <v>45335</v>
      </c>
      <c r="F240" s="1" t="s">
        <v>830</v>
      </c>
      <c r="G240" s="1" t="s">
        <v>830</v>
      </c>
      <c r="H240" s="8" t="s">
        <v>646</v>
      </c>
      <c r="I240" s="64" t="s">
        <v>925</v>
      </c>
      <c r="J240" s="1" t="s">
        <v>38</v>
      </c>
      <c r="K240" s="1" t="s">
        <v>368</v>
      </c>
      <c r="L240" s="1" t="s">
        <v>62</v>
      </c>
      <c r="M240" s="192"/>
      <c r="N240" s="192"/>
      <c r="O240" s="196">
        <v>70000</v>
      </c>
      <c r="P240" s="196"/>
      <c r="Q240" s="196">
        <f t="shared" si="67"/>
        <v>16550</v>
      </c>
      <c r="R240" s="203">
        <f t="shared" si="68"/>
        <v>86550</v>
      </c>
      <c r="S240" s="203">
        <v>45775</v>
      </c>
      <c r="T240" s="217">
        <f t="shared" si="69"/>
        <v>40775</v>
      </c>
      <c r="V240" s="40"/>
      <c r="W240" s="40" t="s">
        <v>262</v>
      </c>
      <c r="X240" s="43"/>
      <c r="Y240" s="35"/>
    </row>
    <row r="241" spans="1:25" x14ac:dyDescent="0.3">
      <c r="A241" s="85" t="s">
        <v>639</v>
      </c>
      <c r="B241" s="64" t="s">
        <v>931</v>
      </c>
      <c r="C241" s="179">
        <v>45152</v>
      </c>
      <c r="D241" s="38">
        <v>45243</v>
      </c>
      <c r="E241" s="6">
        <v>45517</v>
      </c>
      <c r="F241" s="1" t="s">
        <v>830</v>
      </c>
      <c r="G241" s="1" t="s">
        <v>830</v>
      </c>
      <c r="H241" s="8" t="s">
        <v>646</v>
      </c>
      <c r="I241" s="64" t="s">
        <v>932</v>
      </c>
      <c r="J241" s="1" t="s">
        <v>38</v>
      </c>
      <c r="K241" s="1" t="s">
        <v>933</v>
      </c>
      <c r="L241" s="1" t="s">
        <v>62</v>
      </c>
      <c r="M241" s="192"/>
      <c r="N241" s="192"/>
      <c r="O241" s="196">
        <v>85000</v>
      </c>
      <c r="P241" s="196"/>
      <c r="Q241" s="196">
        <f t="shared" si="67"/>
        <v>19025</v>
      </c>
      <c r="R241" s="203">
        <f t="shared" si="68"/>
        <v>104025</v>
      </c>
      <c r="S241" s="203">
        <f>54512.5+49512.5</f>
        <v>104025</v>
      </c>
      <c r="T241" s="217">
        <f>R241-S241</f>
        <v>0</v>
      </c>
      <c r="V241" s="40"/>
      <c r="W241" s="40" t="s">
        <v>262</v>
      </c>
      <c r="X241" s="43"/>
      <c r="Y241" s="35"/>
    </row>
    <row r="242" spans="1:25" x14ac:dyDescent="0.3">
      <c r="A242" s="85" t="s">
        <v>638</v>
      </c>
      <c r="B242" s="64" t="s">
        <v>926</v>
      </c>
      <c r="C242" s="179">
        <v>45154</v>
      </c>
      <c r="D242" s="38">
        <v>45245</v>
      </c>
      <c r="E242" s="6"/>
      <c r="F242" s="1" t="s">
        <v>620</v>
      </c>
      <c r="G242" s="1" t="s">
        <v>620</v>
      </c>
      <c r="H242" s="8" t="s">
        <v>621</v>
      </c>
      <c r="I242" s="64" t="s">
        <v>622</v>
      </c>
      <c r="J242" s="1" t="s">
        <v>38</v>
      </c>
      <c r="K242" s="1" t="s">
        <v>305</v>
      </c>
      <c r="L242" s="1" t="s">
        <v>511</v>
      </c>
      <c r="M242" s="192">
        <v>3000000</v>
      </c>
      <c r="N242" s="192">
        <v>0.05</v>
      </c>
      <c r="O242" s="196">
        <f>M242*N242</f>
        <v>150000</v>
      </c>
      <c r="P242" s="196"/>
      <c r="Q242" s="196">
        <f t="shared" si="67"/>
        <v>29750</v>
      </c>
      <c r="R242" s="203">
        <f t="shared" si="68"/>
        <v>179750</v>
      </c>
      <c r="S242" s="203">
        <v>97375</v>
      </c>
      <c r="T242" s="217">
        <f t="shared" si="69"/>
        <v>82375</v>
      </c>
      <c r="V242" s="40"/>
      <c r="W242" s="40" t="s">
        <v>262</v>
      </c>
      <c r="X242" s="43"/>
      <c r="Y242" s="35"/>
    </row>
    <row r="243" spans="1:25" x14ac:dyDescent="0.3">
      <c r="A243" s="85" t="s">
        <v>638</v>
      </c>
      <c r="B243" s="64" t="s">
        <v>1009</v>
      </c>
      <c r="C243" s="179">
        <v>45155</v>
      </c>
      <c r="D243" s="38">
        <v>45246</v>
      </c>
      <c r="E243" s="6"/>
      <c r="F243" s="1" t="s">
        <v>356</v>
      </c>
      <c r="G243" s="1" t="s">
        <v>356</v>
      </c>
      <c r="H243" s="8"/>
      <c r="I243" s="64" t="s">
        <v>1010</v>
      </c>
      <c r="J243" s="1" t="s">
        <v>38</v>
      </c>
      <c r="K243" s="1" t="s">
        <v>1011</v>
      </c>
      <c r="L243" s="1" t="s">
        <v>62</v>
      </c>
      <c r="M243" s="192"/>
      <c r="N243" s="192"/>
      <c r="O243" s="196">
        <v>70000</v>
      </c>
      <c r="P243" s="196"/>
      <c r="Q243" s="196">
        <f t="shared" si="67"/>
        <v>16550</v>
      </c>
      <c r="R243" s="203">
        <f t="shared" si="68"/>
        <v>86550</v>
      </c>
      <c r="S243" s="203">
        <v>50000</v>
      </c>
      <c r="T243" s="217">
        <f t="shared" si="69"/>
        <v>36550</v>
      </c>
      <c r="V243" s="40"/>
      <c r="W243" s="40"/>
      <c r="X243" s="43"/>
      <c r="Y243" s="35"/>
    </row>
    <row r="244" spans="1:25" x14ac:dyDescent="0.3">
      <c r="A244" s="85" t="s">
        <v>189</v>
      </c>
      <c r="B244" s="64" t="s">
        <v>982</v>
      </c>
      <c r="C244" s="179">
        <v>45155</v>
      </c>
      <c r="D244" s="38">
        <v>45246</v>
      </c>
      <c r="E244" s="6"/>
      <c r="F244" s="1" t="s">
        <v>357</v>
      </c>
      <c r="G244" s="1" t="s">
        <v>357</v>
      </c>
      <c r="H244" s="8"/>
      <c r="I244" s="64" t="s">
        <v>624</v>
      </c>
      <c r="J244" s="1" t="s">
        <v>38</v>
      </c>
      <c r="K244" s="1" t="s">
        <v>625</v>
      </c>
      <c r="L244" s="1" t="s">
        <v>62</v>
      </c>
      <c r="M244" s="192"/>
      <c r="N244" s="192"/>
      <c r="O244" s="196">
        <v>70000</v>
      </c>
      <c r="P244" s="196"/>
      <c r="Q244" s="196">
        <f t="shared" si="67"/>
        <v>16550</v>
      </c>
      <c r="R244" s="203">
        <f t="shared" si="68"/>
        <v>86550</v>
      </c>
      <c r="S244" s="203">
        <v>50000</v>
      </c>
      <c r="T244" s="217">
        <f t="shared" si="69"/>
        <v>36550</v>
      </c>
      <c r="V244" s="40"/>
      <c r="W244" s="40" t="s">
        <v>262</v>
      </c>
      <c r="X244" s="43"/>
      <c r="Y244" s="35"/>
    </row>
    <row r="245" spans="1:25" x14ac:dyDescent="0.3">
      <c r="A245" s="85" t="s">
        <v>189</v>
      </c>
      <c r="B245" s="64" t="s">
        <v>947</v>
      </c>
      <c r="C245" s="179">
        <v>45156</v>
      </c>
      <c r="D245" s="38">
        <v>45247</v>
      </c>
      <c r="E245" s="6"/>
      <c r="F245" s="1" t="s">
        <v>948</v>
      </c>
      <c r="G245" s="1" t="s">
        <v>948</v>
      </c>
      <c r="H245" s="8"/>
      <c r="I245" s="64" t="s">
        <v>607</v>
      </c>
      <c r="J245" s="1" t="s">
        <v>38</v>
      </c>
      <c r="K245" s="1" t="s">
        <v>866</v>
      </c>
      <c r="L245" s="1" t="s">
        <v>511</v>
      </c>
      <c r="M245" s="192">
        <v>3000000</v>
      </c>
      <c r="N245" s="192"/>
      <c r="O245" s="196">
        <v>150000</v>
      </c>
      <c r="P245" s="196"/>
      <c r="Q245" s="196">
        <f t="shared" si="67"/>
        <v>29750</v>
      </c>
      <c r="R245" s="203">
        <f t="shared" si="68"/>
        <v>179750</v>
      </c>
      <c r="S245" s="203"/>
      <c r="T245" s="217"/>
      <c r="V245" s="40"/>
      <c r="W245" s="40" t="s">
        <v>262</v>
      </c>
      <c r="X245" s="43"/>
      <c r="Y245" s="35"/>
    </row>
    <row r="246" spans="1:25" x14ac:dyDescent="0.3">
      <c r="A246" s="85" t="s">
        <v>639</v>
      </c>
      <c r="B246" s="64" t="s">
        <v>975</v>
      </c>
      <c r="C246" s="179">
        <v>45157</v>
      </c>
      <c r="D246" s="38"/>
      <c r="E246" s="6">
        <v>45522</v>
      </c>
      <c r="F246" s="1" t="s">
        <v>549</v>
      </c>
      <c r="G246" s="1" t="s">
        <v>549</v>
      </c>
      <c r="H246" s="8"/>
      <c r="I246" s="64" t="s">
        <v>976</v>
      </c>
      <c r="J246" s="1" t="s">
        <v>38</v>
      </c>
      <c r="K246" s="1" t="s">
        <v>360</v>
      </c>
      <c r="L246" s="1" t="s">
        <v>62</v>
      </c>
      <c r="M246" s="192"/>
      <c r="N246" s="192"/>
      <c r="O246" s="196">
        <v>70000</v>
      </c>
      <c r="P246" s="196"/>
      <c r="Q246" s="196">
        <f t="shared" si="67"/>
        <v>16550</v>
      </c>
      <c r="R246" s="203">
        <f t="shared" si="68"/>
        <v>86550</v>
      </c>
      <c r="S246" s="203">
        <v>86550</v>
      </c>
      <c r="T246" s="217">
        <f t="shared" ref="T246:T252" si="70">R246-S246</f>
        <v>0</v>
      </c>
      <c r="V246" s="40"/>
      <c r="W246" s="40" t="s">
        <v>262</v>
      </c>
      <c r="X246" s="43"/>
      <c r="Y246" s="35"/>
    </row>
    <row r="247" spans="1:25" x14ac:dyDescent="0.3">
      <c r="A247" s="85" t="s">
        <v>189</v>
      </c>
      <c r="B247" s="64" t="s">
        <v>977</v>
      </c>
      <c r="C247" s="179">
        <v>45159</v>
      </c>
      <c r="D247" s="38"/>
      <c r="E247" s="6">
        <v>45524</v>
      </c>
      <c r="F247" s="1" t="s">
        <v>978</v>
      </c>
      <c r="G247" s="1" t="s">
        <v>979</v>
      </c>
      <c r="H247" s="8"/>
      <c r="I247" s="64" t="s">
        <v>980</v>
      </c>
      <c r="J247" s="1" t="s">
        <v>39</v>
      </c>
      <c r="K247" s="1" t="s">
        <v>981</v>
      </c>
      <c r="L247" s="1" t="s">
        <v>62</v>
      </c>
      <c r="M247" s="192"/>
      <c r="N247" s="192"/>
      <c r="O247" s="196">
        <v>150000</v>
      </c>
      <c r="P247" s="196"/>
      <c r="Q247" s="196">
        <f t="shared" si="67"/>
        <v>29750</v>
      </c>
      <c r="R247" s="203">
        <f t="shared" si="68"/>
        <v>179750</v>
      </c>
      <c r="S247" s="203">
        <v>179750</v>
      </c>
      <c r="T247" s="217">
        <f t="shared" si="70"/>
        <v>0</v>
      </c>
      <c r="V247" s="40"/>
      <c r="W247" s="40" t="s">
        <v>262</v>
      </c>
      <c r="X247" s="43"/>
      <c r="Y247" s="35"/>
    </row>
    <row r="248" spans="1:25" x14ac:dyDescent="0.3">
      <c r="A248" s="85" t="s">
        <v>638</v>
      </c>
      <c r="B248" s="64" t="s">
        <v>965</v>
      </c>
      <c r="C248" s="179">
        <v>45166</v>
      </c>
      <c r="D248" s="38">
        <v>45257</v>
      </c>
      <c r="E248" s="6"/>
      <c r="F248" s="1" t="s">
        <v>966</v>
      </c>
      <c r="G248" s="1" t="s">
        <v>966</v>
      </c>
      <c r="H248" s="8" t="s">
        <v>967</v>
      </c>
      <c r="I248" s="64" t="s">
        <v>968</v>
      </c>
      <c r="J248" s="1" t="s">
        <v>38</v>
      </c>
      <c r="K248" s="1" t="s">
        <v>969</v>
      </c>
      <c r="L248" s="1" t="s">
        <v>62</v>
      </c>
      <c r="M248" s="192"/>
      <c r="N248" s="192"/>
      <c r="O248" s="196">
        <v>85000</v>
      </c>
      <c r="P248" s="196"/>
      <c r="Q248" s="196">
        <f t="shared" si="67"/>
        <v>19025</v>
      </c>
      <c r="R248" s="203">
        <f t="shared" si="68"/>
        <v>104025</v>
      </c>
      <c r="S248" s="203">
        <v>55000</v>
      </c>
      <c r="T248" s="217">
        <f t="shared" si="70"/>
        <v>49025</v>
      </c>
      <c r="V248" s="40"/>
      <c r="W248" s="40" t="s">
        <v>339</v>
      </c>
      <c r="X248" s="43"/>
      <c r="Y248" s="35"/>
    </row>
    <row r="249" spans="1:25" x14ac:dyDescent="0.3">
      <c r="A249" s="85" t="s">
        <v>638</v>
      </c>
      <c r="B249" s="64" t="s">
        <v>1008</v>
      </c>
      <c r="C249" s="179">
        <v>45175</v>
      </c>
      <c r="D249" s="38">
        <v>45265</v>
      </c>
      <c r="E249" s="6"/>
      <c r="F249" s="1" t="s">
        <v>615</v>
      </c>
      <c r="G249" s="1" t="s">
        <v>615</v>
      </c>
      <c r="H249" s="8"/>
      <c r="I249" s="64" t="s">
        <v>616</v>
      </c>
      <c r="J249" s="1" t="s">
        <v>38</v>
      </c>
      <c r="K249" s="1" t="s">
        <v>617</v>
      </c>
      <c r="L249" s="1" t="s">
        <v>62</v>
      </c>
      <c r="M249" s="192"/>
      <c r="N249" s="192"/>
      <c r="O249" s="196">
        <v>70000</v>
      </c>
      <c r="P249" s="196"/>
      <c r="Q249" s="196">
        <f t="shared" ref="Q249:Q260" si="71">O249*16.5%+5000</f>
        <v>16550</v>
      </c>
      <c r="R249" s="203">
        <f t="shared" ref="R249:R250" si="72">SUM(O249:Q249)</f>
        <v>86550</v>
      </c>
      <c r="S249" s="203">
        <v>45775</v>
      </c>
      <c r="T249" s="217">
        <f t="shared" si="70"/>
        <v>40775</v>
      </c>
      <c r="V249" s="40"/>
      <c r="W249" s="40"/>
      <c r="X249" s="43"/>
      <c r="Y249" s="35"/>
    </row>
    <row r="250" spans="1:25" x14ac:dyDescent="0.3">
      <c r="A250" s="85" t="s">
        <v>637</v>
      </c>
      <c r="B250" s="64" t="s">
        <v>1012</v>
      </c>
      <c r="C250" s="179">
        <v>45177</v>
      </c>
      <c r="D250" s="38"/>
      <c r="E250" s="6">
        <v>45542</v>
      </c>
      <c r="F250" s="1" t="s">
        <v>336</v>
      </c>
      <c r="G250" s="1" t="s">
        <v>336</v>
      </c>
      <c r="H250" s="8"/>
      <c r="I250" s="64" t="s">
        <v>999</v>
      </c>
      <c r="J250" s="1" t="s">
        <v>38</v>
      </c>
      <c r="K250" s="1" t="s">
        <v>1000</v>
      </c>
      <c r="L250" s="1" t="s">
        <v>62</v>
      </c>
      <c r="M250" s="192"/>
      <c r="N250" s="192"/>
      <c r="O250" s="196">
        <v>150000</v>
      </c>
      <c r="P250" s="196"/>
      <c r="Q250" s="196">
        <f t="shared" si="71"/>
        <v>29750</v>
      </c>
      <c r="R250" s="203">
        <f t="shared" si="72"/>
        <v>179750</v>
      </c>
      <c r="S250" s="203">
        <v>74900</v>
      </c>
      <c r="T250" s="217">
        <f t="shared" si="70"/>
        <v>104850</v>
      </c>
      <c r="V250" s="40"/>
      <c r="W250" s="40" t="s">
        <v>262</v>
      </c>
      <c r="X250" s="43"/>
      <c r="Y250" s="35"/>
    </row>
    <row r="251" spans="1:25" x14ac:dyDescent="0.3">
      <c r="A251" s="85" t="s">
        <v>638</v>
      </c>
      <c r="B251" s="64" t="s">
        <v>1005</v>
      </c>
      <c r="C251" s="179">
        <v>45180</v>
      </c>
      <c r="D251" s="38">
        <v>45270</v>
      </c>
      <c r="E251" s="6"/>
      <c r="F251" s="1" t="s">
        <v>1006</v>
      </c>
      <c r="G251" s="1" t="s">
        <v>1006</v>
      </c>
      <c r="H251" s="8"/>
      <c r="I251" s="64" t="s">
        <v>1007</v>
      </c>
      <c r="J251" s="1" t="s">
        <v>39</v>
      </c>
      <c r="K251" s="1" t="s">
        <v>224</v>
      </c>
      <c r="L251" s="1" t="s">
        <v>62</v>
      </c>
      <c r="M251" s="192"/>
      <c r="N251" s="192"/>
      <c r="O251" s="196">
        <v>121500</v>
      </c>
      <c r="P251" s="196"/>
      <c r="Q251" s="196">
        <f t="shared" si="71"/>
        <v>25047.5</v>
      </c>
      <c r="R251" s="203">
        <f t="shared" ref="R251:R260" si="73">SUM(O251:Q251)</f>
        <v>146547.5</v>
      </c>
      <c r="S251" s="203">
        <v>60000</v>
      </c>
      <c r="T251" s="217">
        <f t="shared" si="70"/>
        <v>86547.5</v>
      </c>
      <c r="V251" s="40"/>
      <c r="W251" s="40" t="s">
        <v>339</v>
      </c>
      <c r="X251" s="43"/>
      <c r="Y251" s="35"/>
    </row>
    <row r="252" spans="1:25" x14ac:dyDescent="0.3">
      <c r="A252" s="85" t="s">
        <v>639</v>
      </c>
      <c r="B252" s="64" t="s">
        <v>990</v>
      </c>
      <c r="C252" s="179">
        <v>45182</v>
      </c>
      <c r="D252" s="38"/>
      <c r="E252" s="6">
        <v>45547</v>
      </c>
      <c r="F252" s="1" t="s">
        <v>830</v>
      </c>
      <c r="G252" s="1" t="s">
        <v>830</v>
      </c>
      <c r="H252" s="8" t="s">
        <v>646</v>
      </c>
      <c r="I252" s="64" t="s">
        <v>633</v>
      </c>
      <c r="J252" s="1" t="s">
        <v>38</v>
      </c>
      <c r="K252" s="1" t="s">
        <v>634</v>
      </c>
      <c r="L252" s="1" t="s">
        <v>62</v>
      </c>
      <c r="M252" s="192">
        <v>18000000</v>
      </c>
      <c r="N252" s="192"/>
      <c r="O252" s="196">
        <v>70000</v>
      </c>
      <c r="P252" s="196"/>
      <c r="Q252" s="196">
        <f t="shared" si="71"/>
        <v>16550</v>
      </c>
      <c r="R252" s="203">
        <f t="shared" si="73"/>
        <v>86550</v>
      </c>
      <c r="S252" s="203">
        <v>86550</v>
      </c>
      <c r="T252" s="217">
        <f t="shared" si="70"/>
        <v>0</v>
      </c>
      <c r="V252" s="40"/>
      <c r="W252" s="40" t="s">
        <v>339</v>
      </c>
      <c r="X252" s="43"/>
      <c r="Y252" s="35"/>
    </row>
    <row r="253" spans="1:25" x14ac:dyDescent="0.3">
      <c r="A253" s="85" t="s">
        <v>638</v>
      </c>
      <c r="B253" s="64" t="s">
        <v>1001</v>
      </c>
      <c r="C253" s="179">
        <v>45184</v>
      </c>
      <c r="D253" s="38">
        <v>45274</v>
      </c>
      <c r="E253" s="6"/>
      <c r="F253" s="1" t="s">
        <v>421</v>
      </c>
      <c r="G253" s="1" t="s">
        <v>421</v>
      </c>
      <c r="H253" s="8"/>
      <c r="I253" s="64" t="s">
        <v>643</v>
      </c>
      <c r="J253" s="1" t="s">
        <v>38</v>
      </c>
      <c r="K253" s="1" t="s">
        <v>1002</v>
      </c>
      <c r="L253" s="1" t="s">
        <v>1003</v>
      </c>
      <c r="M253" s="192">
        <v>30600000</v>
      </c>
      <c r="N253" s="192">
        <v>0.05</v>
      </c>
      <c r="O253" s="196">
        <f>N253*M253</f>
        <v>1530000</v>
      </c>
      <c r="P253" s="196"/>
      <c r="Q253" s="196">
        <f t="shared" si="71"/>
        <v>257450</v>
      </c>
      <c r="R253" s="203">
        <f t="shared" si="73"/>
        <v>1787450</v>
      </c>
      <c r="S253" s="203">
        <v>500000</v>
      </c>
      <c r="T253" s="217">
        <f t="shared" ref="T253:T254" si="74">R253-S253</f>
        <v>1287450</v>
      </c>
      <c r="V253" s="40"/>
      <c r="W253" s="40" t="s">
        <v>1004</v>
      </c>
      <c r="X253" s="43"/>
      <c r="Y253" s="35"/>
    </row>
    <row r="254" spans="1:25" x14ac:dyDescent="0.3">
      <c r="A254" s="85" t="s">
        <v>637</v>
      </c>
      <c r="B254" s="64" t="s">
        <v>1014</v>
      </c>
      <c r="C254" s="179">
        <v>45184</v>
      </c>
      <c r="D254" s="38"/>
      <c r="E254" s="6">
        <v>45549</v>
      </c>
      <c r="F254" s="1" t="s">
        <v>303</v>
      </c>
      <c r="G254" s="1" t="s">
        <v>303</v>
      </c>
      <c r="H254" s="8" t="s">
        <v>675</v>
      </c>
      <c r="I254" s="64" t="s">
        <v>1015</v>
      </c>
      <c r="J254" s="1" t="s">
        <v>38</v>
      </c>
      <c r="K254" s="1" t="s">
        <v>19</v>
      </c>
      <c r="L254" s="1" t="s">
        <v>62</v>
      </c>
      <c r="M254" s="192"/>
      <c r="N254" s="192"/>
      <c r="O254" s="196">
        <v>70000</v>
      </c>
      <c r="P254" s="196"/>
      <c r="Q254" s="196">
        <f t="shared" si="71"/>
        <v>16550</v>
      </c>
      <c r="R254" s="203">
        <f t="shared" si="73"/>
        <v>86550</v>
      </c>
      <c r="S254" s="203">
        <v>86550</v>
      </c>
      <c r="T254" s="217">
        <f t="shared" si="74"/>
        <v>0</v>
      </c>
      <c r="V254" s="40"/>
      <c r="W254" s="40" t="s">
        <v>262</v>
      </c>
      <c r="X254" s="43"/>
      <c r="Y254" s="35"/>
    </row>
    <row r="255" spans="1:25" x14ac:dyDescent="0.3">
      <c r="A255" s="85" t="s">
        <v>637</v>
      </c>
      <c r="B255" s="64" t="s">
        <v>1013</v>
      </c>
      <c r="C255" s="179">
        <v>45190</v>
      </c>
      <c r="D255" s="38">
        <v>45280</v>
      </c>
      <c r="E255" s="6"/>
      <c r="F255" s="1" t="s">
        <v>655</v>
      </c>
      <c r="G255" s="1" t="s">
        <v>655</v>
      </c>
      <c r="H255" s="8"/>
      <c r="I255" s="64" t="s">
        <v>657</v>
      </c>
      <c r="J255" s="1" t="s">
        <v>38</v>
      </c>
      <c r="K255" s="1" t="s">
        <v>451</v>
      </c>
      <c r="L255" s="1" t="s">
        <v>1003</v>
      </c>
      <c r="M255" s="192">
        <v>3000000</v>
      </c>
      <c r="N255" s="192">
        <v>0.06</v>
      </c>
      <c r="O255" s="196">
        <f>N255*M255</f>
        <v>180000</v>
      </c>
      <c r="P255" s="196"/>
      <c r="Q255" s="196">
        <f t="shared" si="71"/>
        <v>34700</v>
      </c>
      <c r="R255" s="203">
        <f t="shared" si="73"/>
        <v>214700</v>
      </c>
      <c r="S255" s="203">
        <v>109850</v>
      </c>
      <c r="T255" s="217">
        <f t="shared" ref="T255:T260" si="75">R255-S255</f>
        <v>104850</v>
      </c>
      <c r="V255" s="40"/>
      <c r="W255" s="40"/>
      <c r="X255" s="43"/>
      <c r="Y255" s="35"/>
    </row>
    <row r="256" spans="1:25" x14ac:dyDescent="0.3">
      <c r="A256" s="85" t="s">
        <v>638</v>
      </c>
      <c r="B256" s="64" t="s">
        <v>1020</v>
      </c>
      <c r="C256" s="179">
        <v>45190</v>
      </c>
      <c r="D256" s="38">
        <v>45280</v>
      </c>
      <c r="E256" s="6"/>
      <c r="F256" s="1" t="s">
        <v>1021</v>
      </c>
      <c r="G256" s="1" t="s">
        <v>1021</v>
      </c>
      <c r="H256" s="8" t="s">
        <v>1022</v>
      </c>
      <c r="I256" s="64" t="s">
        <v>1023</v>
      </c>
      <c r="J256" s="1" t="s">
        <v>38</v>
      </c>
      <c r="K256" s="1" t="s">
        <v>305</v>
      </c>
      <c r="L256" s="1" t="s">
        <v>62</v>
      </c>
      <c r="M256" s="196"/>
      <c r="N256" s="192"/>
      <c r="O256" s="196">
        <v>70000</v>
      </c>
      <c r="P256" s="196"/>
      <c r="Q256" s="196">
        <f t="shared" si="71"/>
        <v>16550</v>
      </c>
      <c r="R256" s="203">
        <f t="shared" si="73"/>
        <v>86550</v>
      </c>
      <c r="S256" s="203">
        <v>45775</v>
      </c>
      <c r="T256" s="217">
        <f t="shared" si="75"/>
        <v>40775</v>
      </c>
      <c r="V256" s="40"/>
      <c r="W256" s="40" t="s">
        <v>262</v>
      </c>
      <c r="X256" s="43"/>
      <c r="Y256" s="35"/>
    </row>
    <row r="257" spans="1:26" x14ac:dyDescent="0.3">
      <c r="A257" s="85" t="s">
        <v>190</v>
      </c>
      <c r="B257" s="64" t="s">
        <v>1029</v>
      </c>
      <c r="C257" s="179">
        <v>45190</v>
      </c>
      <c r="D257" s="38">
        <v>45646</v>
      </c>
      <c r="E257" s="6"/>
      <c r="F257" s="1" t="s">
        <v>847</v>
      </c>
      <c r="G257" s="1" t="s">
        <v>847</v>
      </c>
      <c r="H257" s="8"/>
      <c r="I257" s="64" t="s">
        <v>1030</v>
      </c>
      <c r="J257" s="1" t="s">
        <v>39</v>
      </c>
      <c r="K257" s="1" t="s">
        <v>1030</v>
      </c>
      <c r="L257" s="1" t="s">
        <v>1003</v>
      </c>
      <c r="M257" s="196">
        <v>3500000</v>
      </c>
      <c r="N257" s="192">
        <v>0.06</v>
      </c>
      <c r="O257" s="196">
        <f>M257*N257</f>
        <v>210000</v>
      </c>
      <c r="P257" s="196"/>
      <c r="Q257" s="196">
        <f t="shared" si="71"/>
        <v>39650</v>
      </c>
      <c r="R257" s="203">
        <f t="shared" si="73"/>
        <v>249650</v>
      </c>
      <c r="S257" s="203">
        <v>130000</v>
      </c>
      <c r="T257" s="217">
        <f t="shared" si="75"/>
        <v>119650</v>
      </c>
      <c r="V257" s="40"/>
      <c r="W257" s="40" t="s">
        <v>262</v>
      </c>
      <c r="X257" s="43"/>
      <c r="Y257" s="35"/>
    </row>
    <row r="258" spans="1:26" x14ac:dyDescent="0.3">
      <c r="A258" s="85" t="s">
        <v>1024</v>
      </c>
      <c r="B258" s="64" t="s">
        <v>1025</v>
      </c>
      <c r="C258" s="179">
        <v>45196</v>
      </c>
      <c r="D258" s="38">
        <v>45286</v>
      </c>
      <c r="E258" s="6"/>
      <c r="F258" s="1" t="s">
        <v>1026</v>
      </c>
      <c r="G258" s="1" t="s">
        <v>1026</v>
      </c>
      <c r="H258" s="8"/>
      <c r="I258" s="64" t="s">
        <v>1027</v>
      </c>
      <c r="J258" s="1" t="s">
        <v>38</v>
      </c>
      <c r="K258" s="1" t="s">
        <v>1028</v>
      </c>
      <c r="L258" s="1" t="s">
        <v>62</v>
      </c>
      <c r="M258" s="196"/>
      <c r="N258" s="192"/>
      <c r="O258" s="196">
        <v>200000</v>
      </c>
      <c r="P258" s="196"/>
      <c r="Q258" s="196">
        <f t="shared" si="71"/>
        <v>38000</v>
      </c>
      <c r="R258" s="203">
        <f t="shared" si="73"/>
        <v>238000</v>
      </c>
      <c r="S258" s="203">
        <v>306000</v>
      </c>
      <c r="T258" s="217">
        <f t="shared" si="75"/>
        <v>-68000</v>
      </c>
      <c r="V258" s="40"/>
      <c r="W258" s="40" t="s">
        <v>453</v>
      </c>
      <c r="X258" s="43"/>
      <c r="Y258" s="35"/>
    </row>
    <row r="259" spans="1:26" x14ac:dyDescent="0.3">
      <c r="A259" s="85" t="s">
        <v>638</v>
      </c>
      <c r="B259" s="64" t="s">
        <v>1044</v>
      </c>
      <c r="C259" s="179">
        <v>45197</v>
      </c>
      <c r="D259" s="38">
        <v>45287</v>
      </c>
      <c r="E259" s="6"/>
      <c r="F259" s="1" t="s">
        <v>1045</v>
      </c>
      <c r="G259" s="1" t="s">
        <v>1045</v>
      </c>
      <c r="H259" s="8" t="s">
        <v>475</v>
      </c>
      <c r="I259" s="64" t="s">
        <v>1046</v>
      </c>
      <c r="J259" s="1" t="s">
        <v>38</v>
      </c>
      <c r="K259" s="1" t="s">
        <v>71</v>
      </c>
      <c r="L259" s="1" t="s">
        <v>62</v>
      </c>
      <c r="M259" s="196"/>
      <c r="N259" s="192"/>
      <c r="O259" s="196">
        <v>70000</v>
      </c>
      <c r="P259" s="196"/>
      <c r="Q259" s="196">
        <f t="shared" si="71"/>
        <v>16550</v>
      </c>
      <c r="R259" s="203">
        <f t="shared" si="73"/>
        <v>86550</v>
      </c>
      <c r="S259" s="203">
        <v>45775</v>
      </c>
      <c r="T259" s="217">
        <f t="shared" si="75"/>
        <v>40775</v>
      </c>
      <c r="V259" s="40"/>
      <c r="W259" s="40" t="s">
        <v>339</v>
      </c>
      <c r="X259" s="43"/>
      <c r="Y259" s="35"/>
    </row>
    <row r="260" spans="1:26" x14ac:dyDescent="0.3">
      <c r="A260" s="85" t="s">
        <v>639</v>
      </c>
      <c r="B260" s="64" t="s">
        <v>1031</v>
      </c>
      <c r="C260" s="179">
        <v>45198</v>
      </c>
      <c r="D260" s="38">
        <v>45288</v>
      </c>
      <c r="E260" s="6"/>
      <c r="F260" s="1" t="s">
        <v>1032</v>
      </c>
      <c r="G260" s="1" t="s">
        <v>1032</v>
      </c>
      <c r="H260" s="8"/>
      <c r="I260" s="64" t="s">
        <v>1033</v>
      </c>
      <c r="J260" s="1" t="s">
        <v>38</v>
      </c>
      <c r="K260" s="1" t="s">
        <v>1034</v>
      </c>
      <c r="L260" s="1" t="s">
        <v>62</v>
      </c>
      <c r="M260" s="196">
        <v>8000000</v>
      </c>
      <c r="N260" s="192"/>
      <c r="O260" s="196">
        <v>70000</v>
      </c>
      <c r="P260" s="196"/>
      <c r="Q260" s="196">
        <f t="shared" si="71"/>
        <v>16550</v>
      </c>
      <c r="R260" s="203">
        <f t="shared" si="73"/>
        <v>86550</v>
      </c>
      <c r="S260" s="203">
        <v>45775</v>
      </c>
      <c r="T260" s="217">
        <f t="shared" si="75"/>
        <v>40775</v>
      </c>
      <c r="V260" s="40"/>
      <c r="W260" s="40" t="s">
        <v>1004</v>
      </c>
      <c r="X260" s="43"/>
      <c r="Y260" s="35"/>
    </row>
    <row r="261" spans="1:26" x14ac:dyDescent="0.3">
      <c r="A261" s="85" t="s">
        <v>638</v>
      </c>
      <c r="B261" s="64" t="s">
        <v>1035</v>
      </c>
      <c r="C261" s="179">
        <v>45202</v>
      </c>
      <c r="D261" s="38">
        <v>45293</v>
      </c>
      <c r="E261" s="6"/>
      <c r="F261" s="1" t="s">
        <v>1036</v>
      </c>
      <c r="G261" s="1" t="s">
        <v>1036</v>
      </c>
      <c r="H261" s="8" t="s">
        <v>1037</v>
      </c>
      <c r="I261" s="64" t="s">
        <v>1038</v>
      </c>
      <c r="J261" s="1" t="s">
        <v>38</v>
      </c>
      <c r="K261" s="1" t="s">
        <v>538</v>
      </c>
      <c r="L261" s="1" t="s">
        <v>62</v>
      </c>
      <c r="M261" s="196">
        <v>4500000</v>
      </c>
      <c r="N261" s="192"/>
      <c r="O261" s="196">
        <v>70000</v>
      </c>
      <c r="P261" s="196"/>
      <c r="Q261" s="196">
        <f t="shared" ref="Q261:Q267" si="76">O261*16.5%+5000</f>
        <v>16550</v>
      </c>
      <c r="R261" s="203">
        <f t="shared" ref="R261:R267" si="77">SUM(O261:Q261)</f>
        <v>86550</v>
      </c>
      <c r="S261" s="203">
        <v>45775</v>
      </c>
      <c r="T261" s="217">
        <f>R261-S261</f>
        <v>40775</v>
      </c>
      <c r="V261" s="40"/>
      <c r="W261" s="40" t="s">
        <v>262</v>
      </c>
      <c r="X261" s="43"/>
      <c r="Y261" s="35"/>
    </row>
    <row r="262" spans="1:26" x14ac:dyDescent="0.3">
      <c r="A262" s="85" t="s">
        <v>638</v>
      </c>
      <c r="B262" s="64" t="s">
        <v>1039</v>
      </c>
      <c r="C262" s="179">
        <v>45205</v>
      </c>
      <c r="D262" s="38">
        <v>45296</v>
      </c>
      <c r="E262" s="6"/>
      <c r="F262" s="1" t="s">
        <v>421</v>
      </c>
      <c r="G262" s="1" t="s">
        <v>421</v>
      </c>
      <c r="H262" s="8"/>
      <c r="I262" s="64" t="s">
        <v>1040</v>
      </c>
      <c r="J262" s="1" t="s">
        <v>38</v>
      </c>
      <c r="K262" s="1" t="s">
        <v>969</v>
      </c>
      <c r="L262" s="1" t="s">
        <v>62</v>
      </c>
      <c r="M262" s="196"/>
      <c r="N262" s="192"/>
      <c r="O262" s="196">
        <v>120000</v>
      </c>
      <c r="P262" s="196"/>
      <c r="Q262" s="196">
        <f t="shared" si="76"/>
        <v>24800</v>
      </c>
      <c r="R262" s="203">
        <f t="shared" si="77"/>
        <v>144800</v>
      </c>
      <c r="S262" s="203">
        <v>74900</v>
      </c>
      <c r="T262" s="217">
        <f>R262-S262</f>
        <v>69900</v>
      </c>
      <c r="V262" s="40"/>
      <c r="W262" s="40" t="s">
        <v>262</v>
      </c>
      <c r="X262" s="43"/>
      <c r="Y262" s="35"/>
    </row>
    <row r="263" spans="1:26" x14ac:dyDescent="0.3">
      <c r="A263" s="85" t="s">
        <v>1041</v>
      </c>
      <c r="B263" s="64" t="s">
        <v>1042</v>
      </c>
      <c r="C263" s="179">
        <v>45208</v>
      </c>
      <c r="D263" s="38">
        <v>45299</v>
      </c>
      <c r="E263" s="6"/>
      <c r="F263" s="1" t="s">
        <v>372</v>
      </c>
      <c r="G263" s="1" t="s">
        <v>372</v>
      </c>
      <c r="H263" s="8" t="s">
        <v>206</v>
      </c>
      <c r="I263" s="64" t="s">
        <v>1043</v>
      </c>
      <c r="J263" s="1" t="s">
        <v>38</v>
      </c>
      <c r="K263" s="1" t="s">
        <v>617</v>
      </c>
      <c r="L263" s="1" t="s">
        <v>62</v>
      </c>
      <c r="M263" s="196"/>
      <c r="N263" s="192"/>
      <c r="O263" s="196">
        <v>70000</v>
      </c>
      <c r="P263" s="196"/>
      <c r="Q263" s="196">
        <f t="shared" si="76"/>
        <v>16550</v>
      </c>
      <c r="R263" s="203">
        <f t="shared" si="77"/>
        <v>86550</v>
      </c>
      <c r="S263" s="203">
        <v>45000</v>
      </c>
      <c r="T263" s="217">
        <f>R263-S263</f>
        <v>41550</v>
      </c>
      <c r="V263" s="40"/>
      <c r="W263" s="40" t="s">
        <v>262</v>
      </c>
      <c r="X263" s="43"/>
      <c r="Y263" s="35"/>
    </row>
    <row r="264" spans="1:26" x14ac:dyDescent="0.3">
      <c r="A264" s="85" t="s">
        <v>1059</v>
      </c>
      <c r="B264" s="64" t="s">
        <v>1060</v>
      </c>
      <c r="C264" s="179">
        <v>45213</v>
      </c>
      <c r="D264" s="38">
        <v>45304</v>
      </c>
      <c r="E264" s="6"/>
      <c r="F264" s="1" t="s">
        <v>606</v>
      </c>
      <c r="G264" s="1" t="s">
        <v>606</v>
      </c>
      <c r="H264" s="8"/>
      <c r="I264" s="64" t="s">
        <v>1061</v>
      </c>
      <c r="J264" s="1" t="s">
        <v>39</v>
      </c>
      <c r="K264" s="1" t="s">
        <v>224</v>
      </c>
      <c r="L264" s="1" t="s">
        <v>511</v>
      </c>
      <c r="M264" s="196">
        <v>10000000</v>
      </c>
      <c r="N264" s="192">
        <v>0.06</v>
      </c>
      <c r="O264" s="196">
        <f>M264*N264</f>
        <v>600000</v>
      </c>
      <c r="P264" s="196"/>
      <c r="Q264" s="196">
        <f t="shared" si="76"/>
        <v>104000</v>
      </c>
      <c r="R264" s="203">
        <f t="shared" si="77"/>
        <v>704000</v>
      </c>
      <c r="S264" s="203">
        <v>355000</v>
      </c>
      <c r="T264" s="217">
        <f t="shared" ref="T264:T267" si="78">R264-S264</f>
        <v>349000</v>
      </c>
      <c r="V264" s="40"/>
      <c r="W264" s="40" t="s">
        <v>262</v>
      </c>
      <c r="X264" s="43"/>
      <c r="Y264" s="35"/>
    </row>
    <row r="265" spans="1:26" x14ac:dyDescent="0.3">
      <c r="A265" s="85" t="s">
        <v>638</v>
      </c>
      <c r="B265" s="64" t="s">
        <v>1062</v>
      </c>
      <c r="C265" s="179">
        <v>45218</v>
      </c>
      <c r="D265" s="38">
        <v>45309</v>
      </c>
      <c r="E265" s="6"/>
      <c r="F265" s="1" t="s">
        <v>1063</v>
      </c>
      <c r="G265" s="1" t="s">
        <v>1063</v>
      </c>
      <c r="H265" s="8" t="s">
        <v>1064</v>
      </c>
      <c r="I265" s="64" t="s">
        <v>1065</v>
      </c>
      <c r="J265" s="1" t="s">
        <v>38</v>
      </c>
      <c r="K265" s="1" t="s">
        <v>1066</v>
      </c>
      <c r="L265" s="1" t="s">
        <v>62</v>
      </c>
      <c r="M265" s="196">
        <v>3500000</v>
      </c>
      <c r="N265" s="192"/>
      <c r="O265" s="196">
        <v>70000</v>
      </c>
      <c r="P265" s="196"/>
      <c r="Q265" s="196">
        <f t="shared" si="76"/>
        <v>16550</v>
      </c>
      <c r="R265" s="203">
        <f t="shared" si="77"/>
        <v>86550</v>
      </c>
      <c r="S265" s="203">
        <v>45800</v>
      </c>
      <c r="T265" s="217">
        <f t="shared" si="78"/>
        <v>40750</v>
      </c>
      <c r="V265" s="40"/>
      <c r="W265" s="40"/>
      <c r="X265" s="43"/>
      <c r="Y265" s="35"/>
    </row>
    <row r="266" spans="1:26" x14ac:dyDescent="0.3">
      <c r="A266" s="85" t="s">
        <v>638</v>
      </c>
      <c r="B266" s="64" t="s">
        <v>701</v>
      </c>
      <c r="C266" s="179">
        <v>45229</v>
      </c>
      <c r="D266" s="38"/>
      <c r="E266" s="6">
        <v>45594</v>
      </c>
      <c r="F266" s="1" t="s">
        <v>702</v>
      </c>
      <c r="G266" s="1" t="str">
        <f t="shared" ref="G266:G271" si="79">F266</f>
        <v>Chindikani Munthali</v>
      </c>
      <c r="H266" s="8" t="s">
        <v>704</v>
      </c>
      <c r="I266" s="64" t="s">
        <v>703</v>
      </c>
      <c r="J266" s="1" t="s">
        <v>38</v>
      </c>
      <c r="K266" s="1" t="s">
        <v>866</v>
      </c>
      <c r="L266" s="1" t="s">
        <v>62</v>
      </c>
      <c r="M266" s="196"/>
      <c r="N266" s="192"/>
      <c r="O266" s="196">
        <v>70000</v>
      </c>
      <c r="P266" s="196"/>
      <c r="Q266" s="196">
        <f t="shared" si="76"/>
        <v>16550</v>
      </c>
      <c r="R266" s="203">
        <f t="shared" si="77"/>
        <v>86550</v>
      </c>
      <c r="S266" s="203">
        <v>86550</v>
      </c>
      <c r="T266" s="217">
        <f t="shared" si="78"/>
        <v>0</v>
      </c>
      <c r="V266" s="40"/>
      <c r="W266" s="40" t="s">
        <v>262</v>
      </c>
      <c r="X266" s="43"/>
      <c r="Y266" s="35"/>
    </row>
    <row r="267" spans="1:26" x14ac:dyDescent="0.3">
      <c r="A267" s="85" t="s">
        <v>638</v>
      </c>
      <c r="B267" s="64" t="s">
        <v>693</v>
      </c>
      <c r="C267" s="179">
        <v>45230</v>
      </c>
      <c r="D267" s="38">
        <v>45321</v>
      </c>
      <c r="E267" s="6"/>
      <c r="F267" s="1" t="s">
        <v>929</v>
      </c>
      <c r="G267" s="1" t="str">
        <f t="shared" si="79"/>
        <v>Allan T Banda</v>
      </c>
      <c r="H267" s="8" t="s">
        <v>286</v>
      </c>
      <c r="I267" s="64" t="s">
        <v>694</v>
      </c>
      <c r="J267" s="1" t="s">
        <v>38</v>
      </c>
      <c r="K267" s="1" t="s">
        <v>695</v>
      </c>
      <c r="L267" s="1" t="s">
        <v>511</v>
      </c>
      <c r="M267" s="196">
        <v>10000000</v>
      </c>
      <c r="N267" s="192">
        <v>0.05</v>
      </c>
      <c r="O267" s="196">
        <f>M267*N267</f>
        <v>500000</v>
      </c>
      <c r="P267" s="196"/>
      <c r="Q267" s="196">
        <f t="shared" si="76"/>
        <v>87500</v>
      </c>
      <c r="R267" s="203">
        <f t="shared" si="77"/>
        <v>587500</v>
      </c>
      <c r="S267" s="203">
        <v>300000</v>
      </c>
      <c r="T267" s="217">
        <f t="shared" si="78"/>
        <v>287500</v>
      </c>
      <c r="V267" s="40"/>
      <c r="W267" s="40" t="s">
        <v>453</v>
      </c>
      <c r="X267" s="43"/>
      <c r="Y267" s="35"/>
    </row>
    <row r="268" spans="1:26" s="158" customFormat="1" x14ac:dyDescent="0.3">
      <c r="A268" s="169" t="s">
        <v>1071</v>
      </c>
      <c r="B268" s="169" t="s">
        <v>1025</v>
      </c>
      <c r="C268" s="185">
        <v>45233</v>
      </c>
      <c r="D268" s="176">
        <v>45324</v>
      </c>
      <c r="E268" s="161"/>
      <c r="F268" s="169" t="s">
        <v>1026</v>
      </c>
      <c r="G268" s="158" t="str">
        <f t="shared" si="79"/>
        <v>Sella Jumbo</v>
      </c>
      <c r="H268" s="162" t="s">
        <v>276</v>
      </c>
      <c r="M268" s="164"/>
      <c r="N268" s="164"/>
      <c r="O268" s="164"/>
      <c r="P268" s="164"/>
      <c r="Q268" s="164"/>
      <c r="R268" s="208"/>
      <c r="S268" s="208"/>
      <c r="T268" s="224"/>
      <c r="U268" s="224"/>
      <c r="V268" s="164"/>
      <c r="W268" s="164"/>
      <c r="X268" s="164"/>
      <c r="Y268" s="159"/>
      <c r="Z268" s="160"/>
    </row>
    <row r="269" spans="1:26" x14ac:dyDescent="0.3">
      <c r="A269" s="85" t="s">
        <v>637</v>
      </c>
      <c r="B269" s="64" t="s">
        <v>1067</v>
      </c>
      <c r="C269" s="179">
        <v>45236</v>
      </c>
      <c r="D269" s="38">
        <v>45327</v>
      </c>
      <c r="E269" s="6"/>
      <c r="F269" s="1" t="s">
        <v>1068</v>
      </c>
      <c r="G269" s="1" t="str">
        <f t="shared" si="79"/>
        <v>Isaac Matsobane Gwangwa</v>
      </c>
      <c r="H269" s="8" t="s">
        <v>1069</v>
      </c>
      <c r="I269" s="64" t="s">
        <v>1070</v>
      </c>
      <c r="J269" s="1" t="s">
        <v>38</v>
      </c>
      <c r="K269" s="1" t="s">
        <v>799</v>
      </c>
      <c r="L269" s="1" t="s">
        <v>62</v>
      </c>
      <c r="M269" s="196">
        <v>25000000</v>
      </c>
      <c r="N269" s="192"/>
      <c r="O269" s="196">
        <v>70000</v>
      </c>
      <c r="P269" s="196"/>
      <c r="Q269" s="196">
        <f>O269*16.5%+5000</f>
        <v>16550</v>
      </c>
      <c r="R269" s="203">
        <f>SUM(O269:Q269)</f>
        <v>86550</v>
      </c>
      <c r="S269" s="203">
        <v>45775</v>
      </c>
      <c r="T269" s="217">
        <f>R269-S269</f>
        <v>40775</v>
      </c>
      <c r="V269" s="40"/>
      <c r="W269" s="40" t="s">
        <v>262</v>
      </c>
      <c r="X269" s="43"/>
      <c r="Y269" s="35"/>
    </row>
    <row r="270" spans="1:26" x14ac:dyDescent="0.3">
      <c r="A270" s="85" t="s">
        <v>190</v>
      </c>
      <c r="B270" s="64" t="s">
        <v>696</v>
      </c>
      <c r="C270" s="179">
        <v>45244</v>
      </c>
      <c r="D270" s="38"/>
      <c r="E270" s="6">
        <v>45609</v>
      </c>
      <c r="F270" s="1" t="s">
        <v>697</v>
      </c>
      <c r="G270" s="1" t="str">
        <f t="shared" si="79"/>
        <v>Stenford C Kusakala</v>
      </c>
      <c r="H270" s="8" t="s">
        <v>1072</v>
      </c>
      <c r="I270" s="64" t="s">
        <v>698</v>
      </c>
      <c r="J270" s="1" t="s">
        <v>38</v>
      </c>
      <c r="K270" s="1" t="s">
        <v>542</v>
      </c>
      <c r="L270" s="1" t="s">
        <v>62</v>
      </c>
      <c r="M270" s="196"/>
      <c r="N270" s="192"/>
      <c r="O270" s="196">
        <v>70000</v>
      </c>
      <c r="P270" s="196"/>
      <c r="Q270" s="196">
        <f>O270*16.5%+5000</f>
        <v>16550</v>
      </c>
      <c r="R270" s="203">
        <f>SUM(O270:Q270)</f>
        <v>86550</v>
      </c>
      <c r="S270" s="203">
        <v>86550</v>
      </c>
      <c r="T270" s="217">
        <f>R270-S270</f>
        <v>0</v>
      </c>
      <c r="V270" s="40"/>
      <c r="W270" s="40" t="s">
        <v>262</v>
      </c>
      <c r="X270" s="43"/>
      <c r="Y270" s="35"/>
    </row>
    <row r="271" spans="1:26" x14ac:dyDescent="0.3">
      <c r="A271" s="85" t="s">
        <v>638</v>
      </c>
      <c r="B271" s="64" t="s">
        <v>1073</v>
      </c>
      <c r="C271" s="179">
        <v>45243</v>
      </c>
      <c r="D271" s="38"/>
      <c r="E271" s="6">
        <v>45608</v>
      </c>
      <c r="F271" s="1" t="s">
        <v>1074</v>
      </c>
      <c r="G271" s="1" t="str">
        <f t="shared" si="79"/>
        <v>Gift Zimuka</v>
      </c>
      <c r="H271" s="8" t="s">
        <v>1075</v>
      </c>
      <c r="I271" s="64" t="s">
        <v>465</v>
      </c>
      <c r="J271" s="1" t="s">
        <v>39</v>
      </c>
      <c r="K271" s="1" t="s">
        <v>224</v>
      </c>
      <c r="L271" s="1" t="s">
        <v>62</v>
      </c>
      <c r="M271" s="196"/>
      <c r="N271" s="192"/>
      <c r="O271" s="196">
        <v>85000</v>
      </c>
      <c r="P271" s="196"/>
      <c r="Q271" s="196">
        <f>O271*16.5%+5000</f>
        <v>19025</v>
      </c>
      <c r="R271" s="203">
        <f>SUM(O271:Q271)</f>
        <v>104025</v>
      </c>
      <c r="S271" s="203">
        <v>104025</v>
      </c>
      <c r="T271" s="217">
        <f>R271-S271</f>
        <v>0</v>
      </c>
      <c r="V271" s="40"/>
      <c r="W271" s="40" t="s">
        <v>339</v>
      </c>
      <c r="X271" s="43"/>
      <c r="Y271" s="35"/>
    </row>
    <row r="272" spans="1:26" x14ac:dyDescent="0.3">
      <c r="L272" s="1"/>
    </row>
    <row r="273" spans="12:12" x14ac:dyDescent="0.3">
      <c r="L273" s="1"/>
    </row>
  </sheetData>
  <pageMargins left="0.7" right="0.7" top="0.75" bottom="0.75" header="0.3" footer="0.3"/>
  <pageSetup scale="2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V34"/>
  <sheetViews>
    <sheetView topLeftCell="H1" zoomScale="110" zoomScaleNormal="110" workbookViewId="0">
      <pane xSplit="12276" ySplit="1584" topLeftCell="G19" activePane="bottomLeft"/>
      <selection activeCell="J24" sqref="J24"/>
      <selection pane="topRight" activeCell="J24" sqref="J24"/>
      <selection pane="bottomLeft" activeCell="J24" sqref="J24"/>
      <selection pane="bottomRight" activeCell="J24" sqref="J24"/>
    </sheetView>
  </sheetViews>
  <sheetFormatPr defaultRowHeight="15.6" x14ac:dyDescent="0.3"/>
  <cols>
    <col min="1" max="1" width="12.109375" style="143" customWidth="1"/>
    <col min="2" max="2" width="27.33203125" customWidth="1"/>
    <col min="3" max="3" width="11.6640625" bestFit="1" customWidth="1"/>
    <col min="4" max="4" width="15.88671875" style="61" customWidth="1"/>
    <col min="5" max="5" width="11.6640625" style="9" bestFit="1" customWidth="1"/>
    <col min="6" max="6" width="30.88671875" customWidth="1"/>
    <col min="7" max="7" width="24" customWidth="1"/>
    <col min="8" max="8" width="11" customWidth="1"/>
    <col min="10" max="10" width="15.88671875" style="1" customWidth="1"/>
    <col min="11" max="11" width="11.6640625" customWidth="1"/>
    <col min="12" max="12" width="15.44140625" style="14" customWidth="1"/>
    <col min="13" max="13" width="9.33203125" style="14" bestFit="1" customWidth="1"/>
    <col min="14" max="14" width="13" style="14" customWidth="1"/>
    <col min="15" max="15" width="13.88671875" style="14" customWidth="1"/>
    <col min="16" max="17" width="14.88671875" style="15" customWidth="1"/>
    <col min="18" max="18" width="12" style="28" customWidth="1"/>
    <col min="19" max="19" width="9.109375" style="24"/>
    <col min="20" max="20" width="11.33203125" style="24" customWidth="1"/>
    <col min="22" max="22" width="11.5546875" customWidth="1"/>
  </cols>
  <sheetData>
    <row r="1" spans="1:22" s="2" customFormat="1" ht="57.6" x14ac:dyDescent="0.3">
      <c r="A1" s="138" t="s">
        <v>188</v>
      </c>
      <c r="B1" s="2" t="s">
        <v>2</v>
      </c>
      <c r="C1" s="2" t="s">
        <v>0</v>
      </c>
      <c r="D1" s="59" t="s">
        <v>284</v>
      </c>
      <c r="E1" s="5" t="s">
        <v>1</v>
      </c>
      <c r="F1" s="3" t="s">
        <v>3</v>
      </c>
      <c r="G1" s="3" t="s">
        <v>344</v>
      </c>
      <c r="H1" s="3" t="s">
        <v>14</v>
      </c>
      <c r="I1" s="2" t="s">
        <v>4</v>
      </c>
      <c r="J1" s="3" t="s">
        <v>18</v>
      </c>
      <c r="K1" s="3" t="s">
        <v>5</v>
      </c>
      <c r="L1" s="12" t="s">
        <v>6</v>
      </c>
      <c r="M1" s="12" t="s">
        <v>7</v>
      </c>
      <c r="N1" s="12" t="s">
        <v>8</v>
      </c>
      <c r="O1" s="12" t="s">
        <v>21</v>
      </c>
      <c r="P1" s="13" t="s">
        <v>9</v>
      </c>
      <c r="Q1" s="13" t="s">
        <v>56</v>
      </c>
      <c r="R1" s="27" t="s">
        <v>10</v>
      </c>
      <c r="S1" s="16" t="s">
        <v>11</v>
      </c>
      <c r="T1" s="16" t="s">
        <v>22</v>
      </c>
      <c r="U1" s="3" t="s">
        <v>12</v>
      </c>
      <c r="V1" s="3" t="s">
        <v>13</v>
      </c>
    </row>
    <row r="2" spans="1:22" s="254" customFormat="1" ht="14.4" x14ac:dyDescent="0.3">
      <c r="A2" s="254">
        <v>43952</v>
      </c>
    </row>
    <row r="3" spans="1:22" x14ac:dyDescent="0.3">
      <c r="A3" s="139" t="s">
        <v>189</v>
      </c>
      <c r="B3" t="s">
        <v>30</v>
      </c>
      <c r="C3" s="4">
        <v>43959</v>
      </c>
      <c r="D3" s="60"/>
      <c r="E3" s="10">
        <v>43958</v>
      </c>
      <c r="F3" t="s">
        <v>26</v>
      </c>
      <c r="G3" t="s">
        <v>26</v>
      </c>
      <c r="H3" s="11" t="s">
        <v>25</v>
      </c>
      <c r="I3" t="s">
        <v>29</v>
      </c>
      <c r="J3" s="1" t="s">
        <v>27</v>
      </c>
      <c r="K3" t="s">
        <v>28</v>
      </c>
      <c r="L3" s="14">
        <v>6000000</v>
      </c>
      <c r="M3" s="14">
        <v>0.05</v>
      </c>
      <c r="N3" s="14">
        <f>L3*M3</f>
        <v>300000</v>
      </c>
      <c r="O3" s="14">
        <f>N3*16.5%+1000</f>
        <v>50500</v>
      </c>
      <c r="P3" s="15">
        <f>SUM(N3:O3)</f>
        <v>350500</v>
      </c>
      <c r="Q3" s="15">
        <v>350500</v>
      </c>
      <c r="R3" s="28">
        <f>P3-Q3</f>
        <v>0</v>
      </c>
      <c r="S3" s="24">
        <v>1</v>
      </c>
      <c r="T3" s="24">
        <f>N3*12.5%</f>
        <v>37500</v>
      </c>
      <c r="U3" t="s">
        <v>31</v>
      </c>
      <c r="V3" s="11" t="s">
        <v>32</v>
      </c>
    </row>
    <row r="4" spans="1:22" s="255" customFormat="1" ht="14.4" x14ac:dyDescent="0.3">
      <c r="A4" s="255">
        <v>44013</v>
      </c>
    </row>
    <row r="5" spans="1:22" x14ac:dyDescent="0.3">
      <c r="A5" s="139" t="s">
        <v>189</v>
      </c>
      <c r="B5" t="s">
        <v>72</v>
      </c>
      <c r="C5" s="4">
        <v>44041</v>
      </c>
      <c r="D5" s="60"/>
      <c r="E5" s="10">
        <v>44405</v>
      </c>
      <c r="F5" t="s">
        <v>73</v>
      </c>
      <c r="H5" s="11" t="s">
        <v>74</v>
      </c>
      <c r="I5" t="s">
        <v>75</v>
      </c>
      <c r="J5" s="1" t="s">
        <v>76</v>
      </c>
      <c r="K5" t="s">
        <v>28</v>
      </c>
      <c r="L5" s="14">
        <v>12000000</v>
      </c>
      <c r="M5" s="58">
        <v>4.4999999999999998E-2</v>
      </c>
      <c r="N5" s="14">
        <f>L5*M5</f>
        <v>540000</v>
      </c>
      <c r="O5" s="14">
        <f>N5*16.5%+1000</f>
        <v>90100</v>
      </c>
      <c r="P5" s="15">
        <f>SUM(N5:O5)</f>
        <v>630100</v>
      </c>
      <c r="Q5" s="15">
        <v>630100</v>
      </c>
      <c r="R5" s="28">
        <f t="shared" ref="R5:R13" si="0">P5-Q5</f>
        <v>0</v>
      </c>
      <c r="S5" s="24">
        <v>1</v>
      </c>
      <c r="T5" s="24">
        <f>N5*12.5%</f>
        <v>67500</v>
      </c>
      <c r="U5" t="s">
        <v>167</v>
      </c>
    </row>
    <row r="6" spans="1:22" s="255" customFormat="1" ht="14.4" x14ac:dyDescent="0.3">
      <c r="A6" s="255">
        <v>44378</v>
      </c>
    </row>
    <row r="7" spans="1:22" ht="28.8" x14ac:dyDescent="0.3">
      <c r="A7" s="139" t="s">
        <v>189</v>
      </c>
      <c r="B7" t="s">
        <v>72</v>
      </c>
      <c r="C7" s="4">
        <v>44406</v>
      </c>
      <c r="D7" s="60"/>
      <c r="E7" s="10">
        <v>44770</v>
      </c>
      <c r="F7" t="s">
        <v>258</v>
      </c>
      <c r="H7" s="11" t="s">
        <v>74</v>
      </c>
      <c r="I7" t="s">
        <v>75</v>
      </c>
      <c r="J7" s="1" t="s">
        <v>144</v>
      </c>
      <c r="K7" t="s">
        <v>28</v>
      </c>
      <c r="L7" s="14">
        <v>12000000</v>
      </c>
      <c r="M7" s="58">
        <v>4.4999999999999998E-2</v>
      </c>
      <c r="N7" s="14">
        <f t="shared" ref="N7:N13" si="1">L7*M7</f>
        <v>540000</v>
      </c>
      <c r="O7" s="14">
        <f t="shared" ref="O7:O12" si="2">N7*16.5%+5000</f>
        <v>94100</v>
      </c>
      <c r="P7" s="15">
        <f t="shared" ref="P7:P12" si="3">SUM(N7:O7)</f>
        <v>634100</v>
      </c>
      <c r="Q7" s="15">
        <v>634100</v>
      </c>
      <c r="R7" s="28">
        <f t="shared" si="0"/>
        <v>0</v>
      </c>
      <c r="T7" s="24">
        <f t="shared" ref="T7:T13" si="4">N7*12.5%</f>
        <v>67500</v>
      </c>
    </row>
    <row r="8" spans="1:22" s="257" customFormat="1" ht="14.4" x14ac:dyDescent="0.3">
      <c r="A8" s="256">
        <v>44317</v>
      </c>
    </row>
    <row r="9" spans="1:22" x14ac:dyDescent="0.3">
      <c r="A9" s="139" t="s">
        <v>189</v>
      </c>
      <c r="B9" t="s">
        <v>30</v>
      </c>
      <c r="C9" s="4">
        <v>44324</v>
      </c>
      <c r="D9" s="60"/>
      <c r="E9" s="10">
        <v>44688</v>
      </c>
      <c r="F9" t="s">
        <v>273</v>
      </c>
      <c r="H9" s="11" t="s">
        <v>25</v>
      </c>
      <c r="I9" t="s">
        <v>29</v>
      </c>
      <c r="J9" s="1" t="s">
        <v>259</v>
      </c>
      <c r="K9" t="s">
        <v>28</v>
      </c>
      <c r="L9" s="14">
        <v>6000000</v>
      </c>
      <c r="M9" s="57">
        <v>0.05</v>
      </c>
      <c r="N9" s="14">
        <f t="shared" si="1"/>
        <v>300000</v>
      </c>
      <c r="O9" s="14">
        <f t="shared" si="2"/>
        <v>54500</v>
      </c>
      <c r="P9" s="15">
        <f t="shared" si="3"/>
        <v>354500</v>
      </c>
      <c r="Q9" s="15">
        <v>354500</v>
      </c>
      <c r="R9" s="28">
        <f t="shared" si="0"/>
        <v>0</v>
      </c>
      <c r="T9" s="24">
        <f t="shared" si="4"/>
        <v>37500</v>
      </c>
    </row>
    <row r="10" spans="1:22" s="259" customFormat="1" ht="14.4" x14ac:dyDescent="0.3">
      <c r="A10" s="259">
        <v>44440</v>
      </c>
    </row>
    <row r="11" spans="1:22" s="104" customFormat="1" x14ac:dyDescent="0.3">
      <c r="A11" s="140" t="s">
        <v>308</v>
      </c>
      <c r="B11" s="261" t="s">
        <v>283</v>
      </c>
      <c r="C11" s="263">
        <v>44456</v>
      </c>
      <c r="D11" s="262">
        <v>44546</v>
      </c>
      <c r="E11" s="102"/>
      <c r="F11" s="261" t="s">
        <v>285</v>
      </c>
      <c r="G11" s="103"/>
      <c r="H11" s="260" t="s">
        <v>286</v>
      </c>
      <c r="I11" s="104" t="s">
        <v>287</v>
      </c>
      <c r="J11" s="105" t="s">
        <v>288</v>
      </c>
      <c r="K11" s="104" t="s">
        <v>28</v>
      </c>
      <c r="L11" s="106">
        <v>10000000</v>
      </c>
      <c r="M11" s="107">
        <v>0.05</v>
      </c>
      <c r="N11" s="106">
        <f t="shared" si="1"/>
        <v>500000</v>
      </c>
      <c r="O11" s="106">
        <f t="shared" si="2"/>
        <v>87500</v>
      </c>
      <c r="P11" s="106">
        <f t="shared" si="3"/>
        <v>587500</v>
      </c>
      <c r="Q11" s="106">
        <v>587500</v>
      </c>
      <c r="R11" s="108">
        <f t="shared" si="0"/>
        <v>0</v>
      </c>
      <c r="S11" s="106"/>
      <c r="T11" s="106">
        <f t="shared" si="4"/>
        <v>62500</v>
      </c>
      <c r="U11" s="104" t="s">
        <v>292</v>
      </c>
    </row>
    <row r="12" spans="1:22" ht="28.8" x14ac:dyDescent="0.3">
      <c r="A12" s="139" t="s">
        <v>189</v>
      </c>
      <c r="B12" s="261"/>
      <c r="C12" s="263"/>
      <c r="D12" s="262"/>
      <c r="E12" s="63">
        <v>44820</v>
      </c>
      <c r="F12" s="261"/>
      <c r="G12" s="84"/>
      <c r="H12" s="260"/>
      <c r="I12" t="s">
        <v>289</v>
      </c>
      <c r="J12" s="1" t="s">
        <v>290</v>
      </c>
      <c r="K12" t="s">
        <v>28</v>
      </c>
      <c r="L12" s="14">
        <v>2500000</v>
      </c>
      <c r="M12" s="57">
        <v>0.05</v>
      </c>
      <c r="N12" s="14">
        <f t="shared" si="1"/>
        <v>125000</v>
      </c>
      <c r="O12" s="14">
        <f t="shared" si="2"/>
        <v>25625</v>
      </c>
      <c r="P12" s="15">
        <f t="shared" si="3"/>
        <v>150625</v>
      </c>
      <c r="Q12" s="15">
        <v>92500</v>
      </c>
      <c r="R12" s="28">
        <f t="shared" si="0"/>
        <v>58125</v>
      </c>
      <c r="T12" s="24">
        <f t="shared" si="4"/>
        <v>15625</v>
      </c>
      <c r="U12" t="s">
        <v>292</v>
      </c>
    </row>
    <row r="13" spans="1:22" ht="28.8" x14ac:dyDescent="0.3">
      <c r="A13" s="139"/>
      <c r="B13" s="261"/>
      <c r="C13" s="263"/>
      <c r="D13" s="262"/>
      <c r="E13" s="63"/>
      <c r="F13" s="261"/>
      <c r="G13" s="84"/>
      <c r="H13" s="260"/>
      <c r="I13" t="s">
        <v>291</v>
      </c>
      <c r="J13" s="1" t="s">
        <v>290</v>
      </c>
      <c r="K13" t="s">
        <v>28</v>
      </c>
      <c r="L13" s="14">
        <v>2000000</v>
      </c>
      <c r="M13" s="57">
        <v>0.05</v>
      </c>
      <c r="N13" s="14">
        <f t="shared" si="1"/>
        <v>100000</v>
      </c>
      <c r="O13" s="14">
        <f>N13*16.5%+5000</f>
        <v>21500</v>
      </c>
      <c r="P13" s="15">
        <f>SUM(N13:O13)</f>
        <v>121500</v>
      </c>
      <c r="R13" s="28">
        <f t="shared" si="0"/>
        <v>121500</v>
      </c>
      <c r="T13" s="24">
        <f t="shared" si="4"/>
        <v>12500</v>
      </c>
      <c r="U13" t="s">
        <v>292</v>
      </c>
    </row>
    <row r="14" spans="1:22" s="258" customFormat="1" ht="14.4" x14ac:dyDescent="0.3">
      <c r="A14" s="258">
        <v>44593</v>
      </c>
    </row>
    <row r="15" spans="1:22" x14ac:dyDescent="0.3">
      <c r="A15" s="141" t="s">
        <v>431</v>
      </c>
      <c r="B15" t="s">
        <v>423</v>
      </c>
      <c r="C15" s="4">
        <v>44620</v>
      </c>
      <c r="E15" s="10">
        <v>44984</v>
      </c>
      <c r="F15" t="s">
        <v>424</v>
      </c>
      <c r="I15" t="s">
        <v>425</v>
      </c>
      <c r="J15" s="1" t="s">
        <v>76</v>
      </c>
      <c r="K15" t="s">
        <v>62</v>
      </c>
      <c r="L15" s="14">
        <v>5000000</v>
      </c>
      <c r="N15" s="14">
        <v>60000</v>
      </c>
      <c r="O15" s="14">
        <f>N15*16.5%+5000</f>
        <v>14900</v>
      </c>
      <c r="P15" s="15">
        <v>74900</v>
      </c>
      <c r="Q15" s="15">
        <v>74900</v>
      </c>
      <c r="R15" s="29">
        <f>P15-Q15</f>
        <v>0</v>
      </c>
      <c r="U15" t="s">
        <v>292</v>
      </c>
    </row>
    <row r="16" spans="1:22" s="253" customFormat="1" ht="14.4" x14ac:dyDescent="0.3">
      <c r="A16" s="252">
        <v>44682</v>
      </c>
    </row>
    <row r="17" spans="1:21" x14ac:dyDescent="0.3">
      <c r="A17" s="141" t="s">
        <v>189</v>
      </c>
      <c r="B17" t="s">
        <v>30</v>
      </c>
      <c r="C17" s="4">
        <v>44688</v>
      </c>
      <c r="E17" s="10">
        <v>45052</v>
      </c>
      <c r="F17" t="s">
        <v>26</v>
      </c>
      <c r="G17" t="s">
        <v>26</v>
      </c>
      <c r="H17">
        <v>999328606</v>
      </c>
      <c r="I17" t="s">
        <v>29</v>
      </c>
      <c r="J17" s="1" t="s">
        <v>618</v>
      </c>
      <c r="K17" t="s">
        <v>28</v>
      </c>
      <c r="L17" s="14">
        <v>6000000</v>
      </c>
      <c r="M17" s="14">
        <v>0.05</v>
      </c>
      <c r="N17" s="14">
        <f>L17*M17</f>
        <v>300000</v>
      </c>
      <c r="O17" s="14">
        <f>N17*16.5%+5000</f>
        <v>54500</v>
      </c>
      <c r="P17" s="15">
        <f>SUM(N17:O17)</f>
        <v>354500</v>
      </c>
      <c r="Q17" s="15">
        <v>354500</v>
      </c>
      <c r="R17" s="29">
        <f>P17-Q17</f>
        <v>0</v>
      </c>
      <c r="U17" t="s">
        <v>292</v>
      </c>
    </row>
    <row r="18" spans="1:21" s="251" customFormat="1" x14ac:dyDescent="0.3">
      <c r="A18" s="251">
        <v>45047</v>
      </c>
    </row>
    <row r="19" spans="1:21" s="144" customFormat="1" x14ac:dyDescent="0.3">
      <c r="A19" s="144" t="s">
        <v>189</v>
      </c>
      <c r="B19" s="145" t="s">
        <v>30</v>
      </c>
      <c r="C19" s="146">
        <v>45055</v>
      </c>
      <c r="D19" s="154">
        <v>45146</v>
      </c>
      <c r="E19" s="152">
        <v>45420</v>
      </c>
      <c r="F19" s="146" t="s">
        <v>26</v>
      </c>
      <c r="G19" s="146" t="s">
        <v>26</v>
      </c>
      <c r="H19" s="147" t="s">
        <v>25</v>
      </c>
      <c r="I19" s="148" t="s">
        <v>29</v>
      </c>
      <c r="J19" s="148" t="s">
        <v>618</v>
      </c>
      <c r="K19" s="148" t="s">
        <v>28</v>
      </c>
      <c r="L19" s="149">
        <v>6000000</v>
      </c>
      <c r="M19" s="150">
        <v>0.05</v>
      </c>
      <c r="N19" s="149">
        <f>L19*M19</f>
        <v>300000</v>
      </c>
      <c r="O19" s="14">
        <f>N19*16.5%+5000</f>
        <v>54500</v>
      </c>
      <c r="P19" s="15">
        <f>SUM(N19:O19)</f>
        <v>354500</v>
      </c>
      <c r="Q19" s="151">
        <f>179750+174750</f>
        <v>354500</v>
      </c>
      <c r="R19" s="29">
        <f>P19-Q19</f>
        <v>0</v>
      </c>
      <c r="S19" s="153"/>
      <c r="T19" s="153"/>
      <c r="U19" s="146" t="s">
        <v>292</v>
      </c>
    </row>
    <row r="20" spans="1:21" s="144" customFormat="1" x14ac:dyDescent="0.3">
      <c r="A20" s="144" t="s">
        <v>189</v>
      </c>
      <c r="B20" s="145" t="s">
        <v>905</v>
      </c>
      <c r="C20" s="146"/>
      <c r="D20" s="154"/>
      <c r="E20" s="152"/>
      <c r="F20" s="146"/>
      <c r="G20" s="146"/>
      <c r="H20" s="147"/>
      <c r="I20" s="148"/>
      <c r="J20" s="148"/>
      <c r="K20" s="148"/>
      <c r="L20" s="149"/>
      <c r="M20" s="150"/>
      <c r="N20" s="149"/>
      <c r="O20" s="14"/>
      <c r="P20" s="15"/>
      <c r="Q20" s="151"/>
      <c r="R20" s="29"/>
      <c r="S20" s="153"/>
      <c r="T20" s="153"/>
      <c r="U20" s="146"/>
    </row>
    <row r="21" spans="1:21" x14ac:dyDescent="0.3">
      <c r="A21" s="141" t="s">
        <v>189</v>
      </c>
      <c r="B21" t="s">
        <v>879</v>
      </c>
      <c r="C21" s="4">
        <v>45075</v>
      </c>
      <c r="D21" s="83">
        <v>45166</v>
      </c>
      <c r="E21" s="10"/>
      <c r="F21" t="s">
        <v>880</v>
      </c>
      <c r="G21" t="s">
        <v>230</v>
      </c>
      <c r="I21" t="s">
        <v>881</v>
      </c>
      <c r="J21" s="1" t="s">
        <v>773</v>
      </c>
      <c r="K21" t="s">
        <v>28</v>
      </c>
      <c r="L21" s="14">
        <v>4000000</v>
      </c>
      <c r="M21" s="14">
        <v>0.1</v>
      </c>
      <c r="N21" s="14">
        <f>L21*M21</f>
        <v>400000</v>
      </c>
      <c r="O21" s="14">
        <f>N21*16.5%+5000</f>
        <v>71000</v>
      </c>
      <c r="P21" s="15">
        <f>SUM(N21:O21)</f>
        <v>471000</v>
      </c>
      <c r="Q21" s="15">
        <v>238000</v>
      </c>
      <c r="R21" s="29">
        <f>P21-Q21</f>
        <v>233000</v>
      </c>
    </row>
    <row r="22" spans="1:21" x14ac:dyDescent="0.3">
      <c r="A22" s="141"/>
      <c r="C22" s="4"/>
      <c r="D22" s="83"/>
      <c r="E22" s="10"/>
      <c r="R22" s="29"/>
    </row>
    <row r="23" spans="1:21" s="250" customFormat="1" x14ac:dyDescent="0.3">
      <c r="A23" s="250">
        <v>45108</v>
      </c>
    </row>
    <row r="24" spans="1:21" x14ac:dyDescent="0.3">
      <c r="A24" s="141" t="s">
        <v>189</v>
      </c>
      <c r="B24" t="s">
        <v>986</v>
      </c>
      <c r="C24" s="4">
        <v>45112</v>
      </c>
      <c r="E24" s="10">
        <v>45477</v>
      </c>
      <c r="F24" t="s">
        <v>987</v>
      </c>
      <c r="G24" t="s">
        <v>987</v>
      </c>
      <c r="I24" t="s">
        <v>988</v>
      </c>
      <c r="J24" s="1" t="s">
        <v>71</v>
      </c>
      <c r="K24" t="s">
        <v>28</v>
      </c>
      <c r="L24" s="14">
        <v>4500000</v>
      </c>
      <c r="M24" s="14">
        <v>0.06</v>
      </c>
      <c r="N24" s="14">
        <f>L24*M24</f>
        <v>270000</v>
      </c>
      <c r="O24" s="14">
        <f>N24*16.5%+5000</f>
        <v>49550</v>
      </c>
      <c r="P24" s="15">
        <f>SUM(N24:O24)</f>
        <v>319550</v>
      </c>
      <c r="Q24" s="15">
        <v>319550</v>
      </c>
      <c r="R24" s="29">
        <f>P24-Q24</f>
        <v>0</v>
      </c>
      <c r="U24" t="s">
        <v>989</v>
      </c>
    </row>
    <row r="25" spans="1:21" s="171" customFormat="1" x14ac:dyDescent="0.3">
      <c r="A25" s="171">
        <v>45139</v>
      </c>
      <c r="O25" s="172"/>
      <c r="P25" s="172"/>
    </row>
    <row r="26" spans="1:21" ht="15.6" customHeight="1" x14ac:dyDescent="0.3">
      <c r="A26" s="269" t="s">
        <v>189</v>
      </c>
      <c r="B26" s="261" t="s">
        <v>943</v>
      </c>
      <c r="C26" s="264">
        <v>45153</v>
      </c>
      <c r="D26" s="265"/>
      <c r="E26" s="266">
        <v>45518</v>
      </c>
      <c r="F26" s="268" t="s">
        <v>944</v>
      </c>
      <c r="I26" t="s">
        <v>945</v>
      </c>
      <c r="J26" s="1" t="s">
        <v>360</v>
      </c>
      <c r="K26" t="s">
        <v>28</v>
      </c>
      <c r="L26" s="14">
        <v>41085192.200000003</v>
      </c>
      <c r="M26" s="14">
        <v>0.04</v>
      </c>
      <c r="N26" s="14">
        <f>L26*M26</f>
        <v>1643407.6880000001</v>
      </c>
      <c r="O26" s="14">
        <f t="shared" ref="O26" si="5">N26*16.5%+5000</f>
        <v>276162.26852000004</v>
      </c>
      <c r="P26" s="15">
        <f t="shared" ref="P26:P28" si="6">SUM(N26:O26)</f>
        <v>1919569.95652</v>
      </c>
      <c r="R26" s="29"/>
    </row>
    <row r="27" spans="1:21" ht="15.6" customHeight="1" x14ac:dyDescent="0.3">
      <c r="A27" s="269"/>
      <c r="B27" s="261"/>
      <c r="C27" s="264"/>
      <c r="D27" s="265"/>
      <c r="E27" s="266"/>
      <c r="F27" s="268"/>
      <c r="I27" t="s">
        <v>983</v>
      </c>
      <c r="J27" s="1" t="s">
        <v>360</v>
      </c>
      <c r="K27" t="s">
        <v>28</v>
      </c>
      <c r="L27" s="14">
        <v>40635331.030000001</v>
      </c>
      <c r="M27" s="14">
        <v>0.04</v>
      </c>
      <c r="N27" s="14">
        <f>L27*M27</f>
        <v>1625413.2412</v>
      </c>
      <c r="O27" s="14">
        <f>N27*16.5%</f>
        <v>268193.18479800003</v>
      </c>
      <c r="P27" s="15">
        <f t="shared" si="6"/>
        <v>1893606.425998</v>
      </c>
      <c r="R27" s="29"/>
    </row>
    <row r="28" spans="1:21" ht="15.6" customHeight="1" x14ac:dyDescent="0.3">
      <c r="A28" s="269"/>
      <c r="B28" s="261"/>
      <c r="C28" s="264"/>
      <c r="D28" s="265"/>
      <c r="E28" s="266"/>
      <c r="F28" s="268"/>
      <c r="I28" t="s">
        <v>984</v>
      </c>
      <c r="J28" s="1" t="s">
        <v>82</v>
      </c>
      <c r="K28" t="s">
        <v>28</v>
      </c>
      <c r="L28" s="14">
        <v>61953074.700000003</v>
      </c>
      <c r="M28" s="14">
        <v>0.04</v>
      </c>
      <c r="N28" s="14">
        <f>L28*M28</f>
        <v>2478122.9880000004</v>
      </c>
      <c r="O28" s="14">
        <f>N28*16.5%</f>
        <v>408890.2930200001</v>
      </c>
      <c r="P28" s="15">
        <f t="shared" si="6"/>
        <v>2887013.2810200006</v>
      </c>
      <c r="Q28" s="15">
        <f>SUM(P26:P28)</f>
        <v>6700189.6635380005</v>
      </c>
      <c r="R28" s="29"/>
    </row>
    <row r="29" spans="1:21" x14ac:dyDescent="0.3">
      <c r="A29" s="141" t="s">
        <v>189</v>
      </c>
      <c r="B29" t="s">
        <v>72</v>
      </c>
      <c r="C29" s="4">
        <v>45159</v>
      </c>
      <c r="E29" s="10">
        <v>45524</v>
      </c>
      <c r="F29" t="s">
        <v>73</v>
      </c>
      <c r="G29" t="s">
        <v>73</v>
      </c>
      <c r="I29" t="s">
        <v>985</v>
      </c>
      <c r="J29" s="1" t="s">
        <v>76</v>
      </c>
      <c r="K29" t="s">
        <v>28</v>
      </c>
      <c r="L29" s="14">
        <v>12000000</v>
      </c>
      <c r="M29" s="14">
        <v>4.4999999999999998E-2</v>
      </c>
      <c r="N29" s="14">
        <f>L29*M29</f>
        <v>540000</v>
      </c>
      <c r="O29" s="14">
        <f>N29*16.5%+5000</f>
        <v>94100</v>
      </c>
      <c r="P29" s="15">
        <f>SUM(N29:O29)</f>
        <v>634100</v>
      </c>
      <c r="Q29" s="15">
        <v>634100</v>
      </c>
      <c r="R29" s="29"/>
      <c r="U29" t="s">
        <v>292</v>
      </c>
    </row>
    <row r="30" spans="1:21" s="267" customFormat="1" x14ac:dyDescent="0.3">
      <c r="A30" s="250">
        <v>45170</v>
      </c>
    </row>
    <row r="31" spans="1:21" ht="15.6" customHeight="1" x14ac:dyDescent="0.3">
      <c r="A31" s="269" t="s">
        <v>638</v>
      </c>
      <c r="B31" s="268" t="s">
        <v>997</v>
      </c>
      <c r="C31" s="263">
        <v>45186</v>
      </c>
      <c r="D31" s="272">
        <v>45276</v>
      </c>
      <c r="E31" s="10"/>
      <c r="F31" s="268" t="s">
        <v>998</v>
      </c>
      <c r="G31" s="268" t="s">
        <v>998</v>
      </c>
      <c r="H31" s="274" t="s">
        <v>286</v>
      </c>
      <c r="I31" t="s">
        <v>289</v>
      </c>
      <c r="J31" s="273" t="s">
        <v>806</v>
      </c>
      <c r="K31" s="268" t="s">
        <v>28</v>
      </c>
      <c r="L31" s="14">
        <v>5500000</v>
      </c>
      <c r="M31" s="270">
        <v>0.05</v>
      </c>
      <c r="N31" s="14">
        <f>L31*M31</f>
        <v>275000</v>
      </c>
      <c r="O31" s="14">
        <f>N31*16.5%+5000</f>
        <v>50375</v>
      </c>
      <c r="P31" s="91">
        <f>SUM(N31:O31)</f>
        <v>325375</v>
      </c>
      <c r="Q31" s="271">
        <f>SUM(P31:P32)</f>
        <v>639925</v>
      </c>
      <c r="R31" s="29"/>
      <c r="U31" s="268" t="s">
        <v>292</v>
      </c>
    </row>
    <row r="32" spans="1:21" ht="15.6" customHeight="1" x14ac:dyDescent="0.3">
      <c r="A32" s="269"/>
      <c r="B32" s="268"/>
      <c r="C32" s="263"/>
      <c r="D32" s="272"/>
      <c r="E32" s="10"/>
      <c r="F32" s="268"/>
      <c r="G32" s="268"/>
      <c r="H32" s="274"/>
      <c r="I32" t="s">
        <v>291</v>
      </c>
      <c r="J32" s="273"/>
      <c r="K32" s="268"/>
      <c r="L32" s="14">
        <v>5400000</v>
      </c>
      <c r="M32" s="270"/>
      <c r="N32" s="14">
        <f>L32*M31</f>
        <v>270000</v>
      </c>
      <c r="O32" s="14">
        <f>N32*16.5%</f>
        <v>44550</v>
      </c>
      <c r="P32" s="91">
        <f>SUM(N32:O32)</f>
        <v>314550</v>
      </c>
      <c r="Q32" s="271"/>
      <c r="R32" s="29"/>
      <c r="U32" s="268"/>
    </row>
    <row r="33" spans="1:21" ht="29.4" thickBot="1" x14ac:dyDescent="0.35">
      <c r="A33" s="141" t="s">
        <v>638</v>
      </c>
      <c r="B33" t="s">
        <v>1016</v>
      </c>
      <c r="C33" s="4">
        <v>45191</v>
      </c>
      <c r="D33" s="83">
        <v>45220</v>
      </c>
      <c r="E33" s="10"/>
      <c r="F33" t="s">
        <v>1017</v>
      </c>
      <c r="G33" t="s">
        <v>1017</v>
      </c>
      <c r="I33" t="s">
        <v>1018</v>
      </c>
      <c r="J33" s="1" t="s">
        <v>1019</v>
      </c>
      <c r="K33" t="s">
        <v>28</v>
      </c>
      <c r="L33" s="14">
        <v>15000000</v>
      </c>
      <c r="M33" s="14">
        <v>3.7999999999999999E-2</v>
      </c>
      <c r="N33" s="14">
        <f>L33*M33</f>
        <v>570000</v>
      </c>
      <c r="O33" s="14">
        <f>N33*16.5%</f>
        <v>94050</v>
      </c>
      <c r="P33" s="91">
        <f>SUM(N33:O33)</f>
        <v>664050</v>
      </c>
      <c r="Q33" s="15">
        <v>334525</v>
      </c>
      <c r="R33" s="29">
        <f>P33-Q33</f>
        <v>329525</v>
      </c>
      <c r="U33" t="s">
        <v>292</v>
      </c>
    </row>
    <row r="34" spans="1:21" s="17" customFormat="1" ht="16.2" thickBot="1" x14ac:dyDescent="0.35">
      <c r="A34" s="142"/>
      <c r="B34" s="17" t="s">
        <v>96</v>
      </c>
      <c r="D34" s="62"/>
      <c r="E34" s="22"/>
      <c r="F34" s="21">
        <f>COUNTA(F3:F21)</f>
        <v>9</v>
      </c>
      <c r="J34" s="18"/>
      <c r="L34" s="20">
        <f>SUM(L3:L13)</f>
        <v>50500000</v>
      </c>
      <c r="M34" s="19"/>
      <c r="N34" s="20">
        <f>SUM(N3:N13)</f>
        <v>2405000</v>
      </c>
      <c r="O34" s="19"/>
      <c r="P34" s="23">
        <f>SUM(P3:P13)</f>
        <v>2828825</v>
      </c>
      <c r="Q34" s="65"/>
      <c r="R34" s="29">
        <f>SUM(R3:R13)</f>
        <v>179625</v>
      </c>
      <c r="S34" s="25"/>
      <c r="T34" s="26">
        <f>SUM(T3:T13)</f>
        <v>300625</v>
      </c>
    </row>
  </sheetData>
  <mergeCells count="33">
    <mergeCell ref="U31:U32"/>
    <mergeCell ref="B31:B32"/>
    <mergeCell ref="A31:A32"/>
    <mergeCell ref="M31:M32"/>
    <mergeCell ref="Q31:Q32"/>
    <mergeCell ref="C31:C32"/>
    <mergeCell ref="D31:D32"/>
    <mergeCell ref="K31:K32"/>
    <mergeCell ref="J31:J32"/>
    <mergeCell ref="H31:H32"/>
    <mergeCell ref="G31:G32"/>
    <mergeCell ref="F31:F32"/>
    <mergeCell ref="B26:B28"/>
    <mergeCell ref="C26:C28"/>
    <mergeCell ref="D26:D28"/>
    <mergeCell ref="E26:E28"/>
    <mergeCell ref="A30:XFD30"/>
    <mergeCell ref="F26:F28"/>
    <mergeCell ref="A26:A28"/>
    <mergeCell ref="A23:XFD23"/>
    <mergeCell ref="A18:XFD18"/>
    <mergeCell ref="A16:XFD16"/>
    <mergeCell ref="A2:XFD2"/>
    <mergeCell ref="A4:XFD4"/>
    <mergeCell ref="A6:XFD6"/>
    <mergeCell ref="A8:XFD8"/>
    <mergeCell ref="A14:XFD14"/>
    <mergeCell ref="A10:XFD10"/>
    <mergeCell ref="H11:H13"/>
    <mergeCell ref="F11:F13"/>
    <mergeCell ref="D11:D13"/>
    <mergeCell ref="C11:C13"/>
    <mergeCell ref="B11:B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8"/>
  <sheetViews>
    <sheetView topLeftCell="F1" zoomScale="160" zoomScaleNormal="160" workbookViewId="0">
      <selection activeCell="U1" sqref="U1"/>
    </sheetView>
  </sheetViews>
  <sheetFormatPr defaultRowHeight="14.4" x14ac:dyDescent="0.3"/>
  <cols>
    <col min="1" max="1" width="16.6640625" customWidth="1"/>
    <col min="2" max="2" width="24.6640625" customWidth="1"/>
    <col min="3" max="3" width="18.33203125" style="82" customWidth="1"/>
    <col min="4" max="4" width="18.33203125" style="83" customWidth="1"/>
    <col min="5" max="5" width="18.33203125" style="82" customWidth="1"/>
    <col min="6" max="6" width="26.44140625" customWidth="1"/>
    <col min="7" max="12" width="18.33203125" customWidth="1"/>
    <col min="13" max="13" width="18.33203125" style="9" customWidth="1"/>
    <col min="14" max="16" width="18.33203125" customWidth="1"/>
    <col min="17" max="18" width="18.33203125" style="9" customWidth="1"/>
    <col min="19" max="20" width="18.33203125" style="231" customWidth="1"/>
    <col min="21" max="23" width="18.33203125" customWidth="1"/>
    <col min="24" max="24" width="18.33203125" style="92" customWidth="1"/>
    <col min="25" max="25" width="18.33203125" style="61" customWidth="1"/>
    <col min="26" max="27" width="18.33203125" customWidth="1"/>
  </cols>
  <sheetData>
    <row r="1" spans="1:27" s="110" customFormat="1" ht="28.8" x14ac:dyDescent="0.3">
      <c r="A1" s="109" t="s">
        <v>1076</v>
      </c>
      <c r="B1" s="110" t="s">
        <v>1077</v>
      </c>
      <c r="C1" s="237" t="s">
        <v>1078</v>
      </c>
      <c r="D1" s="238" t="s">
        <v>1082</v>
      </c>
      <c r="E1" s="238" t="s">
        <v>1081</v>
      </c>
      <c r="F1" s="109" t="s">
        <v>1080</v>
      </c>
      <c r="G1" s="109" t="s">
        <v>1083</v>
      </c>
      <c r="H1" s="110" t="s">
        <v>1084</v>
      </c>
      <c r="I1" s="109" t="s">
        <v>1085</v>
      </c>
      <c r="J1" s="109" t="s">
        <v>1086</v>
      </c>
      <c r="K1" s="109" t="s">
        <v>1087</v>
      </c>
      <c r="L1" s="239" t="s">
        <v>1088</v>
      </c>
      <c r="M1" s="239" t="s">
        <v>1098</v>
      </c>
      <c r="N1" s="239" t="s">
        <v>1089</v>
      </c>
      <c r="O1" s="239" t="s">
        <v>1090</v>
      </c>
      <c r="P1" s="239" t="s">
        <v>1095</v>
      </c>
      <c r="Q1" s="239" t="s">
        <v>1091</v>
      </c>
      <c r="R1" s="239" t="s">
        <v>1092</v>
      </c>
      <c r="S1" s="247" t="s">
        <v>1093</v>
      </c>
      <c r="T1" s="239" t="s">
        <v>1099</v>
      </c>
      <c r="U1" s="239" t="s">
        <v>1101</v>
      </c>
      <c r="V1" s="109" t="s">
        <v>1102</v>
      </c>
      <c r="W1" s="109" t="s">
        <v>1103</v>
      </c>
      <c r="X1" s="109" t="s">
        <v>1104</v>
      </c>
      <c r="Y1" s="109" t="s">
        <v>1094</v>
      </c>
      <c r="Z1" s="109" t="s">
        <v>98</v>
      </c>
      <c r="AA1" s="110" t="s">
        <v>116</v>
      </c>
    </row>
    <row r="2" spans="1:27" s="40" customFormat="1" x14ac:dyDescent="0.3">
      <c r="A2" s="80" t="s">
        <v>189</v>
      </c>
      <c r="B2" s="39" t="s">
        <v>300</v>
      </c>
      <c r="C2" s="136">
        <v>44492</v>
      </c>
      <c r="D2" s="137" t="s">
        <v>676</v>
      </c>
      <c r="E2" s="136">
        <v>44856</v>
      </c>
      <c r="F2" s="40" t="s">
        <v>301</v>
      </c>
      <c r="G2" s="8" t="s">
        <v>123</v>
      </c>
      <c r="H2" s="40" t="s">
        <v>124</v>
      </c>
      <c r="I2" s="40" t="s">
        <v>38</v>
      </c>
      <c r="J2" s="46" t="s">
        <v>125</v>
      </c>
      <c r="K2" s="40" t="s">
        <v>20</v>
      </c>
      <c r="L2" s="189">
        <v>2000000</v>
      </c>
      <c r="M2" s="240">
        <v>0.05</v>
      </c>
      <c r="N2" s="188">
        <f>L2*M2</f>
        <v>100000</v>
      </c>
      <c r="O2" s="188"/>
      <c r="P2" s="188">
        <f t="shared" ref="P2:P9" si="0">(N2+O2)*16.5%+5000</f>
        <v>21500</v>
      </c>
      <c r="Q2" s="242">
        <f t="shared" ref="Q2:Q9" si="1">SUM(N2:P2)</f>
        <v>121500</v>
      </c>
      <c r="R2" s="245">
        <f>SUM(63250+32000)</f>
        <v>95250</v>
      </c>
      <c r="S2" s="217">
        <f t="shared" ref="S2:S9" si="2">Q2-R2</f>
        <v>26250</v>
      </c>
      <c r="T2" s="228"/>
      <c r="U2" s="40">
        <f>N2*12.5%</f>
        <v>12500</v>
      </c>
      <c r="W2" s="43"/>
      <c r="X2" s="45"/>
      <c r="Y2" s="44"/>
    </row>
    <row r="3" spans="1:27" x14ac:dyDescent="0.3">
      <c r="A3" s="81" t="s">
        <v>189</v>
      </c>
      <c r="B3" t="s">
        <v>361</v>
      </c>
      <c r="C3" s="82">
        <v>44571</v>
      </c>
      <c r="E3" s="82">
        <v>44570</v>
      </c>
      <c r="F3" s="1" t="s">
        <v>362</v>
      </c>
      <c r="G3" s="11" t="s">
        <v>452</v>
      </c>
      <c r="H3" t="s">
        <v>363</v>
      </c>
      <c r="I3" t="s">
        <v>38</v>
      </c>
      <c r="J3" s="1" t="s">
        <v>364</v>
      </c>
      <c r="K3" t="s">
        <v>62</v>
      </c>
      <c r="N3">
        <v>60000</v>
      </c>
      <c r="P3">
        <f t="shared" si="0"/>
        <v>14900</v>
      </c>
      <c r="Q3" s="9">
        <f t="shared" si="1"/>
        <v>74900</v>
      </c>
      <c r="R3" s="9">
        <v>74900</v>
      </c>
      <c r="S3" s="248">
        <f t="shared" si="2"/>
        <v>0</v>
      </c>
    </row>
    <row r="4" spans="1:27" x14ac:dyDescent="0.3">
      <c r="A4" t="s">
        <v>189</v>
      </c>
      <c r="B4" t="s">
        <v>442</v>
      </c>
      <c r="C4" s="82">
        <v>44630</v>
      </c>
      <c r="D4" s="83">
        <v>44721</v>
      </c>
      <c r="E4" s="82">
        <v>44994</v>
      </c>
      <c r="F4" t="s">
        <v>443</v>
      </c>
      <c r="H4" t="s">
        <v>444</v>
      </c>
      <c r="I4" t="s">
        <v>38</v>
      </c>
      <c r="J4" t="s">
        <v>173</v>
      </c>
      <c r="K4" t="s">
        <v>20</v>
      </c>
      <c r="L4">
        <v>2500000</v>
      </c>
      <c r="M4" s="241">
        <v>0.05</v>
      </c>
      <c r="N4">
        <f>L4*M4</f>
        <v>125000</v>
      </c>
      <c r="P4">
        <f t="shared" si="0"/>
        <v>25625</v>
      </c>
      <c r="Q4" s="9">
        <f t="shared" si="1"/>
        <v>150625</v>
      </c>
      <c r="R4" s="9">
        <v>77812.5</v>
      </c>
      <c r="S4" s="248">
        <f t="shared" si="2"/>
        <v>72812.5</v>
      </c>
    </row>
    <row r="5" spans="1:27" x14ac:dyDescent="0.3">
      <c r="A5" t="s">
        <v>189</v>
      </c>
      <c r="B5" t="s">
        <v>484</v>
      </c>
      <c r="C5" s="82">
        <v>44643</v>
      </c>
      <c r="D5" s="83">
        <v>44734</v>
      </c>
      <c r="E5" s="82">
        <v>45007</v>
      </c>
      <c r="F5" t="s">
        <v>372</v>
      </c>
      <c r="H5" t="s">
        <v>485</v>
      </c>
      <c r="I5" t="s">
        <v>38</v>
      </c>
      <c r="J5" t="s">
        <v>19</v>
      </c>
      <c r="K5" t="s">
        <v>62</v>
      </c>
      <c r="N5">
        <v>60000</v>
      </c>
      <c r="P5">
        <f t="shared" si="0"/>
        <v>14900</v>
      </c>
      <c r="Q5" s="9">
        <f t="shared" si="1"/>
        <v>74900</v>
      </c>
      <c r="R5" s="9">
        <f>39950+34950</f>
        <v>74900</v>
      </c>
      <c r="S5" s="248">
        <f t="shared" si="2"/>
        <v>0</v>
      </c>
    </row>
    <row r="6" spans="1:27" s="67" customFormat="1" x14ac:dyDescent="0.3">
      <c r="A6" s="67" t="s">
        <v>638</v>
      </c>
      <c r="B6" s="67" t="s">
        <v>619</v>
      </c>
      <c r="C6" s="156">
        <v>44739</v>
      </c>
      <c r="D6" s="156">
        <v>44830</v>
      </c>
      <c r="E6" s="156"/>
      <c r="F6" s="67" t="s">
        <v>620</v>
      </c>
      <c r="G6" s="157" t="s">
        <v>621</v>
      </c>
      <c r="H6" s="67" t="s">
        <v>622</v>
      </c>
      <c r="I6" s="67" t="s">
        <v>38</v>
      </c>
      <c r="J6" s="67" t="s">
        <v>305</v>
      </c>
      <c r="K6" s="67" t="s">
        <v>62</v>
      </c>
      <c r="N6" s="67">
        <v>60000</v>
      </c>
      <c r="P6" s="67">
        <f t="shared" si="0"/>
        <v>14900</v>
      </c>
      <c r="Q6" s="67">
        <f t="shared" si="1"/>
        <v>74900</v>
      </c>
      <c r="R6" s="67">
        <v>39950</v>
      </c>
      <c r="S6" s="67">
        <f t="shared" si="2"/>
        <v>34950</v>
      </c>
    </row>
    <row r="7" spans="1:27" x14ac:dyDescent="0.3">
      <c r="A7" t="s">
        <v>189</v>
      </c>
      <c r="B7" t="s">
        <v>683</v>
      </c>
      <c r="C7" s="82">
        <v>44860</v>
      </c>
      <c r="D7" s="83">
        <v>44951</v>
      </c>
      <c r="E7" s="82">
        <v>45224</v>
      </c>
      <c r="F7" t="s">
        <v>301</v>
      </c>
      <c r="G7" s="11" t="s">
        <v>123</v>
      </c>
      <c r="H7" t="s">
        <v>684</v>
      </c>
      <c r="I7" t="s">
        <v>38</v>
      </c>
      <c r="J7" t="s">
        <v>125</v>
      </c>
      <c r="K7" t="s">
        <v>62</v>
      </c>
      <c r="L7" s="188">
        <v>2000000</v>
      </c>
      <c r="N7">
        <v>60000</v>
      </c>
      <c r="P7" s="188">
        <f t="shared" si="0"/>
        <v>14900</v>
      </c>
      <c r="Q7" s="9">
        <f t="shared" si="1"/>
        <v>74900</v>
      </c>
      <c r="R7" s="9">
        <f>39950+34950</f>
        <v>74900</v>
      </c>
      <c r="S7" s="231">
        <f t="shared" si="2"/>
        <v>0</v>
      </c>
    </row>
    <row r="8" spans="1:27" x14ac:dyDescent="0.3">
      <c r="A8" t="s">
        <v>189</v>
      </c>
      <c r="B8" t="s">
        <v>711</v>
      </c>
      <c r="C8" s="82">
        <v>44888</v>
      </c>
      <c r="E8" s="82">
        <v>45252</v>
      </c>
      <c r="F8" t="s">
        <v>712</v>
      </c>
      <c r="G8" s="11" t="s">
        <v>713</v>
      </c>
      <c r="H8" t="s">
        <v>714</v>
      </c>
      <c r="I8" t="s">
        <v>38</v>
      </c>
      <c r="J8" t="s">
        <v>76</v>
      </c>
      <c r="K8" t="s">
        <v>62</v>
      </c>
      <c r="L8" s="188">
        <v>4000000</v>
      </c>
      <c r="N8" s="188">
        <v>60000</v>
      </c>
      <c r="P8" s="188">
        <f t="shared" si="0"/>
        <v>14900</v>
      </c>
      <c r="Q8" s="9">
        <f t="shared" si="1"/>
        <v>74900</v>
      </c>
      <c r="R8" s="244">
        <v>74900</v>
      </c>
      <c r="S8" s="231">
        <f t="shared" si="2"/>
        <v>0</v>
      </c>
    </row>
    <row r="9" spans="1:27" ht="16.2" customHeight="1" x14ac:dyDescent="0.3">
      <c r="A9" t="s">
        <v>189</v>
      </c>
      <c r="B9" t="s">
        <v>761</v>
      </c>
      <c r="C9" s="82">
        <v>44936</v>
      </c>
      <c r="D9" s="83">
        <v>45025</v>
      </c>
      <c r="E9" s="82">
        <v>45384</v>
      </c>
      <c r="F9" t="s">
        <v>760</v>
      </c>
      <c r="G9" s="11" t="s">
        <v>452</v>
      </c>
      <c r="H9" t="s">
        <v>363</v>
      </c>
      <c r="I9" t="s">
        <v>38</v>
      </c>
      <c r="J9" t="s">
        <v>364</v>
      </c>
      <c r="K9" t="s">
        <v>62</v>
      </c>
      <c r="N9" s="188">
        <v>60000</v>
      </c>
      <c r="P9">
        <f t="shared" si="0"/>
        <v>14900</v>
      </c>
      <c r="Q9" s="9">
        <f t="shared" si="1"/>
        <v>74900</v>
      </c>
      <c r="R9" s="9">
        <f>39950+34950</f>
        <v>74900</v>
      </c>
      <c r="S9" s="231">
        <f t="shared" si="2"/>
        <v>0</v>
      </c>
    </row>
    <row r="10" spans="1:27" x14ac:dyDescent="0.3">
      <c r="A10" t="s">
        <v>638</v>
      </c>
      <c r="B10" t="s">
        <v>769</v>
      </c>
      <c r="C10" s="82">
        <v>44972</v>
      </c>
      <c r="E10" s="82">
        <v>45336</v>
      </c>
      <c r="F10" t="s">
        <v>770</v>
      </c>
      <c r="G10" s="11" t="s">
        <v>771</v>
      </c>
      <c r="H10" t="s">
        <v>772</v>
      </c>
      <c r="I10" t="s">
        <v>38</v>
      </c>
      <c r="J10" t="s">
        <v>773</v>
      </c>
      <c r="K10" t="s">
        <v>62</v>
      </c>
    </row>
    <row r="11" spans="1:27" x14ac:dyDescent="0.3">
      <c r="A11" t="s">
        <v>189</v>
      </c>
      <c r="B11" t="s">
        <v>774</v>
      </c>
      <c r="C11" s="82">
        <v>44992</v>
      </c>
      <c r="D11" s="83">
        <v>45083</v>
      </c>
      <c r="E11" s="82">
        <v>45357</v>
      </c>
      <c r="F11" t="s">
        <v>775</v>
      </c>
      <c r="H11" t="s">
        <v>776</v>
      </c>
      <c r="I11" t="s">
        <v>38</v>
      </c>
      <c r="J11" t="s">
        <v>777</v>
      </c>
      <c r="K11" t="s">
        <v>62</v>
      </c>
      <c r="N11" s="188">
        <v>60000</v>
      </c>
      <c r="P11" s="188">
        <f t="shared" ref="P11:P27" si="3">(N11+O11)*16.5%+5000</f>
        <v>14900</v>
      </c>
      <c r="Q11" s="244">
        <f t="shared" ref="Q11:Q27" si="4">SUM(N11:P11)</f>
        <v>74900</v>
      </c>
      <c r="R11" s="244">
        <f>39950+34950</f>
        <v>74900</v>
      </c>
      <c r="S11" s="249">
        <f t="shared" ref="S11:S23" si="5">Q11-R11</f>
        <v>0</v>
      </c>
    </row>
    <row r="12" spans="1:27" x14ac:dyDescent="0.3">
      <c r="A12" t="s">
        <v>189</v>
      </c>
      <c r="B12" t="s">
        <v>778</v>
      </c>
      <c r="C12" s="82">
        <v>44995</v>
      </c>
      <c r="D12" s="83">
        <v>45086</v>
      </c>
      <c r="E12" s="82">
        <v>45360</v>
      </c>
      <c r="F12" t="s">
        <v>443</v>
      </c>
      <c r="H12" t="s">
        <v>444</v>
      </c>
      <c r="I12" t="s">
        <v>38</v>
      </c>
      <c r="J12" t="s">
        <v>173</v>
      </c>
      <c r="K12" t="s">
        <v>62</v>
      </c>
      <c r="N12" s="188">
        <v>125000</v>
      </c>
      <c r="P12" s="188">
        <f t="shared" si="3"/>
        <v>25625</v>
      </c>
      <c r="Q12" s="244">
        <f t="shared" si="4"/>
        <v>150625</v>
      </c>
      <c r="R12" s="244">
        <f>77812.5+41313+31500</f>
        <v>150625.5</v>
      </c>
      <c r="S12" s="249">
        <f t="shared" si="5"/>
        <v>-0.5</v>
      </c>
    </row>
    <row r="13" spans="1:27" x14ac:dyDescent="0.3">
      <c r="A13" t="s">
        <v>190</v>
      </c>
      <c r="B13" t="s">
        <v>809</v>
      </c>
      <c r="C13" s="82">
        <v>45016</v>
      </c>
      <c r="D13" s="83">
        <v>45106</v>
      </c>
      <c r="F13" t="s">
        <v>810</v>
      </c>
      <c r="H13" t="s">
        <v>811</v>
      </c>
      <c r="I13" t="s">
        <v>38</v>
      </c>
      <c r="J13" t="s">
        <v>812</v>
      </c>
      <c r="K13" t="s">
        <v>62</v>
      </c>
      <c r="N13" s="188">
        <v>60000</v>
      </c>
      <c r="P13" s="188">
        <f t="shared" si="3"/>
        <v>14900</v>
      </c>
      <c r="Q13" s="244">
        <f t="shared" si="4"/>
        <v>74900</v>
      </c>
      <c r="R13" s="244">
        <v>39950</v>
      </c>
      <c r="S13" s="249">
        <f t="shared" si="5"/>
        <v>34950</v>
      </c>
    </row>
    <row r="14" spans="1:27" x14ac:dyDescent="0.3">
      <c r="A14" t="s">
        <v>638</v>
      </c>
      <c r="B14" t="s">
        <v>813</v>
      </c>
      <c r="C14" s="82">
        <v>45016</v>
      </c>
      <c r="D14" s="83">
        <v>45106</v>
      </c>
      <c r="E14" s="82">
        <v>45380</v>
      </c>
      <c r="F14" t="s">
        <v>814</v>
      </c>
      <c r="H14" t="s">
        <v>815</v>
      </c>
      <c r="I14" t="s">
        <v>38</v>
      </c>
      <c r="J14" t="s">
        <v>816</v>
      </c>
      <c r="K14" t="s">
        <v>62</v>
      </c>
      <c r="N14" s="188">
        <v>60000</v>
      </c>
      <c r="P14" s="188">
        <f t="shared" si="3"/>
        <v>14900</v>
      </c>
      <c r="Q14" s="244">
        <f t="shared" si="4"/>
        <v>74900</v>
      </c>
      <c r="R14" s="244">
        <f>39950+34950</f>
        <v>74900</v>
      </c>
      <c r="S14" s="231">
        <f t="shared" si="5"/>
        <v>0</v>
      </c>
    </row>
    <row r="15" spans="1:27" x14ac:dyDescent="0.3">
      <c r="A15" t="s">
        <v>190</v>
      </c>
      <c r="B15" t="s">
        <v>846</v>
      </c>
      <c r="C15" s="82">
        <v>45016</v>
      </c>
      <c r="D15" s="83">
        <v>45106</v>
      </c>
      <c r="E15" s="82">
        <v>45381</v>
      </c>
      <c r="F15" t="s">
        <v>847</v>
      </c>
      <c r="H15" t="s">
        <v>848</v>
      </c>
      <c r="I15" t="s">
        <v>38</v>
      </c>
      <c r="J15" t="s">
        <v>849</v>
      </c>
      <c r="K15" t="s">
        <v>62</v>
      </c>
      <c r="N15" s="188">
        <v>101791.78</v>
      </c>
      <c r="P15" s="188">
        <f t="shared" si="3"/>
        <v>21795.643700000001</v>
      </c>
      <c r="Q15" s="244">
        <f t="shared" si="4"/>
        <v>123587.4237</v>
      </c>
      <c r="R15" s="244">
        <f>61793.75+61793.67</f>
        <v>123587.42</v>
      </c>
      <c r="S15" s="231">
        <f t="shared" si="5"/>
        <v>3.7000000011175871E-3</v>
      </c>
    </row>
    <row r="16" spans="1:27" s="40" customFormat="1" x14ac:dyDescent="0.3">
      <c r="A16" s="121" t="s">
        <v>189</v>
      </c>
      <c r="B16" s="40" t="s">
        <v>817</v>
      </c>
      <c r="C16" s="136">
        <v>45019</v>
      </c>
      <c r="D16" s="137">
        <v>45109</v>
      </c>
      <c r="E16" s="136">
        <v>45384</v>
      </c>
      <c r="F16" s="40" t="s">
        <v>934</v>
      </c>
      <c r="H16" s="40" t="s">
        <v>818</v>
      </c>
      <c r="I16" s="40" t="s">
        <v>38</v>
      </c>
      <c r="J16" s="40" t="s">
        <v>819</v>
      </c>
      <c r="K16" s="40" t="s">
        <v>511</v>
      </c>
      <c r="L16" s="189">
        <v>5000000</v>
      </c>
      <c r="M16" s="242">
        <v>0.06</v>
      </c>
      <c r="N16" s="40">
        <f>L16*M16</f>
        <v>300000</v>
      </c>
      <c r="P16" s="189">
        <f t="shared" si="3"/>
        <v>54500</v>
      </c>
      <c r="Q16" s="242">
        <f t="shared" si="4"/>
        <v>354500</v>
      </c>
      <c r="R16" s="246">
        <f>179750+174750</f>
        <v>354500</v>
      </c>
      <c r="S16" s="217">
        <f t="shared" si="5"/>
        <v>0</v>
      </c>
      <c r="T16" s="232"/>
      <c r="X16" s="135"/>
      <c r="Y16" s="41"/>
    </row>
    <row r="17" spans="1:25" x14ac:dyDescent="0.3">
      <c r="A17" t="s">
        <v>190</v>
      </c>
      <c r="B17" t="s">
        <v>824</v>
      </c>
      <c r="C17" s="82">
        <v>45022</v>
      </c>
      <c r="D17" s="83">
        <v>45204</v>
      </c>
      <c r="E17" s="82">
        <v>45387</v>
      </c>
      <c r="F17" t="s">
        <v>825</v>
      </c>
      <c r="H17" t="s">
        <v>826</v>
      </c>
      <c r="I17" t="s">
        <v>38</v>
      </c>
      <c r="J17" t="s">
        <v>827</v>
      </c>
      <c r="K17" t="s">
        <v>511</v>
      </c>
      <c r="L17" s="188">
        <v>12500000</v>
      </c>
      <c r="M17" s="9">
        <v>7.1999999999999995E-2</v>
      </c>
      <c r="N17">
        <f>L17*M17</f>
        <v>899999.99999999988</v>
      </c>
      <c r="P17" s="189">
        <f t="shared" si="3"/>
        <v>153500</v>
      </c>
      <c r="Q17" s="242">
        <f t="shared" si="4"/>
        <v>1053500</v>
      </c>
      <c r="R17" s="244">
        <f>300000+400000+353499.98</f>
        <v>1053499.98</v>
      </c>
      <c r="S17" s="231">
        <f t="shared" si="5"/>
        <v>2.0000000018626451E-2</v>
      </c>
    </row>
    <row r="18" spans="1:25" s="121" customFormat="1" x14ac:dyDescent="0.3">
      <c r="A18" s="121" t="s">
        <v>189</v>
      </c>
      <c r="B18" s="121" t="s">
        <v>906</v>
      </c>
      <c r="C18" s="136">
        <v>45049</v>
      </c>
      <c r="D18" s="137"/>
      <c r="E18" s="136">
        <v>45414</v>
      </c>
      <c r="F18" s="121" t="s">
        <v>907</v>
      </c>
      <c r="H18" s="121" t="s">
        <v>908</v>
      </c>
      <c r="I18" s="121" t="s">
        <v>38</v>
      </c>
      <c r="J18" s="121" t="s">
        <v>909</v>
      </c>
      <c r="K18" s="121" t="s">
        <v>62</v>
      </c>
      <c r="L18" s="40"/>
      <c r="M18" s="242"/>
      <c r="N18" s="40">
        <v>60000</v>
      </c>
      <c r="O18" s="40"/>
      <c r="P18">
        <f t="shared" si="3"/>
        <v>14900</v>
      </c>
      <c r="Q18" s="9">
        <f t="shared" si="4"/>
        <v>74900</v>
      </c>
      <c r="R18" s="9">
        <v>74900</v>
      </c>
      <c r="S18" s="231">
        <f t="shared" si="5"/>
        <v>0</v>
      </c>
      <c r="T18" s="232"/>
      <c r="U18" s="40"/>
    </row>
    <row r="19" spans="1:25" x14ac:dyDescent="0.3">
      <c r="A19" t="s">
        <v>189</v>
      </c>
      <c r="B19" t="s">
        <v>801</v>
      </c>
      <c r="C19" s="82">
        <v>45056</v>
      </c>
      <c r="E19" s="82">
        <v>45421</v>
      </c>
      <c r="F19" t="s">
        <v>741</v>
      </c>
      <c r="H19" t="s">
        <v>802</v>
      </c>
      <c r="I19" t="s">
        <v>38</v>
      </c>
      <c r="J19" t="s">
        <v>803</v>
      </c>
      <c r="K19" t="s">
        <v>62</v>
      </c>
      <c r="N19">
        <v>60000</v>
      </c>
      <c r="P19">
        <f t="shared" si="3"/>
        <v>14900</v>
      </c>
      <c r="Q19" s="9">
        <f t="shared" si="4"/>
        <v>74900</v>
      </c>
      <c r="R19" s="9">
        <v>74900</v>
      </c>
      <c r="S19" s="231">
        <f t="shared" si="5"/>
        <v>0</v>
      </c>
    </row>
    <row r="20" spans="1:25" x14ac:dyDescent="0.3">
      <c r="A20" t="s">
        <v>189</v>
      </c>
      <c r="B20" t="s">
        <v>860</v>
      </c>
      <c r="C20" s="82">
        <v>45072</v>
      </c>
      <c r="E20" s="82">
        <v>45437</v>
      </c>
      <c r="F20" t="s">
        <v>861</v>
      </c>
      <c r="H20" t="s">
        <v>862</v>
      </c>
      <c r="I20" t="s">
        <v>38</v>
      </c>
      <c r="J20" t="s">
        <v>19</v>
      </c>
      <c r="K20" t="s">
        <v>62</v>
      </c>
      <c r="N20">
        <v>60000</v>
      </c>
      <c r="P20">
        <f t="shared" si="3"/>
        <v>14900</v>
      </c>
      <c r="Q20" s="9">
        <f t="shared" si="4"/>
        <v>74900</v>
      </c>
      <c r="R20" s="9">
        <v>74900</v>
      </c>
      <c r="S20" s="231">
        <f t="shared" si="5"/>
        <v>0</v>
      </c>
    </row>
    <row r="21" spans="1:25" s="121" customFormat="1" x14ac:dyDescent="0.3">
      <c r="A21" s="121" t="s">
        <v>914</v>
      </c>
      <c r="B21" s="121" t="s">
        <v>915</v>
      </c>
      <c r="C21" s="136">
        <v>45118</v>
      </c>
      <c r="D21" s="137">
        <v>45209</v>
      </c>
      <c r="E21" s="136">
        <v>45483</v>
      </c>
      <c r="F21" s="121" t="s">
        <v>916</v>
      </c>
      <c r="H21" s="121" t="s">
        <v>917</v>
      </c>
      <c r="I21" s="121" t="s">
        <v>38</v>
      </c>
      <c r="J21" s="121" t="s">
        <v>216</v>
      </c>
      <c r="K21" s="121" t="s">
        <v>62</v>
      </c>
      <c r="L21" s="40"/>
      <c r="M21" s="242"/>
      <c r="N21" s="40">
        <v>60000</v>
      </c>
      <c r="O21" s="40"/>
      <c r="P21" s="40">
        <f t="shared" si="3"/>
        <v>14900</v>
      </c>
      <c r="Q21" s="242">
        <f t="shared" si="4"/>
        <v>74900</v>
      </c>
      <c r="R21" s="242">
        <f>39950+34950</f>
        <v>74900</v>
      </c>
      <c r="S21" s="232">
        <f t="shared" si="5"/>
        <v>0</v>
      </c>
      <c r="T21" s="232"/>
      <c r="U21" s="40"/>
      <c r="X21" s="155"/>
      <c r="Y21" s="137"/>
    </row>
    <row r="22" spans="1:25" s="121" customFormat="1" x14ac:dyDescent="0.3">
      <c r="A22" s="121" t="s">
        <v>189</v>
      </c>
      <c r="B22" s="121" t="s">
        <v>918</v>
      </c>
      <c r="C22" s="136">
        <v>45127</v>
      </c>
      <c r="D22" s="137"/>
      <c r="E22" s="136">
        <v>45492</v>
      </c>
      <c r="F22" s="121" t="s">
        <v>919</v>
      </c>
      <c r="H22" s="121" t="s">
        <v>920</v>
      </c>
      <c r="I22" s="121" t="s">
        <v>38</v>
      </c>
      <c r="J22" s="121" t="s">
        <v>921</v>
      </c>
      <c r="K22" s="121" t="s">
        <v>62</v>
      </c>
      <c r="L22" s="40"/>
      <c r="M22" s="242"/>
      <c r="N22" s="40">
        <v>60000</v>
      </c>
      <c r="O22" s="40"/>
      <c r="P22" s="40">
        <f t="shared" si="3"/>
        <v>14900</v>
      </c>
      <c r="Q22" s="242">
        <f t="shared" si="4"/>
        <v>74900</v>
      </c>
      <c r="R22" s="242">
        <v>74900</v>
      </c>
      <c r="S22" s="232">
        <f t="shared" si="5"/>
        <v>0</v>
      </c>
      <c r="T22" s="232"/>
      <c r="U22" s="40"/>
      <c r="X22" s="155"/>
      <c r="Y22" s="137"/>
    </row>
    <row r="23" spans="1:25" s="121" customFormat="1" x14ac:dyDescent="0.3">
      <c r="A23" s="121" t="s">
        <v>914</v>
      </c>
      <c r="B23" s="121" t="s">
        <v>911</v>
      </c>
      <c r="C23" s="136">
        <v>45138</v>
      </c>
      <c r="D23" s="137">
        <v>45229</v>
      </c>
      <c r="E23" s="136"/>
      <c r="F23" s="121" t="s">
        <v>912</v>
      </c>
      <c r="H23" s="121" t="s">
        <v>913</v>
      </c>
      <c r="I23" s="121" t="s">
        <v>38</v>
      </c>
      <c r="J23" s="121" t="s">
        <v>533</v>
      </c>
      <c r="K23" s="121" t="s">
        <v>62</v>
      </c>
      <c r="L23" s="40"/>
      <c r="M23" s="242"/>
      <c r="N23" s="40">
        <v>60000</v>
      </c>
      <c r="O23" s="40"/>
      <c r="P23" s="40">
        <f t="shared" si="3"/>
        <v>14900</v>
      </c>
      <c r="Q23" s="242">
        <f t="shared" si="4"/>
        <v>74900</v>
      </c>
      <c r="R23" s="242">
        <v>39950</v>
      </c>
      <c r="S23" s="232">
        <f t="shared" si="5"/>
        <v>34950</v>
      </c>
      <c r="T23" s="232"/>
      <c r="U23" s="40"/>
      <c r="X23" s="155"/>
      <c r="Y23" s="137"/>
    </row>
    <row r="24" spans="1:25" s="121" customFormat="1" x14ac:dyDescent="0.3">
      <c r="B24" s="121" t="s">
        <v>935</v>
      </c>
      <c r="C24" s="136">
        <v>45148</v>
      </c>
      <c r="D24" s="137">
        <v>45239</v>
      </c>
      <c r="E24" s="136"/>
      <c r="F24" s="121" t="s">
        <v>936</v>
      </c>
      <c r="H24" s="121" t="s">
        <v>597</v>
      </c>
      <c r="I24" s="121" t="s">
        <v>38</v>
      </c>
      <c r="J24" s="121" t="s">
        <v>61</v>
      </c>
      <c r="K24" s="121" t="s">
        <v>62</v>
      </c>
      <c r="L24" s="40"/>
      <c r="M24" s="242"/>
      <c r="N24" s="40">
        <v>60000</v>
      </c>
      <c r="O24" s="40"/>
      <c r="P24" s="40">
        <f t="shared" si="3"/>
        <v>14900</v>
      </c>
      <c r="Q24" s="242">
        <f t="shared" si="4"/>
        <v>74900</v>
      </c>
      <c r="R24" s="242">
        <v>39950</v>
      </c>
      <c r="S24" s="232"/>
      <c r="T24" s="232"/>
      <c r="U24" s="40"/>
      <c r="X24" s="155"/>
      <c r="Y24" s="137"/>
    </row>
    <row r="25" spans="1:25" x14ac:dyDescent="0.3">
      <c r="A25" t="s">
        <v>637</v>
      </c>
      <c r="B25" s="121" t="s">
        <v>962</v>
      </c>
      <c r="C25" s="82">
        <v>45163</v>
      </c>
      <c r="D25" s="83">
        <v>45254</v>
      </c>
      <c r="F25" s="121" t="s">
        <v>963</v>
      </c>
      <c r="H25" s="121" t="s">
        <v>964</v>
      </c>
      <c r="I25" s="121" t="s">
        <v>38</v>
      </c>
      <c r="J25" s="121" t="s">
        <v>125</v>
      </c>
      <c r="K25" s="121" t="s">
        <v>62</v>
      </c>
      <c r="N25" s="40">
        <v>60000</v>
      </c>
      <c r="P25" s="40">
        <f t="shared" si="3"/>
        <v>14900</v>
      </c>
      <c r="Q25" s="242">
        <f t="shared" si="4"/>
        <v>74900</v>
      </c>
      <c r="R25" s="9">
        <v>39950</v>
      </c>
    </row>
    <row r="26" spans="1:25" s="166" customFormat="1" x14ac:dyDescent="0.3">
      <c r="A26" s="165" t="s">
        <v>190</v>
      </c>
      <c r="B26" s="166" t="s">
        <v>971</v>
      </c>
      <c r="C26" s="167">
        <v>45171</v>
      </c>
      <c r="D26" s="168">
        <v>45261</v>
      </c>
      <c r="E26" s="167"/>
      <c r="F26" s="166" t="s">
        <v>972</v>
      </c>
      <c r="H26" s="166" t="s">
        <v>973</v>
      </c>
      <c r="I26" s="166" t="s">
        <v>974</v>
      </c>
      <c r="J26" s="166" t="s">
        <v>542</v>
      </c>
      <c r="K26" s="166" t="s">
        <v>62</v>
      </c>
      <c r="M26" s="243"/>
      <c r="N26" s="166">
        <v>60000</v>
      </c>
      <c r="P26" s="166">
        <f t="shared" si="3"/>
        <v>14900</v>
      </c>
      <c r="Q26" s="243">
        <f t="shared" si="4"/>
        <v>74900</v>
      </c>
      <c r="R26" s="243">
        <v>39950</v>
      </c>
      <c r="S26" s="234"/>
      <c r="T26" s="234"/>
    </row>
    <row r="27" spans="1:25" s="166" customFormat="1" x14ac:dyDescent="0.3">
      <c r="A27" s="165"/>
      <c r="B27" s="166" t="s">
        <v>991</v>
      </c>
      <c r="C27" s="167">
        <v>45181</v>
      </c>
      <c r="D27" s="168">
        <v>45271</v>
      </c>
      <c r="E27" s="167"/>
      <c r="F27" s="166" t="s">
        <v>992</v>
      </c>
      <c r="H27" s="166" t="s">
        <v>993</v>
      </c>
      <c r="I27" s="166" t="s">
        <v>38</v>
      </c>
      <c r="J27" s="166" t="s">
        <v>994</v>
      </c>
      <c r="K27" s="166" t="s">
        <v>62</v>
      </c>
      <c r="M27" s="243"/>
      <c r="N27" s="166">
        <v>60000</v>
      </c>
      <c r="P27" s="166">
        <f t="shared" si="3"/>
        <v>14900</v>
      </c>
      <c r="Q27" s="243">
        <f t="shared" si="4"/>
        <v>74900</v>
      </c>
      <c r="R27" s="243">
        <v>39950</v>
      </c>
      <c r="S27" s="234"/>
      <c r="T27" s="234"/>
    </row>
    <row r="28" spans="1:25" s="166" customFormat="1" x14ac:dyDescent="0.3">
      <c r="A28" s="165"/>
      <c r="B28" s="166" t="s">
        <v>995</v>
      </c>
      <c r="C28" s="167">
        <v>45182</v>
      </c>
      <c r="D28" s="168"/>
      <c r="E28" s="167">
        <v>45547</v>
      </c>
      <c r="F28" s="166" t="s">
        <v>996</v>
      </c>
      <c r="M28" s="243"/>
      <c r="Q28" s="243"/>
      <c r="R28" s="243"/>
      <c r="S28" s="234"/>
      <c r="T28" s="23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"/>
  <sheetViews>
    <sheetView workbookViewId="0">
      <selection activeCell="A2" sqref="A2"/>
    </sheetView>
  </sheetViews>
  <sheetFormatPr defaultRowHeight="14.4" x14ac:dyDescent="0.3"/>
  <cols>
    <col min="1" max="1" width="20" customWidth="1"/>
    <col min="2" max="2" width="16" customWidth="1"/>
    <col min="3" max="3" width="14.109375" customWidth="1"/>
    <col min="4" max="4" width="17.33203125" customWidth="1"/>
    <col min="5" max="5" width="12" customWidth="1"/>
    <col min="6" max="6" width="20.6640625" customWidth="1"/>
    <col min="7" max="7" width="16.44140625" customWidth="1"/>
    <col min="8" max="8" width="12.33203125" customWidth="1"/>
    <col min="9" max="9" width="11.88671875" customWidth="1"/>
    <col min="10" max="10" width="13.44140625" customWidth="1"/>
    <col min="11" max="11" width="15.44140625" customWidth="1"/>
    <col min="12" max="12" width="13.5546875" customWidth="1"/>
    <col min="13" max="13" width="18.109375" customWidth="1"/>
    <col min="14" max="14" width="16.77734375" customWidth="1"/>
    <col min="15" max="15" width="15.44140625" customWidth="1"/>
    <col min="16" max="16" width="22.5546875" customWidth="1"/>
    <col min="17" max="17" width="15.44140625" customWidth="1"/>
    <col min="18" max="18" width="17.88671875" customWidth="1"/>
    <col min="19" max="19" width="14.6640625" customWidth="1"/>
    <col min="20" max="20" width="17.88671875" customWidth="1"/>
    <col min="21" max="21" width="23.5546875" customWidth="1"/>
    <col min="22" max="22" width="26.44140625" customWidth="1"/>
    <col min="23" max="23" width="16.21875" customWidth="1"/>
    <col min="24" max="24" width="13.5546875" customWidth="1"/>
    <col min="25" max="25" width="31.109375" customWidth="1"/>
    <col min="26" max="26" width="19.6640625" customWidth="1"/>
    <col min="27" max="27" width="19" customWidth="1"/>
  </cols>
  <sheetData>
    <row r="1" spans="1:28" s="173" customFormat="1" ht="60.6" customHeight="1" x14ac:dyDescent="0.35">
      <c r="A1" s="174" t="s">
        <v>1049</v>
      </c>
      <c r="B1" s="175" t="s">
        <v>1050</v>
      </c>
      <c r="C1" s="175" t="s">
        <v>0</v>
      </c>
      <c r="D1" s="175" t="s">
        <v>1051</v>
      </c>
      <c r="E1" s="175" t="s">
        <v>1052</v>
      </c>
      <c r="F1" s="173" t="s">
        <v>3</v>
      </c>
      <c r="G1" s="175" t="s">
        <v>344</v>
      </c>
      <c r="H1" s="173" t="s">
        <v>1053</v>
      </c>
      <c r="I1" s="173" t="s">
        <v>1055</v>
      </c>
      <c r="J1" s="175" t="s">
        <v>1054</v>
      </c>
      <c r="K1" s="175" t="s">
        <v>18</v>
      </c>
      <c r="L1" s="175" t="s">
        <v>5</v>
      </c>
      <c r="M1" s="175" t="s">
        <v>6</v>
      </c>
      <c r="N1" s="175" t="s">
        <v>7</v>
      </c>
      <c r="O1" s="175" t="s">
        <v>8</v>
      </c>
      <c r="P1" s="175" t="s">
        <v>42</v>
      </c>
      <c r="Q1" s="175" t="s">
        <v>21</v>
      </c>
      <c r="R1" s="175" t="s">
        <v>9</v>
      </c>
      <c r="S1" s="175" t="s">
        <v>56</v>
      </c>
      <c r="T1" s="175" t="s">
        <v>1056</v>
      </c>
      <c r="U1" s="175" t="s">
        <v>11</v>
      </c>
      <c r="V1" s="175" t="s">
        <v>22</v>
      </c>
      <c r="W1" s="175" t="s">
        <v>1057</v>
      </c>
      <c r="X1" s="175" t="s">
        <v>1058</v>
      </c>
      <c r="Y1" s="175" t="s">
        <v>55</v>
      </c>
      <c r="Z1" s="175" t="s">
        <v>97</v>
      </c>
      <c r="AA1" s="175" t="s">
        <v>98</v>
      </c>
      <c r="AB1" s="173" t="s">
        <v>116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CIC</vt:lpstr>
      <vt:lpstr>NICOGEN</vt:lpstr>
      <vt:lpstr>Reunion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KAPUTENI</dc:creator>
  <cp:lastModifiedBy>Precious Chautsi</cp:lastModifiedBy>
  <cp:lastPrinted>2021-08-12T07:48:40Z</cp:lastPrinted>
  <dcterms:created xsi:type="dcterms:W3CDTF">2020-09-08T06:27:33Z</dcterms:created>
  <dcterms:modified xsi:type="dcterms:W3CDTF">2023-11-27T22:16:20Z</dcterms:modified>
</cp:coreProperties>
</file>