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d6089\Dropbox (Facebook)\Python data processing\"/>
    </mc:Choice>
  </mc:AlternateContent>
  <xr:revisionPtr revIDLastSave="0" documentId="8_{E39C37F2-F190-4DD6-A019-4E7DFA38E42E}" xr6:coauthVersionLast="45" xr6:coauthVersionMax="45" xr10:uidLastSave="{00000000-0000-0000-0000-000000000000}"/>
  <bookViews>
    <workbookView xWindow="-108" yWindow="-108" windowWidth="23256" windowHeight="12576" xr2:uid="{0045E218-D11D-4AFC-AFBB-0DE41AE9E0F2}"/>
  </bookViews>
  <sheets>
    <sheet name="normal to eyebox origin" sheetId="1" r:id="rId1"/>
    <sheet name="Field angles for MTFtester" sheetId="4" r:id="rId2"/>
    <sheet name="normal to waveguide origin" sheetId="3" r:id="rId3"/>
    <sheet name="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2" i="4"/>
  <c r="F3" i="4"/>
  <c r="E4" i="4"/>
  <c r="F4" i="4"/>
  <c r="E5" i="4"/>
  <c r="F5" i="4"/>
  <c r="E6" i="4"/>
  <c r="F6" i="4"/>
  <c r="E7" i="4"/>
  <c r="F7" i="4"/>
  <c r="E8" i="4"/>
  <c r="F8" i="4"/>
  <c r="F2" i="4"/>
  <c r="C2" i="4"/>
  <c r="D2" i="4"/>
  <c r="D3" i="4"/>
  <c r="D4" i="4"/>
  <c r="D5" i="4"/>
  <c r="D6" i="4"/>
  <c r="D7" i="4"/>
  <c r="D8" i="4"/>
  <c r="C3" i="4"/>
  <c r="C4" i="4"/>
  <c r="C5" i="4"/>
  <c r="C6" i="4"/>
  <c r="C7" i="4"/>
  <c r="C8" i="4"/>
  <c r="L17" i="3" l="1"/>
  <c r="L16" i="3"/>
  <c r="L15" i="3"/>
  <c r="AJ2" i="3" a="1"/>
  <c r="AJ2" i="3" s="1"/>
  <c r="AF2" i="3" a="1"/>
  <c r="AF2" i="3" s="1"/>
  <c r="AB2" i="3" a="1"/>
  <c r="AB2" i="3" s="1"/>
  <c r="X2" i="3" a="1"/>
  <c r="X2" i="3" s="1"/>
  <c r="V20" i="3"/>
  <c r="V18" i="3"/>
  <c r="V15" i="3"/>
  <c r="V14" i="3"/>
  <c r="V13" i="3"/>
  <c r="V9" i="3"/>
  <c r="V8" i="3"/>
  <c r="V7" i="3"/>
  <c r="V4" i="3"/>
  <c r="V3" i="3"/>
  <c r="V2" i="3"/>
  <c r="U7" i="3"/>
  <c r="U15" i="3"/>
  <c r="T15" i="3"/>
  <c r="S15" i="3"/>
  <c r="U14" i="3"/>
  <c r="T14" i="3"/>
  <c r="S14" i="3"/>
  <c r="U13" i="3"/>
  <c r="T13" i="3"/>
  <c r="S13" i="3"/>
  <c r="S20" i="3"/>
  <c r="S19" i="3"/>
  <c r="S18" i="3"/>
  <c r="L7" i="3"/>
  <c r="L20" i="3"/>
  <c r="L19" i="3"/>
  <c r="L18" i="3"/>
  <c r="L8" i="3"/>
  <c r="L6" i="3"/>
  <c r="L23" i="3"/>
  <c r="L22" i="3"/>
  <c r="L21" i="3"/>
  <c r="L13" i="3" l="1"/>
  <c r="Q10" i="3"/>
  <c r="Q6" i="3" s="1"/>
  <c r="N10" i="3"/>
  <c r="D10" i="3"/>
  <c r="H10" i="3" s="1"/>
  <c r="C10" i="3"/>
  <c r="G10" i="3" s="1"/>
  <c r="Q9" i="3"/>
  <c r="Q5" i="3" s="1"/>
  <c r="N9" i="3"/>
  <c r="N5" i="3" s="1"/>
  <c r="D9" i="3"/>
  <c r="H9" i="3" s="1"/>
  <c r="C9" i="3"/>
  <c r="G9" i="3" s="1"/>
  <c r="Q8" i="3"/>
  <c r="Q14" i="3" s="1"/>
  <c r="N8" i="3"/>
  <c r="N7" i="3" s="1"/>
  <c r="D8" i="3"/>
  <c r="H8" i="3" s="1"/>
  <c r="C8" i="3"/>
  <c r="G8" i="3" s="1"/>
  <c r="D7" i="3"/>
  <c r="H7" i="3" s="1"/>
  <c r="C7" i="3"/>
  <c r="G7" i="3" s="1"/>
  <c r="G6" i="3"/>
  <c r="D6" i="3"/>
  <c r="H6" i="3" s="1"/>
  <c r="C6" i="3"/>
  <c r="D5" i="3"/>
  <c r="H5" i="3" s="1"/>
  <c r="C5" i="3"/>
  <c r="G5" i="3" s="1"/>
  <c r="Q4" i="3"/>
  <c r="R4" i="3" s="1"/>
  <c r="N4" i="3"/>
  <c r="O4" i="3" s="1"/>
  <c r="D4" i="3"/>
  <c r="H4" i="3" s="1"/>
  <c r="C4" i="3"/>
  <c r="G4" i="3" s="1"/>
  <c r="D3" i="3"/>
  <c r="H3" i="3" s="1"/>
  <c r="C3" i="3"/>
  <c r="G3" i="3" s="1"/>
  <c r="Q2" i="3"/>
  <c r="Q12" i="3" s="1"/>
  <c r="R3" i="3" s="1"/>
  <c r="N2" i="3"/>
  <c r="N12" i="3" s="1"/>
  <c r="O3" i="3" s="1"/>
  <c r="H2" i="3"/>
  <c r="G2" i="3"/>
  <c r="X2" i="1" a="1"/>
  <c r="X2" i="1" s="1"/>
  <c r="AB2" i="1" a="1"/>
  <c r="AB2" i="1" s="1"/>
  <c r="AF2" i="1" a="1"/>
  <c r="AF2" i="1" s="1"/>
  <c r="AJ2" i="1" a="1"/>
  <c r="AJ2" i="1" s="1"/>
  <c r="U2" i="3" l="1"/>
  <c r="T18" i="3"/>
  <c r="T7" i="3"/>
  <c r="U18" i="3"/>
  <c r="T2" i="3"/>
  <c r="N6" i="3"/>
  <c r="R8" i="3"/>
  <c r="R9" i="3"/>
  <c r="R10" i="3"/>
  <c r="Q7" i="3"/>
  <c r="O2" i="3"/>
  <c r="R2" i="3"/>
  <c r="N14" i="3"/>
  <c r="O8" i="3" s="1"/>
  <c r="L13" i="1"/>
  <c r="L14" i="1"/>
  <c r="V20" i="1"/>
  <c r="V19" i="1"/>
  <c r="V18" i="1"/>
  <c r="V13" i="1"/>
  <c r="V14" i="1"/>
  <c r="V15" i="1"/>
  <c r="V4" i="1"/>
  <c r="V9" i="1"/>
  <c r="U7" i="1"/>
  <c r="T7" i="1"/>
  <c r="S7" i="1"/>
  <c r="S20" i="1"/>
  <c r="T20" i="1"/>
  <c r="U20" i="1"/>
  <c r="U19" i="1"/>
  <c r="T19" i="1"/>
  <c r="S19" i="1"/>
  <c r="U18" i="1"/>
  <c r="T18" i="1"/>
  <c r="S18" i="1"/>
  <c r="U15" i="1"/>
  <c r="T15" i="1"/>
  <c r="S15" i="1"/>
  <c r="U14" i="1"/>
  <c r="T14" i="1"/>
  <c r="S14" i="1"/>
  <c r="U13" i="1"/>
  <c r="T13" i="1"/>
  <c r="S13" i="1"/>
  <c r="U9" i="1"/>
  <c r="T9" i="1"/>
  <c r="S9" i="1"/>
  <c r="U8" i="1"/>
  <c r="T8" i="1"/>
  <c r="S8" i="1"/>
  <c r="U2" i="1"/>
  <c r="S4" i="3" l="1"/>
  <c r="R12" i="3"/>
  <c r="S7" i="3"/>
  <c r="O12" i="3"/>
  <c r="S2" i="3"/>
  <c r="R14" i="3"/>
  <c r="S9" i="3"/>
  <c r="O10" i="3"/>
  <c r="U20" i="3"/>
  <c r="U9" i="3"/>
  <c r="O6" i="3"/>
  <c r="O9" i="3"/>
  <c r="T20" i="3"/>
  <c r="T9" i="3"/>
  <c r="N13" i="3"/>
  <c r="Q13" i="3"/>
  <c r="Q4" i="1"/>
  <c r="Q2" i="1"/>
  <c r="Q10" i="1"/>
  <c r="Q9" i="1"/>
  <c r="Q5" i="1" s="1"/>
  <c r="Q8" i="1"/>
  <c r="T3" i="3" l="1"/>
  <c r="L14" i="3"/>
  <c r="U4" i="3"/>
  <c r="R6" i="3"/>
  <c r="R5" i="3"/>
  <c r="R7" i="3"/>
  <c r="O5" i="3"/>
  <c r="O7" i="3"/>
  <c r="T4" i="3"/>
  <c r="V19" i="3"/>
  <c r="O14" i="3"/>
  <c r="Q7" i="1"/>
  <c r="Q6" i="1"/>
  <c r="Q13" i="1"/>
  <c r="R6" i="1" s="1"/>
  <c r="U3" i="3" l="1"/>
  <c r="S3" i="3"/>
  <c r="O13" i="3"/>
  <c r="S8" i="3"/>
  <c r="R13" i="3"/>
  <c r="U8" i="3"/>
  <c r="U19" i="3"/>
  <c r="T8" i="3"/>
  <c r="T19" i="3"/>
  <c r="Q12" i="1"/>
  <c r="R4" i="1" s="1"/>
  <c r="N7" i="1"/>
  <c r="N4" i="1"/>
  <c r="N2" i="1"/>
  <c r="N8" i="1"/>
  <c r="N9" i="1"/>
  <c r="N10" i="1"/>
  <c r="L8" i="1"/>
  <c r="H2" i="1"/>
  <c r="G2" i="1"/>
  <c r="N12" i="1" l="1"/>
  <c r="O3" i="1"/>
  <c r="O2" i="1"/>
  <c r="V2" i="1" s="1"/>
  <c r="O4" i="1"/>
  <c r="N5" i="1"/>
  <c r="N6" i="1"/>
  <c r="N14" i="1"/>
  <c r="O9" i="1" s="1"/>
  <c r="R2" i="1"/>
  <c r="R3" i="1"/>
  <c r="Q14" i="1"/>
  <c r="D10" i="1"/>
  <c r="H10" i="1" s="1"/>
  <c r="C10" i="1"/>
  <c r="G10" i="1" s="1"/>
  <c r="D9" i="1"/>
  <c r="H9" i="1" s="1"/>
  <c r="C9" i="1"/>
  <c r="G9" i="1" s="1"/>
  <c r="D8" i="1"/>
  <c r="H8" i="1" s="1"/>
  <c r="C8" i="1"/>
  <c r="G8" i="1" s="1"/>
  <c r="D7" i="1"/>
  <c r="H7" i="1" s="1"/>
  <c r="C7" i="1"/>
  <c r="G7" i="1" s="1"/>
  <c r="D6" i="1"/>
  <c r="H6" i="1" s="1"/>
  <c r="C6" i="1"/>
  <c r="G6" i="1" s="1"/>
  <c r="D5" i="1"/>
  <c r="H5" i="1" s="1"/>
  <c r="D3" i="1"/>
  <c r="H3" i="1" s="1"/>
  <c r="C5" i="1"/>
  <c r="G5" i="1" s="1"/>
  <c r="C4" i="1"/>
  <c r="G4" i="1" s="1"/>
  <c r="D4" i="1"/>
  <c r="H4" i="1" s="1"/>
  <c r="C3" i="1"/>
  <c r="G3" i="1" s="1"/>
  <c r="L16" i="1" l="1"/>
  <c r="T4" i="1"/>
  <c r="N13" i="1"/>
  <c r="O7" i="1" s="1"/>
  <c r="O5" i="1"/>
  <c r="O8" i="1"/>
  <c r="O10" i="1"/>
  <c r="S2" i="1"/>
  <c r="O12" i="1"/>
  <c r="T2" i="1"/>
  <c r="V7" i="1"/>
  <c r="R12" i="1"/>
  <c r="R7" i="1"/>
  <c r="R5" i="1"/>
  <c r="R9" i="1"/>
  <c r="L19" i="1" s="1"/>
  <c r="R8" i="1"/>
  <c r="L18" i="1" s="1"/>
  <c r="R10" i="1"/>
  <c r="L20" i="1" s="1"/>
  <c r="U4" i="1" l="1"/>
  <c r="L17" i="1"/>
  <c r="L15" i="1"/>
  <c r="O14" i="1"/>
  <c r="S4" i="1"/>
  <c r="S3" i="1"/>
  <c r="U3" i="1"/>
  <c r="O6" i="1"/>
  <c r="R14" i="1"/>
  <c r="R13" i="1"/>
  <c r="V8" i="1"/>
  <c r="T3" i="1" l="1"/>
  <c r="O13" i="1"/>
  <c r="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<sst xmlns="http://schemas.openxmlformats.org/spreadsheetml/2006/main" count="278" uniqueCount="125">
  <si>
    <t>Tilt(deg)</t>
  </si>
  <si>
    <t>Eye relief distance(mm)</t>
  </si>
  <si>
    <t>Region1-center</t>
  </si>
  <si>
    <t>Region1-bottom</t>
  </si>
  <si>
    <t>Region1-top</t>
  </si>
  <si>
    <t>region1x</t>
  </si>
  <si>
    <t>region1y</t>
  </si>
  <si>
    <t>region2x</t>
  </si>
  <si>
    <t>region2y</t>
  </si>
  <si>
    <t>Righteye rotate 180 deg to lefteye</t>
  </si>
  <si>
    <t>L_eyebox X(mm)</t>
  </si>
  <si>
    <t>L-eyebox Y(mm)</t>
  </si>
  <si>
    <t>Region1-temple</t>
  </si>
  <si>
    <t>Region1-nasal</t>
  </si>
  <si>
    <t>Region2-toptemp</t>
  </si>
  <si>
    <t>Region2-topnasal</t>
  </si>
  <si>
    <t>Region2-bottomnasal</t>
  </si>
  <si>
    <t>Region2-bottomtemp</t>
  </si>
  <si>
    <t>R_eyebox X(mm)</t>
  </si>
  <si>
    <t>R-eyebox Y(mm)</t>
  </si>
  <si>
    <t>Cant right(deg)</t>
  </si>
  <si>
    <t>Cant left (deg)</t>
  </si>
  <si>
    <t>Lefteye</t>
  </si>
  <si>
    <t>Reference to change of coordinates</t>
  </si>
  <si>
    <t>https://blog.csdn.net/jc_laoshu/article/details/69657579</t>
  </si>
  <si>
    <t>Ux</t>
  </si>
  <si>
    <t>Uy</t>
  </si>
  <si>
    <t>Uz</t>
  </si>
  <si>
    <t>Vx</t>
  </si>
  <si>
    <t>Vy</t>
  </si>
  <si>
    <t>Vz</t>
  </si>
  <si>
    <t>Nx</t>
  </si>
  <si>
    <t>Ny</t>
  </si>
  <si>
    <t>Nz</t>
  </si>
  <si>
    <t>Righteye</t>
  </si>
  <si>
    <t>Translation</t>
  </si>
  <si>
    <t>Normalized</t>
  </si>
  <si>
    <t>sum_U</t>
  </si>
  <si>
    <t>sum_V</t>
  </si>
  <si>
    <t>sum_N</t>
  </si>
  <si>
    <t>Matlab calculate</t>
  </si>
  <si>
    <t>Eyebox region</t>
  </si>
  <si>
    <t>Location</t>
  </si>
  <si>
    <t>Lefteye_X(mm)</t>
  </si>
  <si>
    <t>Lefteye_Y(mm)</t>
  </si>
  <si>
    <t>Lefteye_Z(mm)</t>
  </si>
  <si>
    <t>Righteye_X(mm)</t>
  </si>
  <si>
    <t>Righteye_Y(mm)</t>
  </si>
  <si>
    <t>Righteye_Z(mm)</t>
  </si>
  <si>
    <t>center</t>
  </si>
  <si>
    <t>temple</t>
  </si>
  <si>
    <t>top</t>
  </si>
  <si>
    <t>nasal</t>
  </si>
  <si>
    <t>bottom</t>
  </si>
  <si>
    <t>toptemp</t>
  </si>
  <si>
    <t>topnasal</t>
  </si>
  <si>
    <t>bottomnasal</t>
  </si>
  <si>
    <t>bottomtemp</t>
  </si>
  <si>
    <t>Distance BWG</t>
  </si>
  <si>
    <t>WG thickness(mm)</t>
  </si>
  <si>
    <t>airgap thickness(mm)</t>
  </si>
  <si>
    <t>Walkoff_Red(mm)</t>
  </si>
  <si>
    <t>Walkoff_Blue&amp;Stack(mm)</t>
  </si>
  <si>
    <t>WG refractive index</t>
  </si>
  <si>
    <t>L_Blue&amp;Stack_WG X(mm)</t>
  </si>
  <si>
    <t>L_Blue&amp;Stack_WG Y(mm)</t>
  </si>
  <si>
    <t>L_Blue&amp;Stack_WG Z(mm)</t>
  </si>
  <si>
    <t>R_Blue&amp;Stack_WG X(mm)</t>
  </si>
  <si>
    <t>R_Blue&amp;Stack_WG Y(mm)</t>
  </si>
  <si>
    <t>R_Blue&amp;Stack_WG Z(mm)</t>
  </si>
  <si>
    <t>R_Red_WG X(mm)</t>
  </si>
  <si>
    <t>R_Red_WG Y(mm)</t>
  </si>
  <si>
    <t>R_Red_WG Z(mm)</t>
  </si>
  <si>
    <t>X0_Red</t>
  </si>
  <si>
    <t>Y0_Red</t>
  </si>
  <si>
    <t>Z0_Red</t>
  </si>
  <si>
    <t>X0_Blue&amp;Stack_Leye</t>
  </si>
  <si>
    <t>Y0_Blue&amp;Stack_Leye</t>
  </si>
  <si>
    <t>Z0_Blue&amp;Stack_Leye</t>
  </si>
  <si>
    <t>X0_Blue&amp;Stack_Reye</t>
  </si>
  <si>
    <t>Y0_Blue&amp;Stack_Reye</t>
  </si>
  <si>
    <t>Z0_Blue&amp;Stack_Reye</t>
  </si>
  <si>
    <t>Transform matrix_L_Red</t>
  </si>
  <si>
    <t>Transform matrix_R_Red</t>
  </si>
  <si>
    <t>Transform matrix_L_Blue&amp;Stack</t>
  </si>
  <si>
    <t>Transform matrix_R_Blue&amp;Stack</t>
  </si>
  <si>
    <t>L-eyebox Z(mm)</t>
  </si>
  <si>
    <t>R-eyebox Z(mm)</t>
  </si>
  <si>
    <t>L_Red_WG X(mm)</t>
  </si>
  <si>
    <t>L_Red_WG Y(mm)</t>
  </si>
  <si>
    <t>L_Red_WG Z(mm)</t>
  </si>
  <si>
    <t>Red WG</t>
  </si>
  <si>
    <t>Blue&amp;Stack WG</t>
  </si>
  <si>
    <t>Z0_Red_Leye</t>
  </si>
  <si>
    <t>Y0_Red_Leye</t>
  </si>
  <si>
    <t>X0_Red_Leye</t>
  </si>
  <si>
    <t>X0_Red_Reye</t>
  </si>
  <si>
    <t>Y0_Red_Reye</t>
  </si>
  <si>
    <t>Z0_Red_Reye</t>
  </si>
  <si>
    <t>normal to eyebox origin</t>
  </si>
  <si>
    <t>normal to waveguide origin</t>
  </si>
  <si>
    <t>Zone</t>
  </si>
  <si>
    <t>Lefteye_Angle_X(degree)</t>
  </si>
  <si>
    <t>Lefteye_Angle_Y(degree)</t>
  </si>
  <si>
    <t>Righteye_Angle_X(degree)</t>
  </si>
  <si>
    <t>Righteye_Angle_Y(degree)</t>
  </si>
  <si>
    <t>Center</t>
  </si>
  <si>
    <t>FOV_location</t>
  </si>
  <si>
    <t>A</t>
  </si>
  <si>
    <t>B</t>
  </si>
  <si>
    <t>C</t>
  </si>
  <si>
    <t>without offset</t>
  </si>
  <si>
    <t>Offset angle_x(deg)</t>
  </si>
  <si>
    <t>Offset angle_y(deg)</t>
  </si>
  <si>
    <t>Top_temporal</t>
  </si>
  <si>
    <t>Top_nasal</t>
  </si>
  <si>
    <t>Bottom_temporal</t>
  </si>
  <si>
    <t>Bottom_nasal</t>
  </si>
  <si>
    <t>Temperal</t>
  </si>
  <si>
    <t>Nasal</t>
  </si>
  <si>
    <t>L-Angle_X(degree)</t>
  </si>
  <si>
    <t>L_Angle_Y(degree)</t>
  </si>
  <si>
    <t>R_Angle_X(degree)</t>
  </si>
  <si>
    <t>R_Angle_Y(degree)</t>
  </si>
  <si>
    <t>Righteye rotated by 180deg to leftye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</si>
</sst>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424815</xdr:colOff>
      <xdr:row>26</xdr:row>
      <xdr:rowOff>104775</xdr:rowOff>
    </xdr:from>
    <xdr:to>
      <xdr:col>17</xdr:col>
      <xdr:colOff>965835</xdr:colOff>
      <xdr:row>35</xdr:row>
      <xdr:rowOff>13335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AE76D-B6A7-4D11-AF98-FD30216C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3335" y="4859655"/>
          <a:ext cx="627888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687705</xdr:colOff>
      <xdr:row>24</xdr:row>
      <xdr:rowOff>163830</xdr:rowOff>
    </xdr:from>
    <xdr:to>
      <xdr:col>10</xdr:col>
      <xdr:colOff>750001</xdr:colOff>
      <xdr:row>37</xdr:row>
      <xdr:rowOff>39726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CE6B38-DB18-42D4-9E40-DAB25DF5D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4065" y="4552950"/>
          <a:ext cx="4542856" cy="22533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424815</xdr:colOff>
      <xdr:row>26</xdr:row>
      <xdr:rowOff>104775</xdr:rowOff>
    </xdr:from>
    <xdr:to>
      <xdr:col>17</xdr:col>
      <xdr:colOff>965835</xdr:colOff>
      <xdr:row>35</xdr:row>
      <xdr:rowOff>13335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3622B-C812-4619-8D0E-07273E28F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3335" y="4859655"/>
          <a:ext cx="627888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687705</xdr:colOff>
      <xdr:row>24</xdr:row>
      <xdr:rowOff>163830</xdr:rowOff>
    </xdr:from>
    <xdr:to>
      <xdr:col>10</xdr:col>
      <xdr:colOff>750001</xdr:colOff>
      <xdr:row>37</xdr:row>
      <xdr:rowOff>39726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63A9AD-F6F8-48B2-B738-B89E97D9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4065" y="4552950"/>
          <a:ext cx="4542856" cy="225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jc_laoshu/article/details/6965757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jc_laoshu/article/details/696575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135A-18FB-4244-B87B-B1BA2322A0E4}">
  <dimension ref="A1:AM21"/>
  <sheetViews>
    <sheetView tabSelected="1" workbookViewId="0">
      <selection activeCell="X3" sqref="X3"/>
    </sheetView>
  </sheetViews>
  <sheetFormatPr defaultRowHeight="14.4" x14ac:dyDescent="0.3"/>
  <cols>
    <col min="1" max="1" width="14" customWidth="1"/>
    <col min="2" max="2" width="16.6640625" customWidth="1"/>
    <col min="3" max="3" width="12.6640625" customWidth="1"/>
    <col min="4" max="6" width="16" customWidth="1"/>
    <col min="7" max="10" width="12.33203125" customWidth="1"/>
    <col min="11" max="11" width="20" customWidth="1"/>
    <col min="13" max="13" width="12.44140625" customWidth="1"/>
    <col min="14" max="15" width="16.33203125" customWidth="1"/>
    <col min="16" max="16" width="15.109375" customWidth="1"/>
    <col min="17" max="18" width="14.5546875" customWidth="1"/>
    <col min="19" max="22" width="18.5546875" customWidth="1"/>
    <col min="23" max="23" width="21.5546875" customWidth="1"/>
    <col min="24" max="24" width="10.109375" customWidth="1"/>
    <col min="25" max="25" width="9.33203125" customWidth="1"/>
    <col min="26" max="26" width="11.6640625" customWidth="1"/>
    <col min="27" max="27" width="9.44140625" customWidth="1"/>
    <col min="28" max="28" width="11.21875" customWidth="1"/>
    <col min="29" max="30" width="11.109375" customWidth="1"/>
    <col min="34" max="34" width="10.21875" customWidth="1"/>
    <col min="35" max="35" width="11.88671875" customWidth="1"/>
  </cols>
  <sheetData>
    <row r="1" spans="1:39" x14ac:dyDescent="0.3">
      <c r="A1" t="s">
        <v>9</v>
      </c>
      <c r="C1" t="s">
        <v>10</v>
      </c>
      <c r="D1" t="s">
        <v>11</v>
      </c>
      <c r="E1" t="s">
        <v>86</v>
      </c>
      <c r="G1" t="s">
        <v>18</v>
      </c>
      <c r="H1" t="s">
        <v>19</v>
      </c>
      <c r="I1" t="s">
        <v>87</v>
      </c>
      <c r="K1" t="s">
        <v>21</v>
      </c>
      <c r="L1">
        <v>9</v>
      </c>
      <c r="M1" t="s">
        <v>22</v>
      </c>
      <c r="O1" t="s">
        <v>36</v>
      </c>
      <c r="P1" t="s">
        <v>34</v>
      </c>
      <c r="R1" t="s">
        <v>36</v>
      </c>
      <c r="S1" t="s">
        <v>82</v>
      </c>
      <c r="X1" t="s">
        <v>88</v>
      </c>
      <c r="Y1" t="s">
        <v>89</v>
      </c>
      <c r="Z1" t="s">
        <v>90</v>
      </c>
      <c r="AB1" t="s">
        <v>70</v>
      </c>
      <c r="AC1" t="s">
        <v>71</v>
      </c>
      <c r="AD1" t="s">
        <v>72</v>
      </c>
      <c r="AF1" t="s">
        <v>64</v>
      </c>
      <c r="AG1" t="s">
        <v>65</v>
      </c>
      <c r="AH1" t="s">
        <v>66</v>
      </c>
      <c r="AJ1" t="s">
        <v>67</v>
      </c>
      <c r="AK1" t="s">
        <v>68</v>
      </c>
      <c r="AL1" t="s">
        <v>69</v>
      </c>
    </row>
    <row r="2" spans="1:39" x14ac:dyDescent="0.3">
      <c r="A2" t="s">
        <v>5</v>
      </c>
      <c r="B2" t="s">
        <v>2</v>
      </c>
      <c r="C2">
        <v>0</v>
      </c>
      <c r="D2">
        <v>0.6</v>
      </c>
      <c r="E2">
        <v>0</v>
      </c>
      <c r="F2">
        <v>1</v>
      </c>
      <c r="G2">
        <f>C2</f>
        <v>0</v>
      </c>
      <c r="H2">
        <f>-D2</f>
        <v>-0.6</v>
      </c>
      <c r="I2">
        <v>0</v>
      </c>
      <c r="J2">
        <v>1</v>
      </c>
      <c r="K2" t="s">
        <v>20</v>
      </c>
      <c r="L2">
        <v>-9</v>
      </c>
      <c r="M2" t="s">
        <v>25</v>
      </c>
      <c r="N2">
        <f xml:space="preserve"> COS(RADIANS($L$1))</f>
        <v>0.98768834059513777</v>
      </c>
      <c r="O2">
        <f>N2/SQRT($N$12)</f>
        <v>0.98768834059513777</v>
      </c>
      <c r="P2" t="s">
        <v>25</v>
      </c>
      <c r="Q2">
        <f xml:space="preserve"> COS(RADIANS($L$2))</f>
        <v>0.98768834059513777</v>
      </c>
      <c r="R2">
        <f>Q2/SQRT($Q$12)</f>
        <v>0.98768834059513777</v>
      </c>
      <c r="S2">
        <f>$O$2</f>
        <v>0.98768834059513777</v>
      </c>
      <c r="T2">
        <f>$O$3</f>
        <v>0</v>
      </c>
      <c r="U2">
        <f>$O$4</f>
        <v>-0.15643446504023087</v>
      </c>
      <c r="V2">
        <f>-($L$6*$O$2+$L$7*$O$3+$L$8*$O$4)</f>
        <v>-2.9722548357643865</v>
      </c>
      <c r="W2" t="s">
        <v>2</v>
      </c>
      <c r="X2" cm="1">
        <f t="array" ref="X2:AA10">TRANSPOSE(MMULT($S$2:$V$5,TRANSPOSE($C$2:$F$10)))</f>
        <v>-2.9722548357643865</v>
      </c>
      <c r="Y2">
        <v>-1.9858884294591865</v>
      </c>
      <c r="Z2">
        <v>18.670349443355779</v>
      </c>
      <c r="AA2">
        <v>1</v>
      </c>
      <c r="AB2" cm="1">
        <f t="array" ref="AB2:AE10">TRANSPOSE(MMULT($S$7:$V$10, TRANSPOSE($G$2:$J$10)))</f>
        <v>-2.9722548357643865</v>
      </c>
      <c r="AC2">
        <v>1.9858884294591865</v>
      </c>
      <c r="AD2">
        <v>18.670349443355779</v>
      </c>
      <c r="AE2">
        <v>1</v>
      </c>
      <c r="AF2" cm="1">
        <f t="array" ref="AF2:AI10">TRANSPOSE(MMULT($S$13:$V$16,TRANSPOSE($C$2:$F$10)))</f>
        <v>-2.9722548357643861</v>
      </c>
      <c r="AG2">
        <v>-1.9858884294591865</v>
      </c>
      <c r="AH2">
        <v>19.370349443355778</v>
      </c>
      <c r="AI2">
        <v>1</v>
      </c>
      <c r="AJ2" cm="1">
        <f t="array" ref="AJ2:AM10">TRANSPOSE(MMULT($S$18:$V$21,TRANSPOSE($G$2:$J$10)))</f>
        <v>-2.9722548357643861</v>
      </c>
      <c r="AK2">
        <v>1.9858884294591865</v>
      </c>
      <c r="AL2">
        <v>19.370349443355778</v>
      </c>
      <c r="AM2">
        <v>1</v>
      </c>
    </row>
    <row r="3" spans="1:39" x14ac:dyDescent="0.3">
      <c r="A3">
        <v>5.3</v>
      </c>
      <c r="B3" t="s">
        <v>12</v>
      </c>
      <c r="C3">
        <f>$C$2-$A$3</f>
        <v>-5.3</v>
      </c>
      <c r="D3">
        <f>$D$2</f>
        <v>0.6</v>
      </c>
      <c r="E3">
        <v>0</v>
      </c>
      <c r="F3">
        <v>1</v>
      </c>
      <c r="G3">
        <f t="shared" ref="G3:G10" si="0">C3</f>
        <v>-5.3</v>
      </c>
      <c r="H3">
        <f t="shared" ref="H3:H10" si="1">-D3</f>
        <v>-0.6</v>
      </c>
      <c r="I3">
        <v>0</v>
      </c>
      <c r="J3">
        <v>1</v>
      </c>
      <c r="K3" t="s">
        <v>0</v>
      </c>
      <c r="L3">
        <v>-8</v>
      </c>
      <c r="M3" t="s">
        <v>26</v>
      </c>
      <c r="N3">
        <v>0</v>
      </c>
      <c r="O3">
        <f>N3/SQRT($N$12)</f>
        <v>0</v>
      </c>
      <c r="P3" t="s">
        <v>26</v>
      </c>
      <c r="Q3">
        <v>0</v>
      </c>
      <c r="R3">
        <f>Q3/SQRT($Q$12)</f>
        <v>0</v>
      </c>
      <c r="S3">
        <f>$O$5</f>
        <v>-2.1508524769359064E-2</v>
      </c>
      <c r="T3">
        <f>$O$6</f>
        <v>0.99050284419862722</v>
      </c>
      <c r="U3">
        <f>$O$7</f>
        <v>-0.13579948084096646</v>
      </c>
      <c r="V3">
        <f>-($L$6*$O$5+$L$7*$O$6+$L$8*$O$7)</f>
        <v>-2.5801901359783628</v>
      </c>
      <c r="W3" t="s">
        <v>12</v>
      </c>
      <c r="X3">
        <v>-8.2070030409186163</v>
      </c>
      <c r="Y3">
        <v>-1.8718932481815833</v>
      </c>
      <c r="Z3">
        <v>17.849120895824669</v>
      </c>
      <c r="AA3">
        <v>1</v>
      </c>
      <c r="AB3">
        <v>-8.2070030409186163</v>
      </c>
      <c r="AC3">
        <v>1.8718932481815833</v>
      </c>
      <c r="AD3">
        <v>17.849120895824669</v>
      </c>
      <c r="AE3">
        <v>1</v>
      </c>
      <c r="AF3">
        <v>-8.2070030409186163</v>
      </c>
      <c r="AG3">
        <v>-1.8718932481815833</v>
      </c>
      <c r="AH3">
        <v>18.549120895824668</v>
      </c>
      <c r="AI3">
        <v>1</v>
      </c>
      <c r="AJ3">
        <v>-8.2070030409186163</v>
      </c>
      <c r="AK3">
        <v>1.8718932481815833</v>
      </c>
      <c r="AL3">
        <v>18.549120895824668</v>
      </c>
      <c r="AM3">
        <v>1</v>
      </c>
    </row>
    <row r="4" spans="1:39" x14ac:dyDescent="0.3">
      <c r="A4" t="s">
        <v>6</v>
      </c>
      <c r="B4" t="s">
        <v>4</v>
      </c>
      <c r="C4">
        <f>$C$2</f>
        <v>0</v>
      </c>
      <c r="D4">
        <f>$D$2+$A$5</f>
        <v>4.5</v>
      </c>
      <c r="E4">
        <v>0</v>
      </c>
      <c r="F4">
        <v>1</v>
      </c>
      <c r="G4">
        <f t="shared" si="0"/>
        <v>0</v>
      </c>
      <c r="H4">
        <f t="shared" si="1"/>
        <v>-4.5</v>
      </c>
      <c r="I4">
        <v>0</v>
      </c>
      <c r="J4">
        <v>1</v>
      </c>
      <c r="K4" t="s">
        <v>1</v>
      </c>
      <c r="L4">
        <v>19</v>
      </c>
      <c r="M4" t="s">
        <v>27</v>
      </c>
      <c r="N4">
        <f xml:space="preserve"> -SIN(RADIANS($L$1))</f>
        <v>-0.15643446504023087</v>
      </c>
      <c r="O4">
        <f>N4/SQRT($N$12)</f>
        <v>-0.15643446504023087</v>
      </c>
      <c r="P4" t="s">
        <v>27</v>
      </c>
      <c r="Q4">
        <f xml:space="preserve"> SIN(RADIANS($L$2))</f>
        <v>-0.15643446504023087</v>
      </c>
      <c r="R4">
        <f>Q4/SQRT($Q$12)</f>
        <v>-0.15643446504023087</v>
      </c>
      <c r="S4">
        <f>$O$8</f>
        <v>0.15494878255303937</v>
      </c>
      <c r="T4">
        <f>$O$9</f>
        <v>0.13749223845159461</v>
      </c>
      <c r="U4">
        <f>$O$10</f>
        <v>0.9783081105413064</v>
      </c>
      <c r="V4">
        <f>-($L$6*$O$8+$L$7*$O$9+$L$8*$O$10)</f>
        <v>18.587854100284822</v>
      </c>
      <c r="W4" t="s">
        <v>4</v>
      </c>
      <c r="X4">
        <v>-2.9722548357643865</v>
      </c>
      <c r="Y4">
        <v>1.8770726629154595</v>
      </c>
      <c r="Z4">
        <v>19.206569173317</v>
      </c>
      <c r="AA4">
        <v>1</v>
      </c>
      <c r="AB4">
        <v>-2.9722548357643865</v>
      </c>
      <c r="AC4">
        <v>-1.8770726629154595</v>
      </c>
      <c r="AD4">
        <v>19.206569173317</v>
      </c>
      <c r="AE4">
        <v>1</v>
      </c>
      <c r="AF4">
        <v>-2.9722548357643861</v>
      </c>
      <c r="AG4">
        <v>1.8770726629154595</v>
      </c>
      <c r="AH4">
        <v>19.906569173316996</v>
      </c>
      <c r="AI4">
        <v>1</v>
      </c>
      <c r="AJ4">
        <v>-2.9722548357643861</v>
      </c>
      <c r="AK4">
        <v>-1.8770726629154595</v>
      </c>
      <c r="AL4">
        <v>19.906569173316996</v>
      </c>
      <c r="AM4">
        <v>1</v>
      </c>
    </row>
    <row r="5" spans="1:39" x14ac:dyDescent="0.3">
      <c r="A5">
        <v>3.9</v>
      </c>
      <c r="B5" t="s">
        <v>13</v>
      </c>
      <c r="C5">
        <f>$C$2+$A$3</f>
        <v>5.3</v>
      </c>
      <c r="D5">
        <f>$D$2</f>
        <v>0.6</v>
      </c>
      <c r="E5">
        <v>0</v>
      </c>
      <c r="F5">
        <v>1</v>
      </c>
      <c r="G5">
        <f t="shared" si="0"/>
        <v>5.3</v>
      </c>
      <c r="H5">
        <f t="shared" si="1"/>
        <v>-0.6</v>
      </c>
      <c r="I5">
        <v>0</v>
      </c>
      <c r="J5">
        <v>1</v>
      </c>
      <c r="K5" t="s">
        <v>35</v>
      </c>
      <c r="M5" t="s">
        <v>28</v>
      </c>
      <c r="N5">
        <f>$N$9*$N$4-$N$10*$N$3</f>
        <v>-2.1503426678260266E-2</v>
      </c>
      <c r="O5">
        <f>N5/SQRT($N$13)</f>
        <v>-2.1508524769359064E-2</v>
      </c>
      <c r="P5" t="s">
        <v>28</v>
      </c>
      <c r="Q5">
        <f>$Q$9*$Q$4-$Q$10*$Q$3</f>
        <v>2.1503426678260266E-2</v>
      </c>
      <c r="R5">
        <f>Q5/SQRT($Q$13)</f>
        <v>2.1508524769359064E-2</v>
      </c>
      <c r="S5">
        <v>0</v>
      </c>
      <c r="T5">
        <v>0</v>
      </c>
      <c r="U5">
        <v>0</v>
      </c>
      <c r="V5">
        <v>1</v>
      </c>
      <c r="W5" t="s">
        <v>13</v>
      </c>
      <c r="X5">
        <v>2.2624933693898437</v>
      </c>
      <c r="Y5">
        <v>-2.0998836107367893</v>
      </c>
      <c r="Z5">
        <v>19.491577990886888</v>
      </c>
      <c r="AA5">
        <v>1</v>
      </c>
      <c r="AB5">
        <v>2.2624933693898437</v>
      </c>
      <c r="AC5">
        <v>2.0998836107367893</v>
      </c>
      <c r="AD5">
        <v>19.491577990886888</v>
      </c>
      <c r="AE5">
        <v>1</v>
      </c>
      <c r="AF5">
        <v>2.2624933693898441</v>
      </c>
      <c r="AG5">
        <v>-2.0998836107367893</v>
      </c>
      <c r="AH5">
        <v>20.191577990886888</v>
      </c>
      <c r="AI5">
        <v>1</v>
      </c>
      <c r="AJ5">
        <v>2.2624933693898441</v>
      </c>
      <c r="AK5">
        <v>2.0998836107367893</v>
      </c>
      <c r="AL5">
        <v>20.191577990886888</v>
      </c>
      <c r="AM5">
        <v>1</v>
      </c>
    </row>
    <row r="6" spans="1:39" x14ac:dyDescent="0.3">
      <c r="A6" t="s">
        <v>7</v>
      </c>
      <c r="B6" t="s">
        <v>3</v>
      </c>
      <c r="C6">
        <f>$C$2</f>
        <v>0</v>
      </c>
      <c r="D6">
        <f>$D$2-$A$5</f>
        <v>-3.3</v>
      </c>
      <c r="E6">
        <v>0</v>
      </c>
      <c r="F6">
        <v>1</v>
      </c>
      <c r="G6">
        <f t="shared" si="0"/>
        <v>0</v>
      </c>
      <c r="H6">
        <f t="shared" si="1"/>
        <v>3.3</v>
      </c>
      <c r="I6">
        <v>0</v>
      </c>
      <c r="J6">
        <v>1</v>
      </c>
      <c r="K6" t="s">
        <v>73</v>
      </c>
      <c r="L6">
        <v>0</v>
      </c>
      <c r="M6" t="s">
        <v>29</v>
      </c>
      <c r="N6">
        <f>$N$10*$N$2-$N$8*$N$4</f>
        <v>0.99026806874157047</v>
      </c>
      <c r="O6">
        <f>N6/SQRT($N$13)</f>
        <v>0.99050284419862722</v>
      </c>
      <c r="P6" t="s">
        <v>29</v>
      </c>
      <c r="Q6">
        <f>$Q$10*$Q$2-$Q$8*$Q$4</f>
        <v>0.99026806874157047</v>
      </c>
      <c r="R6">
        <f>Q6/SQRT($Q$13)</f>
        <v>0.99050284419862722</v>
      </c>
      <c r="S6" t="s">
        <v>83</v>
      </c>
      <c r="W6" t="s">
        <v>3</v>
      </c>
      <c r="X6">
        <v>-2.9722548357643865</v>
      </c>
      <c r="Y6">
        <v>-5.8488495218338326</v>
      </c>
      <c r="Z6">
        <v>18.134129713394561</v>
      </c>
      <c r="AA6">
        <v>1</v>
      </c>
      <c r="AB6">
        <v>-2.9722548357643865</v>
      </c>
      <c r="AC6">
        <v>5.8488495218338326</v>
      </c>
      <c r="AD6">
        <v>18.134129713394561</v>
      </c>
      <c r="AE6">
        <v>1</v>
      </c>
      <c r="AF6">
        <v>-2.9722548357643861</v>
      </c>
      <c r="AG6">
        <v>-5.8488495218338326</v>
      </c>
      <c r="AH6">
        <v>18.83412971339456</v>
      </c>
      <c r="AI6">
        <v>1</v>
      </c>
      <c r="AJ6">
        <v>-2.9722548357643861</v>
      </c>
      <c r="AK6">
        <v>5.8488495218338326</v>
      </c>
      <c r="AL6">
        <v>18.83412971339456</v>
      </c>
      <c r="AM6">
        <v>1</v>
      </c>
    </row>
    <row r="7" spans="1:39" x14ac:dyDescent="0.3">
      <c r="A7">
        <v>6.8460000000000001</v>
      </c>
      <c r="B7" t="s">
        <v>14</v>
      </c>
      <c r="C7">
        <f>-$A$7</f>
        <v>-6.8460000000000001</v>
      </c>
      <c r="D7">
        <f>$A$9</f>
        <v>4.1459999999999999</v>
      </c>
      <c r="E7">
        <v>0</v>
      </c>
      <c r="F7">
        <v>1</v>
      </c>
      <c r="G7">
        <f t="shared" si="0"/>
        <v>-6.8460000000000001</v>
      </c>
      <c r="H7">
        <f t="shared" si="1"/>
        <v>-4.1459999999999999</v>
      </c>
      <c r="I7">
        <v>0</v>
      </c>
      <c r="J7">
        <v>1</v>
      </c>
      <c r="K7" t="s">
        <v>74</v>
      </c>
      <c r="L7">
        <v>0</v>
      </c>
      <c r="M7" t="s">
        <v>30</v>
      </c>
      <c r="N7">
        <f>$N$8*$N$3-$N$9*$N$2</f>
        <v>-0.13576729276056948</v>
      </c>
      <c r="O7">
        <f>N7/SQRT($N$13)</f>
        <v>-0.13579948084096646</v>
      </c>
      <c r="P7" t="s">
        <v>30</v>
      </c>
      <c r="Q7">
        <f>$Q$8*$Q$3-$Q$9*$Q$2</f>
        <v>0.13576729276056948</v>
      </c>
      <c r="R7">
        <f>Q7/SQRT($Q$13)</f>
        <v>0.13579948084096646</v>
      </c>
      <c r="S7">
        <f>$R$2</f>
        <v>0.98768834059513777</v>
      </c>
      <c r="T7">
        <f>$R$3</f>
        <v>0</v>
      </c>
      <c r="U7">
        <f>$R$4</f>
        <v>-0.15643446504023087</v>
      </c>
      <c r="V7">
        <f>-($L$6*$R$2+$L$7*$R$3+$L$8*$R$4)</f>
        <v>-2.9722548357643865</v>
      </c>
      <c r="W7" t="s">
        <v>14</v>
      </c>
      <c r="X7">
        <v>-9.7339692154786999</v>
      </c>
      <c r="Y7">
        <v>1.6736820166401776</v>
      </c>
      <c r="Z7">
        <v>18.097117555547026</v>
      </c>
      <c r="AA7">
        <v>1</v>
      </c>
      <c r="AB7">
        <v>-9.7339692154786999</v>
      </c>
      <c r="AC7">
        <v>-1.6736820166401776</v>
      </c>
      <c r="AD7">
        <v>18.097117555547026</v>
      </c>
      <c r="AE7">
        <v>1</v>
      </c>
      <c r="AF7">
        <v>-9.7339692154786981</v>
      </c>
      <c r="AG7">
        <v>1.6736820166401776</v>
      </c>
      <c r="AH7">
        <v>18.797117555547025</v>
      </c>
      <c r="AI7">
        <v>1</v>
      </c>
      <c r="AJ7">
        <v>-9.7339692154786981</v>
      </c>
      <c r="AK7">
        <v>-1.6736820166401776</v>
      </c>
      <c r="AL7">
        <v>18.797117555547025</v>
      </c>
      <c r="AM7">
        <v>1</v>
      </c>
    </row>
    <row r="8" spans="1:39" x14ac:dyDescent="0.3">
      <c r="A8" t="s">
        <v>8</v>
      </c>
      <c r="B8" t="s">
        <v>15</v>
      </c>
      <c r="C8">
        <f>$A$7</f>
        <v>6.8460000000000001</v>
      </c>
      <c r="D8">
        <f>$A$9</f>
        <v>4.1459999999999999</v>
      </c>
      <c r="E8">
        <v>0</v>
      </c>
      <c r="F8">
        <v>1</v>
      </c>
      <c r="G8">
        <f t="shared" si="0"/>
        <v>6.8460000000000001</v>
      </c>
      <c r="H8">
        <f t="shared" si="1"/>
        <v>-4.1459999999999999</v>
      </c>
      <c r="I8">
        <v>0</v>
      </c>
      <c r="J8">
        <v>1</v>
      </c>
      <c r="K8" t="s">
        <v>75</v>
      </c>
      <c r="L8">
        <f>-$L$4</f>
        <v>-19</v>
      </c>
      <c r="M8" t="s">
        <v>31</v>
      </c>
      <c r="N8">
        <f>SIN(RADIANS($L$1))*COS(RADIANS($L$3))</f>
        <v>0.15491205558001012</v>
      </c>
      <c r="O8">
        <f>N8/SQRT($N$14)</f>
        <v>0.15494878255303937</v>
      </c>
      <c r="P8" t="s">
        <v>31</v>
      </c>
      <c r="Q8">
        <f>-SIN(RADIANS($L$2))*COS(RADIANS($L$3))</f>
        <v>0.15491205558001012</v>
      </c>
      <c r="R8">
        <f>Q8/SQRT($Q$14)</f>
        <v>0.15494878255303937</v>
      </c>
      <c r="S8">
        <f>$R$5</f>
        <v>2.1508524769359064E-2</v>
      </c>
      <c r="T8">
        <f>$R$6</f>
        <v>0.99050284419862722</v>
      </c>
      <c r="U8">
        <f>$R$7</f>
        <v>0.13579948084096646</v>
      </c>
      <c r="V8">
        <f>-($L$6*$R$5+$L$7*$R$6+$L$8*$R$7)</f>
        <v>2.5801901359783628</v>
      </c>
      <c r="W8" t="s">
        <v>15</v>
      </c>
      <c r="X8">
        <v>3.7894595439499263</v>
      </c>
      <c r="Y8">
        <v>1.3791872954981135</v>
      </c>
      <c r="Z8">
        <v>20.218676286263239</v>
      </c>
      <c r="AA8">
        <v>1</v>
      </c>
      <c r="AB8">
        <v>3.7894595439499263</v>
      </c>
      <c r="AC8">
        <v>-1.3791872954981135</v>
      </c>
      <c r="AD8">
        <v>20.218676286263239</v>
      </c>
      <c r="AE8">
        <v>1</v>
      </c>
      <c r="AF8">
        <v>3.7894595439499268</v>
      </c>
      <c r="AG8">
        <v>1.3791872954981135</v>
      </c>
      <c r="AH8">
        <v>20.918676286263242</v>
      </c>
      <c r="AI8">
        <v>1</v>
      </c>
      <c r="AJ8">
        <v>3.7894595439499268</v>
      </c>
      <c r="AK8">
        <v>-1.3791872954981135</v>
      </c>
      <c r="AL8">
        <v>20.918676286263242</v>
      </c>
      <c r="AM8">
        <v>1</v>
      </c>
    </row>
    <row r="9" spans="1:39" x14ac:dyDescent="0.3">
      <c r="A9">
        <v>4.1459999999999999</v>
      </c>
      <c r="B9" t="s">
        <v>16</v>
      </c>
      <c r="C9">
        <f>$A$7</f>
        <v>6.8460000000000001</v>
      </c>
      <c r="D9">
        <f>-$A$9</f>
        <v>-4.1459999999999999</v>
      </c>
      <c r="E9">
        <v>0</v>
      </c>
      <c r="F9">
        <v>1</v>
      </c>
      <c r="G9">
        <f t="shared" si="0"/>
        <v>6.8460000000000001</v>
      </c>
      <c r="H9">
        <f t="shared" si="1"/>
        <v>4.1459999999999999</v>
      </c>
      <c r="I9">
        <v>0</v>
      </c>
      <c r="J9">
        <v>1</v>
      </c>
      <c r="K9" t="s">
        <v>63</v>
      </c>
      <c r="L9">
        <v>1.9</v>
      </c>
      <c r="M9" t="s">
        <v>32</v>
      </c>
      <c r="N9">
        <f>-COS(RADIANS($L$1))*SIN(RADIANS($L$3))</f>
        <v>0.1374596491427266</v>
      </c>
      <c r="O9">
        <f>N9/SQRT($N$14)</f>
        <v>0.13749223845159461</v>
      </c>
      <c r="P9" t="s">
        <v>32</v>
      </c>
      <c r="Q9">
        <f>COS(RADIANS($L$2))*SIN(RADIANS($L$3))</f>
        <v>-0.1374596491427266</v>
      </c>
      <c r="R9">
        <f t="shared" ref="R9:R10" si="2">Q9/SQRT($Q$14)</f>
        <v>-0.13749223845159461</v>
      </c>
      <c r="S9">
        <f>$R$8</f>
        <v>0.15494878255303937</v>
      </c>
      <c r="T9">
        <f>$R$9</f>
        <v>-0.13749223845159461</v>
      </c>
      <c r="U9">
        <f>$R$10</f>
        <v>0.9783081105413064</v>
      </c>
      <c r="V9">
        <f>-($L$6*$R$8+$L$7*$R$9+$L$8*$R$10)</f>
        <v>18.587854100284822</v>
      </c>
      <c r="W9" t="s">
        <v>16</v>
      </c>
      <c r="X9">
        <v>3.7894595439499263</v>
      </c>
      <c r="Y9">
        <v>-6.8340622885969031</v>
      </c>
      <c r="Z9">
        <v>19.078590645022619</v>
      </c>
      <c r="AA9">
        <v>1</v>
      </c>
      <c r="AB9">
        <v>3.7894595439499263</v>
      </c>
      <c r="AC9">
        <v>6.8340622885969031</v>
      </c>
      <c r="AD9">
        <v>19.078590645022619</v>
      </c>
      <c r="AE9">
        <v>1</v>
      </c>
      <c r="AF9">
        <v>3.7894595439499268</v>
      </c>
      <c r="AG9">
        <v>-6.8340622885969031</v>
      </c>
      <c r="AH9">
        <v>19.778590645022618</v>
      </c>
      <c r="AI9">
        <v>1</v>
      </c>
      <c r="AJ9">
        <v>3.7894595439499268</v>
      </c>
      <c r="AK9">
        <v>6.8340622885969031</v>
      </c>
      <c r="AL9">
        <v>19.778590645022618</v>
      </c>
      <c r="AM9">
        <v>1</v>
      </c>
    </row>
    <row r="10" spans="1:39" x14ac:dyDescent="0.3">
      <c r="B10" t="s">
        <v>17</v>
      </c>
      <c r="C10">
        <f>-$A$7</f>
        <v>-6.8460000000000001</v>
      </c>
      <c r="D10">
        <f>-$A$9</f>
        <v>-4.1459999999999999</v>
      </c>
      <c r="E10">
        <v>0</v>
      </c>
      <c r="F10">
        <v>1</v>
      </c>
      <c r="G10">
        <f t="shared" si="0"/>
        <v>-6.8460000000000001</v>
      </c>
      <c r="H10">
        <f t="shared" si="1"/>
        <v>4.1459999999999999</v>
      </c>
      <c r="I10">
        <v>0</v>
      </c>
      <c r="J10">
        <v>1</v>
      </c>
      <c r="K10" t="s">
        <v>59</v>
      </c>
      <c r="L10">
        <v>0.5</v>
      </c>
      <c r="M10" t="s">
        <v>33</v>
      </c>
      <c r="N10">
        <f>COS(RADIANS($L$1))*COS(RADIANS($L$3))</f>
        <v>0.97807622555971341</v>
      </c>
      <c r="O10">
        <f>N10/SQRT($N$14)</f>
        <v>0.9783081105413064</v>
      </c>
      <c r="P10" t="s">
        <v>33</v>
      </c>
      <c r="Q10">
        <f>COS(RADIANS($L$2))*COS(RADIANS($L$3))</f>
        <v>0.97807622555971341</v>
      </c>
      <c r="R10">
        <f t="shared" si="2"/>
        <v>0.9783081105413064</v>
      </c>
      <c r="S10">
        <v>0</v>
      </c>
      <c r="T10">
        <v>0</v>
      </c>
      <c r="U10">
        <v>0</v>
      </c>
      <c r="V10">
        <v>1</v>
      </c>
      <c r="W10" t="s">
        <v>17</v>
      </c>
      <c r="X10">
        <v>-9.7339692154786999</v>
      </c>
      <c r="Y10">
        <v>-6.5395675674548386</v>
      </c>
      <c r="Z10">
        <v>16.957031914306405</v>
      </c>
      <c r="AA10">
        <v>1</v>
      </c>
      <c r="AB10">
        <v>-9.7339692154786999</v>
      </c>
      <c r="AC10">
        <v>6.5395675674548386</v>
      </c>
      <c r="AD10">
        <v>16.957031914306405</v>
      </c>
      <c r="AE10">
        <v>1</v>
      </c>
      <c r="AF10">
        <v>-9.7339692154786981</v>
      </c>
      <c r="AG10">
        <v>-6.5395675674548386</v>
      </c>
      <c r="AH10">
        <v>17.657031914306401</v>
      </c>
      <c r="AI10">
        <v>1</v>
      </c>
      <c r="AJ10">
        <v>-9.7339692154786981</v>
      </c>
      <c r="AK10">
        <v>6.5395675674548386</v>
      </c>
      <c r="AL10">
        <v>17.657031914306401</v>
      </c>
      <c r="AM10">
        <v>1</v>
      </c>
    </row>
    <row r="11" spans="1:39" x14ac:dyDescent="0.3">
      <c r="K11" t="s">
        <v>60</v>
      </c>
      <c r="L11">
        <v>0.2</v>
      </c>
    </row>
    <row r="12" spans="1:39" x14ac:dyDescent="0.3">
      <c r="A12" t="s">
        <v>23</v>
      </c>
      <c r="B12" s="1" t="s">
        <v>24</v>
      </c>
      <c r="K12" t="s">
        <v>62</v>
      </c>
      <c r="L12">
        <v>0.5</v>
      </c>
      <c r="M12" t="s">
        <v>37</v>
      </c>
      <c r="N12">
        <f>SUM(N2^2+N3^2+N4^2)</f>
        <v>1</v>
      </c>
      <c r="O12">
        <f>SUM(O2^2+O3^2+O4^2)</f>
        <v>1</v>
      </c>
      <c r="Q12">
        <f>SUM(Q2^2+Q3^2+Q4^2)</f>
        <v>1</v>
      </c>
      <c r="R12">
        <f>SUM(R2^2+R3^2+R4^2)</f>
        <v>1</v>
      </c>
      <c r="S12" t="s">
        <v>84</v>
      </c>
      <c r="W12" t="s">
        <v>40</v>
      </c>
    </row>
    <row r="13" spans="1:39" x14ac:dyDescent="0.3">
      <c r="K13" t="s">
        <v>61</v>
      </c>
      <c r="L13">
        <f>$L$10/$L$9+$L$12+$L$11</f>
        <v>0.96315789473684199</v>
      </c>
      <c r="M13" t="s">
        <v>38</v>
      </c>
      <c r="N13">
        <f>SUM(N5^2+N6^2+N7^2)</f>
        <v>0.99952600311160122</v>
      </c>
      <c r="O13">
        <f>SUM(O5^2+O6^2+O7^2)</f>
        <v>1</v>
      </c>
      <c r="Q13">
        <f>SUM(Q5^2+Q6^2+Q7^2)</f>
        <v>0.99952600311160122</v>
      </c>
      <c r="R13">
        <f>SUM(R5^2+R6^2+R7^2)</f>
        <v>1</v>
      </c>
      <c r="S13">
        <f>$O$2</f>
        <v>0.98768834059513777</v>
      </c>
      <c r="T13">
        <f>$O$3</f>
        <v>0</v>
      </c>
      <c r="U13">
        <f>$O$4</f>
        <v>-0.15643446504023087</v>
      </c>
      <c r="V13">
        <f>-($L$15*$O$2+$L$16*$O$3+$L$17*$O$4)</f>
        <v>-2.9722548357643861</v>
      </c>
    </row>
    <row r="14" spans="1:39" x14ac:dyDescent="0.3">
      <c r="K14" t="s">
        <v>58</v>
      </c>
      <c r="L14">
        <f>$L$4+($L$10+$L$11)*$O$10</f>
        <v>19.684815677378914</v>
      </c>
      <c r="M14" t="s">
        <v>39</v>
      </c>
      <c r="N14">
        <f>SUM(N8^2+N9^2+N10^2)</f>
        <v>0.999526003111601</v>
      </c>
      <c r="O14">
        <f>SUM(O8^2+O9^2+O10^2)</f>
        <v>1.0000000000000002</v>
      </c>
      <c r="Q14">
        <f>SUM(Q8^2+Q9^2+Q10^2)</f>
        <v>0.999526003111601</v>
      </c>
      <c r="R14">
        <f>SUM(R8^2+R9^2+R10^2)</f>
        <v>1.0000000000000002</v>
      </c>
      <c r="S14">
        <f>$O$5</f>
        <v>-2.1508524769359064E-2</v>
      </c>
      <c r="T14">
        <f>$O$6</f>
        <v>0.99050284419862722</v>
      </c>
      <c r="U14">
        <f>$O$7</f>
        <v>-0.13579948084096646</v>
      </c>
      <c r="V14">
        <f>-($L$15*$O$5+$L$16*$O$6+$L$17*$O$7)</f>
        <v>-2.5801901359783628</v>
      </c>
    </row>
    <row r="15" spans="1:39" x14ac:dyDescent="0.3">
      <c r="K15" t="s">
        <v>76</v>
      </c>
      <c r="L15">
        <f>$L$6-($L$10+$L$11)*$O$8</f>
        <v>-0.10846414778712755</v>
      </c>
      <c r="S15">
        <f>$O$8</f>
        <v>0.15494878255303937</v>
      </c>
      <c r="T15">
        <f>$O$9</f>
        <v>0.13749223845159461</v>
      </c>
      <c r="U15">
        <f>$O$10</f>
        <v>0.9783081105413064</v>
      </c>
      <c r="V15">
        <f>-($L$15*$O$8+$L$16*$O$9+$L$17*$O$10)</f>
        <v>19.287854100284822</v>
      </c>
    </row>
    <row r="16" spans="1:39" x14ac:dyDescent="0.3">
      <c r="K16" t="s">
        <v>77</v>
      </c>
      <c r="L16">
        <f>$L$7-($L$10+$L$11)*$O$9</f>
        <v>-9.6244566916116228E-2</v>
      </c>
      <c r="S16">
        <v>0</v>
      </c>
      <c r="T16">
        <v>0</v>
      </c>
      <c r="U16">
        <v>0</v>
      </c>
      <c r="V16">
        <v>1</v>
      </c>
    </row>
    <row r="17" spans="11:22" x14ac:dyDescent="0.3">
      <c r="K17" t="s">
        <v>78</v>
      </c>
      <c r="L17">
        <f>$L$8-($L$10+$L$11)*$O$10</f>
        <v>-19.684815677378914</v>
      </c>
      <c r="S17" t="s">
        <v>85</v>
      </c>
    </row>
    <row r="18" spans="11:22" x14ac:dyDescent="0.3">
      <c r="K18" t="s">
        <v>79</v>
      </c>
      <c r="L18">
        <f>$L$6-($L$10+$L$11)*$R$8</f>
        <v>-0.10846414778712755</v>
      </c>
      <c r="S18">
        <f>$R$2</f>
        <v>0.98768834059513777</v>
      </c>
      <c r="T18">
        <f>$R$3</f>
        <v>0</v>
      </c>
      <c r="U18">
        <f>$R$4</f>
        <v>-0.15643446504023087</v>
      </c>
      <c r="V18">
        <f>-($L$18*$R$2+$L$19*$R$3+$L$20*$R$4)</f>
        <v>-2.9722548357643861</v>
      </c>
    </row>
    <row r="19" spans="11:22" x14ac:dyDescent="0.3">
      <c r="K19" t="s">
        <v>80</v>
      </c>
      <c r="L19">
        <f>$L$7-($L$10+$L$11)*$R$9</f>
        <v>9.6244566916116228E-2</v>
      </c>
      <c r="S19">
        <f>$R$5</f>
        <v>2.1508524769359064E-2</v>
      </c>
      <c r="T19">
        <f>$R$6</f>
        <v>0.99050284419862722</v>
      </c>
      <c r="U19">
        <f>$R$7</f>
        <v>0.13579948084096646</v>
      </c>
      <c r="V19">
        <f>-($L$18*$R$5+$L$19*$R$6+$L$20*$R$7)</f>
        <v>2.5801901359783628</v>
      </c>
    </row>
    <row r="20" spans="11:22" x14ac:dyDescent="0.3">
      <c r="K20" t="s">
        <v>81</v>
      </c>
      <c r="L20">
        <f>$L$8-($L$10+$L$11)*$R$10</f>
        <v>-19.684815677378914</v>
      </c>
      <c r="S20">
        <f>$R$8</f>
        <v>0.15494878255303937</v>
      </c>
      <c r="T20">
        <f>$R$9</f>
        <v>-0.13749223845159461</v>
      </c>
      <c r="U20">
        <f>$R$10</f>
        <v>0.9783081105413064</v>
      </c>
      <c r="V20">
        <f>-($L$18*$R$8+$L$19*$R$9+$L$20*$R$10)</f>
        <v>19.287854100284822</v>
      </c>
    </row>
    <row r="21" spans="11:22" x14ac:dyDescent="0.3">
      <c r="S21">
        <v>0</v>
      </c>
      <c r="T21">
        <v>0</v>
      </c>
      <c r="U21">
        <v>0</v>
      </c>
      <c r="V21">
        <v>1</v>
      </c>
    </row>
  </sheetData>
  <hyperlinks>
    <hyperlink ref="B12" r:id="rId1" xr:uid="{B80A5BA2-F8B2-498D-B5E0-4274F25975F9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E34-FB4C-4308-B017-CC7A49563CC9}">
  <dimension ref="A1:P11"/>
  <sheetViews>
    <sheetView workbookViewId="0">
      <selection sqref="A1:F8"/>
    </sheetView>
  </sheetViews>
  <sheetFormatPr defaultRowHeight="14.4" x14ac:dyDescent="0.3"/>
  <cols>
    <col min="1" max="2" width="11" customWidth="1"/>
    <col min="3" max="3" width="14" customWidth="1"/>
    <col min="4" max="4" width="12.88671875" customWidth="1"/>
    <col min="5" max="5" width="12.6640625" customWidth="1"/>
    <col min="6" max="6" width="17.5546875" customWidth="1"/>
  </cols>
  <sheetData>
    <row r="1" spans="1:16" x14ac:dyDescent="0.3">
      <c r="A1" t="s">
        <v>101</v>
      </c>
      <c r="B1" t="s">
        <v>107</v>
      </c>
      <c r="C1" t="s">
        <v>102</v>
      </c>
      <c r="D1" t="s">
        <v>103</v>
      </c>
      <c r="E1" t="s">
        <v>104</v>
      </c>
      <c r="F1" t="s">
        <v>105</v>
      </c>
      <c r="H1" t="s">
        <v>112</v>
      </c>
      <c r="I1" t="s">
        <v>113</v>
      </c>
      <c r="J1" t="s">
        <v>111</v>
      </c>
      <c r="K1" t="s">
        <v>101</v>
      </c>
      <c r="L1" t="s">
        <v>107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3">
      <c r="A2" s="4" t="s">
        <v>108</v>
      </c>
      <c r="B2" t="s">
        <v>106</v>
      </c>
      <c r="C2">
        <f>M2-$H$2</f>
        <v>-6.5</v>
      </c>
      <c r="D2">
        <f>N2-$I$2</f>
        <v>0</v>
      </c>
      <c r="E2">
        <f>-(O2+$H$2)</f>
        <v>-6.5</v>
      </c>
      <c r="F2">
        <f>-(P2-$I$2)</f>
        <v>0</v>
      </c>
      <c r="H2">
        <v>6.5</v>
      </c>
      <c r="I2">
        <v>0</v>
      </c>
      <c r="K2" s="4" t="s">
        <v>108</v>
      </c>
      <c r="L2" t="s">
        <v>106</v>
      </c>
      <c r="M2">
        <v>0</v>
      </c>
      <c r="N2">
        <v>0</v>
      </c>
      <c r="O2">
        <v>0</v>
      </c>
      <c r="P2">
        <v>0</v>
      </c>
    </row>
    <row r="3" spans="1:16" x14ac:dyDescent="0.3">
      <c r="A3" s="6" t="s">
        <v>109</v>
      </c>
      <c r="B3" t="s">
        <v>114</v>
      </c>
      <c r="C3">
        <f t="shared" ref="C3:C8" si="0">M3-$H$2</f>
        <v>-26.5</v>
      </c>
      <c r="D3">
        <f t="shared" ref="D3:D8" si="1">N3-$I$2</f>
        <v>10</v>
      </c>
      <c r="E3">
        <f>-(O3+$H$2)</f>
        <v>-26.5</v>
      </c>
      <c r="F3">
        <f t="shared" ref="F3:F8" si="2">-(P3-$I$2)</f>
        <v>-10</v>
      </c>
      <c r="K3" s="6" t="s">
        <v>109</v>
      </c>
      <c r="L3" t="s">
        <v>114</v>
      </c>
      <c r="M3">
        <v>-20</v>
      </c>
      <c r="N3">
        <v>10</v>
      </c>
      <c r="O3">
        <v>20</v>
      </c>
      <c r="P3">
        <v>10</v>
      </c>
    </row>
    <row r="4" spans="1:16" x14ac:dyDescent="0.3">
      <c r="A4" s="6"/>
      <c r="B4" t="s">
        <v>115</v>
      </c>
      <c r="C4">
        <f t="shared" si="0"/>
        <v>13.5</v>
      </c>
      <c r="D4">
        <f t="shared" si="1"/>
        <v>10</v>
      </c>
      <c r="E4">
        <f t="shared" ref="E3:E8" si="3">-(O4+$H$2)</f>
        <v>13.5</v>
      </c>
      <c r="F4">
        <f t="shared" si="2"/>
        <v>-10</v>
      </c>
      <c r="K4" s="6"/>
      <c r="L4" t="s">
        <v>115</v>
      </c>
      <c r="M4">
        <v>20</v>
      </c>
      <c r="N4">
        <v>10</v>
      </c>
      <c r="O4">
        <v>-20</v>
      </c>
      <c r="P4">
        <v>10</v>
      </c>
    </row>
    <row r="5" spans="1:16" x14ac:dyDescent="0.3">
      <c r="A5" s="6"/>
      <c r="B5" t="s">
        <v>116</v>
      </c>
      <c r="C5">
        <f t="shared" si="0"/>
        <v>13.5</v>
      </c>
      <c r="D5">
        <f t="shared" si="1"/>
        <v>-10</v>
      </c>
      <c r="E5">
        <f t="shared" si="3"/>
        <v>13.5</v>
      </c>
      <c r="F5">
        <f t="shared" si="2"/>
        <v>10</v>
      </c>
      <c r="K5" s="6"/>
      <c r="L5" t="s">
        <v>116</v>
      </c>
      <c r="M5">
        <v>20</v>
      </c>
      <c r="N5">
        <v>-10</v>
      </c>
      <c r="O5">
        <v>-20</v>
      </c>
      <c r="P5">
        <v>-10</v>
      </c>
    </row>
    <row r="6" spans="1:16" x14ac:dyDescent="0.3">
      <c r="A6" s="6"/>
      <c r="B6" t="s">
        <v>117</v>
      </c>
      <c r="C6">
        <f t="shared" si="0"/>
        <v>-26.5</v>
      </c>
      <c r="D6">
        <f t="shared" si="1"/>
        <v>-10</v>
      </c>
      <c r="E6">
        <f t="shared" si="3"/>
        <v>-26.5</v>
      </c>
      <c r="F6">
        <f t="shared" si="2"/>
        <v>10</v>
      </c>
      <c r="K6" s="6"/>
      <c r="L6" t="s">
        <v>117</v>
      </c>
      <c r="M6">
        <v>-20</v>
      </c>
      <c r="N6">
        <v>-10</v>
      </c>
      <c r="O6">
        <v>20</v>
      </c>
      <c r="P6">
        <v>-10</v>
      </c>
    </row>
    <row r="7" spans="1:16" x14ac:dyDescent="0.3">
      <c r="A7" s="6" t="s">
        <v>110</v>
      </c>
      <c r="B7" t="s">
        <v>118</v>
      </c>
      <c r="C7">
        <f t="shared" si="0"/>
        <v>-34.5</v>
      </c>
      <c r="D7">
        <f t="shared" si="1"/>
        <v>0</v>
      </c>
      <c r="E7">
        <f t="shared" si="3"/>
        <v>-34.5</v>
      </c>
      <c r="F7">
        <f t="shared" si="2"/>
        <v>0</v>
      </c>
      <c r="K7" s="6" t="s">
        <v>110</v>
      </c>
      <c r="L7" t="s">
        <v>118</v>
      </c>
      <c r="M7">
        <v>-28</v>
      </c>
      <c r="N7">
        <v>0</v>
      </c>
      <c r="O7">
        <v>28</v>
      </c>
      <c r="P7">
        <v>0</v>
      </c>
    </row>
    <row r="8" spans="1:16" x14ac:dyDescent="0.3">
      <c r="A8" s="6"/>
      <c r="B8" t="s">
        <v>119</v>
      </c>
      <c r="C8">
        <f t="shared" si="0"/>
        <v>21.5</v>
      </c>
      <c r="D8">
        <f t="shared" si="1"/>
        <v>0</v>
      </c>
      <c r="E8">
        <f t="shared" si="3"/>
        <v>21.5</v>
      </c>
      <c r="F8">
        <f t="shared" si="2"/>
        <v>0</v>
      </c>
      <c r="K8" s="6"/>
      <c r="L8" t="s">
        <v>119</v>
      </c>
      <c r="M8">
        <v>28</v>
      </c>
      <c r="N8">
        <v>0</v>
      </c>
      <c r="O8">
        <v>-28</v>
      </c>
      <c r="P8">
        <v>0</v>
      </c>
    </row>
    <row r="11" spans="1:16" x14ac:dyDescent="0.3">
      <c r="C11" t="s">
        <v>124</v>
      </c>
    </row>
  </sheetData>
  <mergeCells count="4">
    <mergeCell ref="A3:A6"/>
    <mergeCell ref="A7:A8"/>
    <mergeCell ref="K3:K6"/>
    <mergeCell ref="K7:K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E4D2-DA45-435D-90DA-4366A828D129}">
  <dimension ref="A1:AM23"/>
  <sheetViews>
    <sheetView topLeftCell="I4" workbookViewId="0">
      <selection activeCell="R8" sqref="R8:R10"/>
    </sheetView>
  </sheetViews>
  <sheetFormatPr defaultRowHeight="14.4" x14ac:dyDescent="0.3"/>
  <cols>
    <col min="1" max="1" width="14" customWidth="1"/>
    <col min="2" max="2" width="16.6640625" customWidth="1"/>
    <col min="3" max="3" width="12.6640625" customWidth="1"/>
    <col min="4" max="6" width="16" customWidth="1"/>
    <col min="7" max="10" width="12.33203125" customWidth="1"/>
    <col min="11" max="11" width="20" customWidth="1"/>
    <col min="13" max="13" width="12.44140625" customWidth="1"/>
    <col min="14" max="15" width="16.33203125" customWidth="1"/>
    <col min="16" max="16" width="15.109375" customWidth="1"/>
    <col min="17" max="18" width="14.5546875" customWidth="1"/>
    <col min="19" max="22" width="18.5546875" customWidth="1"/>
    <col min="23" max="23" width="21.5546875" customWidth="1"/>
    <col min="24" max="24" width="10.109375" customWidth="1"/>
    <col min="25" max="25" width="9.33203125" customWidth="1"/>
    <col min="26" max="26" width="11.6640625" customWidth="1"/>
    <col min="27" max="27" width="9.44140625" customWidth="1"/>
    <col min="28" max="28" width="11.21875" customWidth="1"/>
    <col min="29" max="30" width="11.109375" customWidth="1"/>
    <col min="32" max="32" width="12.6640625" bestFit="1" customWidth="1"/>
    <col min="34" max="34" width="10.21875" customWidth="1"/>
    <col min="35" max="35" width="11.88671875" customWidth="1"/>
    <col min="36" max="36" width="12.6640625" bestFit="1" customWidth="1"/>
  </cols>
  <sheetData>
    <row r="1" spans="1:39" x14ac:dyDescent="0.3">
      <c r="A1" t="s">
        <v>9</v>
      </c>
      <c r="C1" t="s">
        <v>10</v>
      </c>
      <c r="D1" t="s">
        <v>11</v>
      </c>
      <c r="E1" t="s">
        <v>86</v>
      </c>
      <c r="G1" t="s">
        <v>18</v>
      </c>
      <c r="H1" t="s">
        <v>19</v>
      </c>
      <c r="I1" t="s">
        <v>87</v>
      </c>
      <c r="K1" t="s">
        <v>21</v>
      </c>
      <c r="L1">
        <v>9</v>
      </c>
      <c r="M1" t="s">
        <v>22</v>
      </c>
      <c r="O1" t="s">
        <v>36</v>
      </c>
      <c r="P1" t="s">
        <v>34</v>
      </c>
      <c r="R1" t="s">
        <v>36</v>
      </c>
      <c r="S1" t="s">
        <v>82</v>
      </c>
      <c r="X1" t="s">
        <v>88</v>
      </c>
      <c r="Y1" t="s">
        <v>89</v>
      </c>
      <c r="Z1" t="s">
        <v>90</v>
      </c>
      <c r="AB1" t="s">
        <v>70</v>
      </c>
      <c r="AC1" t="s">
        <v>71</v>
      </c>
      <c r="AD1" t="s">
        <v>72</v>
      </c>
      <c r="AF1" t="s">
        <v>64</v>
      </c>
      <c r="AG1" t="s">
        <v>65</v>
      </c>
      <c r="AH1" t="s">
        <v>66</v>
      </c>
      <c r="AJ1" t="s">
        <v>67</v>
      </c>
      <c r="AK1" t="s">
        <v>68</v>
      </c>
      <c r="AL1" t="s">
        <v>69</v>
      </c>
    </row>
    <row r="2" spans="1:39" x14ac:dyDescent="0.3">
      <c r="A2" t="s">
        <v>5</v>
      </c>
      <c r="B2" t="s">
        <v>2</v>
      </c>
      <c r="C2">
        <v>0</v>
      </c>
      <c r="D2">
        <v>0.6</v>
      </c>
      <c r="E2">
        <v>0</v>
      </c>
      <c r="F2">
        <v>1</v>
      </c>
      <c r="G2">
        <f>C2</f>
        <v>0</v>
      </c>
      <c r="H2">
        <f>-D2</f>
        <v>-0.6</v>
      </c>
      <c r="I2">
        <v>0</v>
      </c>
      <c r="J2">
        <v>1</v>
      </c>
      <c r="K2" t="s">
        <v>20</v>
      </c>
      <c r="L2">
        <v>-9</v>
      </c>
      <c r="M2" t="s">
        <v>25</v>
      </c>
      <c r="N2">
        <f xml:space="preserve"> COS(RADIANS($L$1))</f>
        <v>0.98768834059513777</v>
      </c>
      <c r="O2">
        <f>N2/SQRT($N$12)</f>
        <v>0.98768834059513777</v>
      </c>
      <c r="P2" t="s">
        <v>25</v>
      </c>
      <c r="Q2">
        <f xml:space="preserve"> COS(RADIANS($L$2))</f>
        <v>0.98768834059513777</v>
      </c>
      <c r="R2">
        <f>Q2/SQRT($Q$12)</f>
        <v>0.98768834059513777</v>
      </c>
      <c r="S2">
        <f>$O$2</f>
        <v>0.98768834059513777</v>
      </c>
      <c r="T2">
        <f>$O$3</f>
        <v>0</v>
      </c>
      <c r="U2">
        <f>$O$4</f>
        <v>-0.15643446504023087</v>
      </c>
      <c r="V2">
        <f>-($L$6*$O$2+$L$7*$O$3+$L$8*$O$4)</f>
        <v>-8.8817841970012523E-16</v>
      </c>
      <c r="W2" t="s">
        <v>2</v>
      </c>
      <c r="X2" cm="1">
        <f t="array" ref="X2:AA10">TRANSPOSE(MMULT($S$2:$V$5,TRANSPOSE($C$2:$F$10)))</f>
        <v>-8.8817841970012523E-16</v>
      </c>
      <c r="Y2">
        <v>0.59430170651917591</v>
      </c>
      <c r="Z2">
        <v>18.670349443355782</v>
      </c>
      <c r="AA2">
        <v>1</v>
      </c>
      <c r="AB2" cm="1">
        <f t="array" ref="AB2:AE10">TRANSPOSE(MMULT($S$7:$V$10, TRANSPOSE($G$2:$J$10)))</f>
        <v>-8.8817841970012523E-16</v>
      </c>
      <c r="AC2">
        <v>-0.59430170651917591</v>
      </c>
      <c r="AD2">
        <v>18.670349443355782</v>
      </c>
      <c r="AE2">
        <v>1</v>
      </c>
      <c r="AF2" cm="1">
        <f t="array" ref="AF2:AI10">TRANSPOSE(MMULT($S$13:$V$16,TRANSPOSE($C$2:$F$10)))</f>
        <v>-4.4408920985006262E-16</v>
      </c>
      <c r="AG2">
        <v>0.5943017065191768</v>
      </c>
      <c r="AH2">
        <v>19.370349443355785</v>
      </c>
      <c r="AI2">
        <v>1</v>
      </c>
      <c r="AJ2" cm="1">
        <f t="array" ref="AJ2:AM10">TRANSPOSE(MMULT($S$18:$V$21,TRANSPOSE($G$2:$J$10)))</f>
        <v>-4.4408920985006262E-16</v>
      </c>
      <c r="AK2">
        <v>-0.5943017065191768</v>
      </c>
      <c r="AL2">
        <v>19.370349443355785</v>
      </c>
      <c r="AM2">
        <v>1</v>
      </c>
    </row>
    <row r="3" spans="1:39" x14ac:dyDescent="0.3">
      <c r="A3">
        <v>5.3</v>
      </c>
      <c r="B3" t="s">
        <v>12</v>
      </c>
      <c r="C3">
        <f>$C$2-$A$3</f>
        <v>-5.3</v>
      </c>
      <c r="D3">
        <f>$D$2</f>
        <v>0.6</v>
      </c>
      <c r="E3">
        <v>0</v>
      </c>
      <c r="F3">
        <v>1</v>
      </c>
      <c r="G3">
        <f t="shared" ref="G3:G10" si="0">C3</f>
        <v>-5.3</v>
      </c>
      <c r="H3">
        <f t="shared" ref="H3:H10" si="1">-D3</f>
        <v>-0.6</v>
      </c>
      <c r="I3">
        <v>0</v>
      </c>
      <c r="J3">
        <v>1</v>
      </c>
      <c r="K3" t="s">
        <v>0</v>
      </c>
      <c r="L3">
        <v>-8</v>
      </c>
      <c r="M3" t="s">
        <v>26</v>
      </c>
      <c r="N3">
        <v>0</v>
      </c>
      <c r="O3">
        <f>N3/SQRT($N$12)</f>
        <v>0</v>
      </c>
      <c r="P3" t="s">
        <v>26</v>
      </c>
      <c r="Q3">
        <v>0</v>
      </c>
      <c r="R3">
        <f>Q3/SQRT($Q$12)</f>
        <v>0</v>
      </c>
      <c r="S3">
        <f>$O$5</f>
        <v>-2.1508524769359064E-2</v>
      </c>
      <c r="T3">
        <f>$O$6</f>
        <v>0.99050284419862722</v>
      </c>
      <c r="U3">
        <f>$O$7</f>
        <v>-0.13579948084096646</v>
      </c>
      <c r="V3">
        <f>-($L$6*$O$5+$L$7*$O$6+$L$8*$O$7)</f>
        <v>-4.4408920985006262E-16</v>
      </c>
      <c r="W3" t="s">
        <v>12</v>
      </c>
      <c r="X3">
        <v>-5.2347482051542311</v>
      </c>
      <c r="Y3">
        <v>0.70829688779677891</v>
      </c>
      <c r="Z3">
        <v>17.849120895824672</v>
      </c>
      <c r="AA3">
        <v>1</v>
      </c>
      <c r="AB3">
        <v>-5.2347482051542311</v>
      </c>
      <c r="AC3">
        <v>-0.70829688779677891</v>
      </c>
      <c r="AD3">
        <v>17.849120895824672</v>
      </c>
      <c r="AE3">
        <v>1</v>
      </c>
      <c r="AF3">
        <v>-5.2347482051542311</v>
      </c>
      <c r="AG3">
        <v>0.70829688779677979</v>
      </c>
      <c r="AH3">
        <v>18.549120895824675</v>
      </c>
      <c r="AI3">
        <v>1</v>
      </c>
      <c r="AJ3">
        <v>-5.2347482051542311</v>
      </c>
      <c r="AK3">
        <v>-0.70829688779677979</v>
      </c>
      <c r="AL3">
        <v>18.549120895824675</v>
      </c>
      <c r="AM3">
        <v>1</v>
      </c>
    </row>
    <row r="4" spans="1:39" x14ac:dyDescent="0.3">
      <c r="A4" t="s">
        <v>6</v>
      </c>
      <c r="B4" t="s">
        <v>4</v>
      </c>
      <c r="C4">
        <f>$C$2</f>
        <v>0</v>
      </c>
      <c r="D4">
        <f>$D$2+$A$5</f>
        <v>4.5</v>
      </c>
      <c r="E4">
        <v>0</v>
      </c>
      <c r="F4">
        <v>1</v>
      </c>
      <c r="G4">
        <f t="shared" si="0"/>
        <v>0</v>
      </c>
      <c r="H4">
        <f t="shared" si="1"/>
        <v>-4.5</v>
      </c>
      <c r="I4">
        <v>0</v>
      </c>
      <c r="J4">
        <v>1</v>
      </c>
      <c r="K4" t="s">
        <v>1</v>
      </c>
      <c r="L4">
        <v>19</v>
      </c>
      <c r="M4" t="s">
        <v>27</v>
      </c>
      <c r="N4">
        <f xml:space="preserve"> -SIN(RADIANS($L$1))</f>
        <v>-0.15643446504023087</v>
      </c>
      <c r="O4">
        <f>N4/SQRT($N$12)</f>
        <v>-0.15643446504023087</v>
      </c>
      <c r="P4" t="s">
        <v>27</v>
      </c>
      <c r="Q4">
        <f xml:space="preserve"> SIN(RADIANS($L$2))</f>
        <v>-0.15643446504023087</v>
      </c>
      <c r="R4">
        <f>Q4/SQRT($Q$12)</f>
        <v>-0.15643446504023087</v>
      </c>
      <c r="S4">
        <f>$O$8</f>
        <v>0.15494878255303937</v>
      </c>
      <c r="T4">
        <f>$O$9</f>
        <v>0.13749223845159461</v>
      </c>
      <c r="U4">
        <f>$O$10</f>
        <v>0.9783081105413064</v>
      </c>
      <c r="V4">
        <f>-($L$6*$O$8+$L$7*$O$9+$L$8*$O$10)</f>
        <v>18.587854100284826</v>
      </c>
      <c r="W4" t="s">
        <v>4</v>
      </c>
      <c r="X4">
        <v>-8.8817841970012523E-16</v>
      </c>
      <c r="Y4">
        <v>4.4572627988938223</v>
      </c>
      <c r="Z4">
        <v>19.206569173317</v>
      </c>
      <c r="AA4">
        <v>1</v>
      </c>
      <c r="AB4">
        <v>-8.8817841970012523E-16</v>
      </c>
      <c r="AC4">
        <v>-4.4572627988938223</v>
      </c>
      <c r="AD4">
        <v>19.206569173317</v>
      </c>
      <c r="AE4">
        <v>1</v>
      </c>
      <c r="AF4">
        <v>-4.4408920985006262E-16</v>
      </c>
      <c r="AG4">
        <v>4.4572627988938223</v>
      </c>
      <c r="AH4">
        <v>19.906569173317003</v>
      </c>
      <c r="AI4">
        <v>1</v>
      </c>
      <c r="AJ4">
        <v>-4.4408920985006262E-16</v>
      </c>
      <c r="AK4">
        <v>-4.4572627988938223</v>
      </c>
      <c r="AL4">
        <v>19.906569173317003</v>
      </c>
      <c r="AM4">
        <v>1</v>
      </c>
    </row>
    <row r="5" spans="1:39" x14ac:dyDescent="0.3">
      <c r="A5">
        <v>3.9</v>
      </c>
      <c r="B5" t="s">
        <v>13</v>
      </c>
      <c r="C5">
        <f>$C$2+$A$3</f>
        <v>5.3</v>
      </c>
      <c r="D5">
        <f>$D$2</f>
        <v>0.6</v>
      </c>
      <c r="E5">
        <v>0</v>
      </c>
      <c r="F5">
        <v>1</v>
      </c>
      <c r="G5">
        <f t="shared" si="0"/>
        <v>5.3</v>
      </c>
      <c r="H5">
        <f t="shared" si="1"/>
        <v>-0.6</v>
      </c>
      <c r="I5">
        <v>0</v>
      </c>
      <c r="J5">
        <v>1</v>
      </c>
      <c r="K5" t="s">
        <v>35</v>
      </c>
      <c r="M5" t="s">
        <v>28</v>
      </c>
      <c r="N5">
        <f>$N$9*$N$4-$N$10*$N$3</f>
        <v>-2.1503426678260266E-2</v>
      </c>
      <c r="O5">
        <f>N5/SQRT($N$13)</f>
        <v>-2.1508524769359064E-2</v>
      </c>
      <c r="P5" t="s">
        <v>28</v>
      </c>
      <c r="Q5">
        <f>$Q$9*$Q$4-$Q$10*$Q$3</f>
        <v>2.1503426678260266E-2</v>
      </c>
      <c r="R5">
        <f>Q5/SQRT($Q$13)</f>
        <v>2.1508524769359064E-2</v>
      </c>
      <c r="S5">
        <v>0</v>
      </c>
      <c r="T5">
        <v>0</v>
      </c>
      <c r="U5">
        <v>0</v>
      </c>
      <c r="V5">
        <v>1</v>
      </c>
      <c r="W5" t="s">
        <v>13</v>
      </c>
      <c r="X5">
        <v>5.2347482051542293</v>
      </c>
      <c r="Y5">
        <v>0.48030652524157286</v>
      </c>
      <c r="Z5">
        <v>19.491577990886892</v>
      </c>
      <c r="AA5">
        <v>1</v>
      </c>
      <c r="AB5">
        <v>5.2347482051542293</v>
      </c>
      <c r="AC5">
        <v>-0.48030652524157286</v>
      </c>
      <c r="AD5">
        <v>19.491577990886892</v>
      </c>
      <c r="AE5">
        <v>1</v>
      </c>
      <c r="AF5">
        <v>5.2347482051542293</v>
      </c>
      <c r="AG5">
        <v>0.48030652524157375</v>
      </c>
      <c r="AH5">
        <v>20.191577990886895</v>
      </c>
      <c r="AI5">
        <v>1</v>
      </c>
      <c r="AJ5">
        <v>5.2347482051542293</v>
      </c>
      <c r="AK5">
        <v>-0.48030652524157375</v>
      </c>
      <c r="AL5">
        <v>20.191577990886895</v>
      </c>
      <c r="AM5">
        <v>1</v>
      </c>
    </row>
    <row r="6" spans="1:39" x14ac:dyDescent="0.3">
      <c r="A6" t="s">
        <v>7</v>
      </c>
      <c r="B6" t="s">
        <v>3</v>
      </c>
      <c r="C6">
        <f>$C$2</f>
        <v>0</v>
      </c>
      <c r="D6">
        <f>$D$2-$A$5</f>
        <v>-3.3</v>
      </c>
      <c r="E6">
        <v>0</v>
      </c>
      <c r="F6">
        <v>1</v>
      </c>
      <c r="G6">
        <f t="shared" si="0"/>
        <v>0</v>
      </c>
      <c r="H6">
        <f t="shared" si="1"/>
        <v>3.3</v>
      </c>
      <c r="I6">
        <v>0</v>
      </c>
      <c r="J6">
        <v>1</v>
      </c>
      <c r="K6" t="s">
        <v>95</v>
      </c>
      <c r="L6">
        <f>$L$4*$O$10*-$O$8</f>
        <v>-2.880165363112654</v>
      </c>
      <c r="M6" t="s">
        <v>29</v>
      </c>
      <c r="N6">
        <f>$N$10*$N$2-$N$8*$N$4</f>
        <v>0.99026806874157047</v>
      </c>
      <c r="O6">
        <f>N6/SQRT($N$13)</f>
        <v>0.99050284419862722</v>
      </c>
      <c r="P6" t="s">
        <v>29</v>
      </c>
      <c r="Q6">
        <f>$Q$10*$Q$2-$Q$8*$Q$4</f>
        <v>0.99026806874157047</v>
      </c>
      <c r="R6">
        <f>Q6/SQRT($Q$13)</f>
        <v>0.99050284419862722</v>
      </c>
      <c r="S6" t="s">
        <v>83</v>
      </c>
      <c r="W6" t="s">
        <v>3</v>
      </c>
      <c r="X6">
        <v>-8.8817841970012523E-16</v>
      </c>
      <c r="Y6">
        <v>-3.2686593858554702</v>
      </c>
      <c r="Z6">
        <v>18.134129713394564</v>
      </c>
      <c r="AA6">
        <v>1</v>
      </c>
      <c r="AB6">
        <v>-8.8817841970012523E-16</v>
      </c>
      <c r="AC6">
        <v>3.2686593858554702</v>
      </c>
      <c r="AD6">
        <v>18.134129713394564</v>
      </c>
      <c r="AE6">
        <v>1</v>
      </c>
      <c r="AF6">
        <v>-4.4408920985006262E-16</v>
      </c>
      <c r="AG6">
        <v>-3.2686593858554693</v>
      </c>
      <c r="AH6">
        <v>18.834129713394567</v>
      </c>
      <c r="AI6">
        <v>1</v>
      </c>
      <c r="AJ6">
        <v>-4.4408920985006262E-16</v>
      </c>
      <c r="AK6">
        <v>3.2686593858554693</v>
      </c>
      <c r="AL6">
        <v>18.834129713394567</v>
      </c>
      <c r="AM6">
        <v>1</v>
      </c>
    </row>
    <row r="7" spans="1:39" x14ac:dyDescent="0.3">
      <c r="A7">
        <v>6.8460000000000001</v>
      </c>
      <c r="B7" t="s">
        <v>14</v>
      </c>
      <c r="C7">
        <f>-$A$7</f>
        <v>-6.8460000000000001</v>
      </c>
      <c r="D7">
        <f>$A$9</f>
        <v>4.1459999999999999</v>
      </c>
      <c r="E7">
        <v>0</v>
      </c>
      <c r="F7">
        <v>1</v>
      </c>
      <c r="G7">
        <f t="shared" si="0"/>
        <v>-6.8460000000000001</v>
      </c>
      <c r="H7">
        <f t="shared" si="1"/>
        <v>-4.1459999999999999</v>
      </c>
      <c r="I7">
        <v>0</v>
      </c>
      <c r="J7">
        <v>1</v>
      </c>
      <c r="K7" t="s">
        <v>94</v>
      </c>
      <c r="L7">
        <f>$L$4*$O$10*-$O$9</f>
        <v>-2.5556856682598115</v>
      </c>
      <c r="M7" t="s">
        <v>30</v>
      </c>
      <c r="N7">
        <f>$N$8*$N$3-$N$9*$N$2</f>
        <v>-0.13576729276056948</v>
      </c>
      <c r="O7">
        <f>N7/SQRT($N$13)</f>
        <v>-0.13579948084096646</v>
      </c>
      <c r="P7" t="s">
        <v>30</v>
      </c>
      <c r="Q7">
        <f>$Q$8*$Q$3-$Q$9*$Q$2</f>
        <v>0.13576729276056948</v>
      </c>
      <c r="R7">
        <f>Q7/SQRT($Q$13)</f>
        <v>0.13579948084096646</v>
      </c>
      <c r="S7">
        <f>$R$2</f>
        <v>0.98768834059513777</v>
      </c>
      <c r="T7">
        <f>$R$3</f>
        <v>0</v>
      </c>
      <c r="U7">
        <f>$R$4</f>
        <v>-0.15643446504023087</v>
      </c>
      <c r="V7">
        <f>-($L$21*$R$2+$L$22*$R$3+$L$23*$R$4)</f>
        <v>-8.8817841970012523E-16</v>
      </c>
      <c r="W7" t="s">
        <v>14</v>
      </c>
      <c r="X7">
        <v>-6.7617143797143138</v>
      </c>
      <c r="Y7">
        <v>4.2538721526185395</v>
      </c>
      <c r="Z7">
        <v>18.09711755554703</v>
      </c>
      <c r="AA7">
        <v>1</v>
      </c>
      <c r="AB7">
        <v>-6.7617143797143138</v>
      </c>
      <c r="AC7">
        <v>-4.2538721526185395</v>
      </c>
      <c r="AD7">
        <v>18.09711755554703</v>
      </c>
      <c r="AE7">
        <v>1</v>
      </c>
      <c r="AF7">
        <v>-6.7617143797143129</v>
      </c>
      <c r="AG7">
        <v>4.2538721526185412</v>
      </c>
      <c r="AH7">
        <v>18.797117555547032</v>
      </c>
      <c r="AI7">
        <v>1</v>
      </c>
      <c r="AJ7">
        <v>-6.7617143797143129</v>
      </c>
      <c r="AK7">
        <v>-4.2538721526185412</v>
      </c>
      <c r="AL7">
        <v>18.797117555547032</v>
      </c>
      <c r="AM7">
        <v>1</v>
      </c>
    </row>
    <row r="8" spans="1:39" x14ac:dyDescent="0.3">
      <c r="A8" t="s">
        <v>8</v>
      </c>
      <c r="B8" t="s">
        <v>15</v>
      </c>
      <c r="C8">
        <f>$A$7</f>
        <v>6.8460000000000001</v>
      </c>
      <c r="D8">
        <f>$A$9</f>
        <v>4.1459999999999999</v>
      </c>
      <c r="E8">
        <v>0</v>
      </c>
      <c r="F8">
        <v>1</v>
      </c>
      <c r="G8">
        <f t="shared" si="0"/>
        <v>6.8460000000000001</v>
      </c>
      <c r="H8">
        <f t="shared" si="1"/>
        <v>-4.1459999999999999</v>
      </c>
      <c r="I8">
        <v>0</v>
      </c>
      <c r="J8">
        <v>1</v>
      </c>
      <c r="K8" t="s">
        <v>93</v>
      </c>
      <c r="L8">
        <f>$L$4*$O$10*-$O$10</f>
        <v>-18.18464842386712</v>
      </c>
      <c r="M8" t="s">
        <v>31</v>
      </c>
      <c r="N8">
        <f>SIN(RADIANS($L$1))*COS(RADIANS($L$3))</f>
        <v>0.15491205558001012</v>
      </c>
      <c r="O8">
        <f>N8/SQRT($N$14)</f>
        <v>0.15494878255303937</v>
      </c>
      <c r="P8" t="s">
        <v>31</v>
      </c>
      <c r="Q8">
        <f>-SIN(RADIANS($L$2))*COS(RADIANS($L$3))</f>
        <v>0.15491205558001012</v>
      </c>
      <c r="R8">
        <f>Q8/SQRT($Q$14)</f>
        <v>0.15494878255303937</v>
      </c>
      <c r="S8">
        <f>$R$5</f>
        <v>2.1508524769359064E-2</v>
      </c>
      <c r="T8">
        <f>$R$6</f>
        <v>0.99050284419862722</v>
      </c>
      <c r="U8">
        <f>$R$7</f>
        <v>0.13579948084096646</v>
      </c>
      <c r="V8">
        <f>-($L$21*$R$5+$L$22*$R$6+$L$23*$R$7)</f>
        <v>4.4408920985006262E-16</v>
      </c>
      <c r="W8" t="s">
        <v>15</v>
      </c>
      <c r="X8">
        <v>6.761714379714312</v>
      </c>
      <c r="Y8">
        <v>3.9593774314764758</v>
      </c>
      <c r="Z8">
        <v>20.218676286263246</v>
      </c>
      <c r="AA8">
        <v>1</v>
      </c>
      <c r="AB8">
        <v>6.761714379714312</v>
      </c>
      <c r="AC8">
        <v>-3.9593774314764758</v>
      </c>
      <c r="AD8">
        <v>20.218676286263246</v>
      </c>
      <c r="AE8">
        <v>1</v>
      </c>
      <c r="AF8">
        <v>6.7617143797143129</v>
      </c>
      <c r="AG8">
        <v>3.9593774314764767</v>
      </c>
      <c r="AH8">
        <v>20.918676286263249</v>
      </c>
      <c r="AI8">
        <v>1</v>
      </c>
      <c r="AJ8">
        <v>6.7617143797143129</v>
      </c>
      <c r="AK8">
        <v>-3.9593774314764767</v>
      </c>
      <c r="AL8">
        <v>20.918676286263249</v>
      </c>
      <c r="AM8">
        <v>1</v>
      </c>
    </row>
    <row r="9" spans="1:39" x14ac:dyDescent="0.3">
      <c r="A9">
        <v>4.1459999999999999</v>
      </c>
      <c r="B9" t="s">
        <v>16</v>
      </c>
      <c r="C9">
        <f>$A$7</f>
        <v>6.8460000000000001</v>
      </c>
      <c r="D9">
        <f>-$A$9</f>
        <v>-4.1459999999999999</v>
      </c>
      <c r="E9">
        <v>0</v>
      </c>
      <c r="F9">
        <v>1</v>
      </c>
      <c r="G9">
        <f t="shared" si="0"/>
        <v>6.8460000000000001</v>
      </c>
      <c r="H9">
        <f t="shared" si="1"/>
        <v>4.1459999999999999</v>
      </c>
      <c r="I9">
        <v>0</v>
      </c>
      <c r="J9">
        <v>1</v>
      </c>
      <c r="K9" t="s">
        <v>63</v>
      </c>
      <c r="L9">
        <v>1.9</v>
      </c>
      <c r="M9" t="s">
        <v>32</v>
      </c>
      <c r="N9">
        <f>-COS(RADIANS($L$1))*SIN(RADIANS($L$3))</f>
        <v>0.1374596491427266</v>
      </c>
      <c r="O9">
        <f>N9/SQRT($N$14)</f>
        <v>0.13749223845159461</v>
      </c>
      <c r="P9" t="s">
        <v>32</v>
      </c>
      <c r="Q9">
        <f>COS(RADIANS($L$2))*SIN(RADIANS($L$3))</f>
        <v>-0.1374596491427266</v>
      </c>
      <c r="R9">
        <f t="shared" ref="R9:R10" si="2">Q9/SQRT($Q$14)</f>
        <v>-0.13749223845159461</v>
      </c>
      <c r="S9">
        <f>$R$8</f>
        <v>0.15494878255303937</v>
      </c>
      <c r="T9">
        <f>$R$9</f>
        <v>-0.13749223845159461</v>
      </c>
      <c r="U9">
        <f>$R$10</f>
        <v>0.9783081105413064</v>
      </c>
      <c r="V9">
        <f>-($L$21*$R$8+$L$22*$R$9+$L$23*$R$10)</f>
        <v>18.587854100284826</v>
      </c>
      <c r="W9" t="s">
        <v>16</v>
      </c>
      <c r="X9">
        <v>6.761714379714312</v>
      </c>
      <c r="Y9">
        <v>-4.2538721526185412</v>
      </c>
      <c r="Z9">
        <v>19.078590645022622</v>
      </c>
      <c r="AA9">
        <v>1</v>
      </c>
      <c r="AB9">
        <v>6.761714379714312</v>
      </c>
      <c r="AC9">
        <v>4.2538721526185412</v>
      </c>
      <c r="AD9">
        <v>19.078590645022622</v>
      </c>
      <c r="AE9">
        <v>1</v>
      </c>
      <c r="AF9">
        <v>6.7617143797143129</v>
      </c>
      <c r="AG9">
        <v>-4.2538721526185395</v>
      </c>
      <c r="AH9">
        <v>19.778590645022625</v>
      </c>
      <c r="AI9">
        <v>1</v>
      </c>
      <c r="AJ9">
        <v>6.7617143797143129</v>
      </c>
      <c r="AK9">
        <v>4.2538721526185395</v>
      </c>
      <c r="AL9">
        <v>19.778590645022625</v>
      </c>
      <c r="AM9">
        <v>1</v>
      </c>
    </row>
    <row r="10" spans="1:39" x14ac:dyDescent="0.3">
      <c r="B10" t="s">
        <v>17</v>
      </c>
      <c r="C10">
        <f>-$A$7</f>
        <v>-6.8460000000000001</v>
      </c>
      <c r="D10">
        <f>-$A$9</f>
        <v>-4.1459999999999999</v>
      </c>
      <c r="E10">
        <v>0</v>
      </c>
      <c r="F10">
        <v>1</v>
      </c>
      <c r="G10">
        <f t="shared" si="0"/>
        <v>-6.8460000000000001</v>
      </c>
      <c r="H10">
        <f t="shared" si="1"/>
        <v>4.1459999999999999</v>
      </c>
      <c r="I10">
        <v>0</v>
      </c>
      <c r="J10">
        <v>1</v>
      </c>
      <c r="K10" t="s">
        <v>59</v>
      </c>
      <c r="L10">
        <v>0.5</v>
      </c>
      <c r="M10" t="s">
        <v>33</v>
      </c>
      <c r="N10">
        <f>COS(RADIANS($L$1))*COS(RADIANS($L$3))</f>
        <v>0.97807622555971341</v>
      </c>
      <c r="O10">
        <f>N10/SQRT($N$14)</f>
        <v>0.9783081105413064</v>
      </c>
      <c r="P10" t="s">
        <v>33</v>
      </c>
      <c r="Q10">
        <f>COS(RADIANS($L$2))*COS(RADIANS($L$3))</f>
        <v>0.97807622555971341</v>
      </c>
      <c r="R10">
        <f t="shared" si="2"/>
        <v>0.9783081105413064</v>
      </c>
      <c r="S10">
        <v>0</v>
      </c>
      <c r="T10">
        <v>0</v>
      </c>
      <c r="U10">
        <v>0</v>
      </c>
      <c r="V10">
        <v>1</v>
      </c>
      <c r="W10" t="s">
        <v>17</v>
      </c>
      <c r="X10">
        <v>-6.7617143797143138</v>
      </c>
      <c r="Y10">
        <v>-3.9593774314764767</v>
      </c>
      <c r="Z10">
        <v>16.957031914306405</v>
      </c>
      <c r="AA10">
        <v>1</v>
      </c>
      <c r="AB10">
        <v>-6.7617143797143138</v>
      </c>
      <c r="AC10">
        <v>3.9593774314764767</v>
      </c>
      <c r="AD10">
        <v>16.957031914306405</v>
      </c>
      <c r="AE10">
        <v>1</v>
      </c>
      <c r="AF10">
        <v>-6.7617143797143129</v>
      </c>
      <c r="AG10">
        <v>-3.9593774314764758</v>
      </c>
      <c r="AH10">
        <v>17.657031914306408</v>
      </c>
      <c r="AI10">
        <v>1</v>
      </c>
      <c r="AJ10">
        <v>-6.7617143797143129</v>
      </c>
      <c r="AK10">
        <v>3.9593774314764758</v>
      </c>
      <c r="AL10">
        <v>17.657031914306408</v>
      </c>
      <c r="AM10">
        <v>1</v>
      </c>
    </row>
    <row r="11" spans="1:39" x14ac:dyDescent="0.3">
      <c r="K11" t="s">
        <v>60</v>
      </c>
      <c r="L11">
        <v>0.2</v>
      </c>
    </row>
    <row r="12" spans="1:39" x14ac:dyDescent="0.3">
      <c r="A12" t="s">
        <v>23</v>
      </c>
      <c r="B12" s="1" t="s">
        <v>24</v>
      </c>
      <c r="K12" t="s">
        <v>62</v>
      </c>
      <c r="L12">
        <v>0.5</v>
      </c>
      <c r="M12" t="s">
        <v>37</v>
      </c>
      <c r="N12">
        <f>SUM(N2^2+N3^2+N4^2)</f>
        <v>1</v>
      </c>
      <c r="O12">
        <f>SUM(O2^2+O3^2+O4^2)</f>
        <v>1</v>
      </c>
      <c r="Q12">
        <f>SUM(Q2^2+Q3^2+Q4^2)</f>
        <v>1</v>
      </c>
      <c r="R12">
        <f>SUM(R2^2+R3^2+R4^2)</f>
        <v>1</v>
      </c>
      <c r="S12" t="s">
        <v>84</v>
      </c>
      <c r="W12" t="s">
        <v>40</v>
      </c>
    </row>
    <row r="13" spans="1:39" x14ac:dyDescent="0.3">
      <c r="K13" t="s">
        <v>61</v>
      </c>
      <c r="L13">
        <f>$L$10/$L$9+$L$12+$L$11</f>
        <v>0.96315789473684199</v>
      </c>
      <c r="M13" t="s">
        <v>38</v>
      </c>
      <c r="N13">
        <f>SUM(N5^2+N6^2+N7^2)</f>
        <v>0.99952600311160122</v>
      </c>
      <c r="O13">
        <f>SUM(O5^2+O6^2+O7^2)</f>
        <v>1</v>
      </c>
      <c r="Q13">
        <f>SUM(Q5^2+Q6^2+Q7^2)</f>
        <v>0.99952600311160122</v>
      </c>
      <c r="R13">
        <f>SUM(R5^2+R6^2+R7^2)</f>
        <v>1</v>
      </c>
      <c r="S13">
        <f>$O$2</f>
        <v>0.98768834059513777</v>
      </c>
      <c r="T13">
        <f>$O$3</f>
        <v>0</v>
      </c>
      <c r="U13">
        <f>$O$4</f>
        <v>-0.15643446504023087</v>
      </c>
      <c r="V13">
        <f>-($L$15*$O$2+$L$16*$O$3+$L$17*$O$4)</f>
        <v>-4.4408920985006262E-16</v>
      </c>
    </row>
    <row r="14" spans="1:39" x14ac:dyDescent="0.3">
      <c r="K14" t="s">
        <v>58</v>
      </c>
      <c r="L14">
        <f>$L$4+($L$10+$L$11)*$O$10</f>
        <v>19.684815677378914</v>
      </c>
      <c r="M14" t="s">
        <v>39</v>
      </c>
      <c r="N14">
        <f>SUM(N8^2+N9^2+N10^2)</f>
        <v>0.999526003111601</v>
      </c>
      <c r="O14">
        <f>SUM(O8^2+O9^2+O10^2)</f>
        <v>1.0000000000000002</v>
      </c>
      <c r="Q14">
        <f>SUM(Q8^2+Q9^2+Q10^2)</f>
        <v>0.999526003111601</v>
      </c>
      <c r="R14">
        <f>SUM(R8^2+R9^2+R10^2)</f>
        <v>1.0000000000000002</v>
      </c>
      <c r="S14">
        <f>$O$5</f>
        <v>-2.1508524769359064E-2</v>
      </c>
      <c r="T14">
        <f>$O$6</f>
        <v>0.99050284419862722</v>
      </c>
      <c r="U14">
        <f>$O$7</f>
        <v>-0.13579948084096646</v>
      </c>
      <c r="V14">
        <f>-($L$15*$O$5+$L$16*$O$6+$L$17*$O$7)</f>
        <v>4.4408920985006262E-16</v>
      </c>
    </row>
    <row r="15" spans="1:39" x14ac:dyDescent="0.3">
      <c r="K15" t="s">
        <v>76</v>
      </c>
      <c r="L15">
        <f>($L$4*$O$10+$L$10+$L$11)*-$O$8</f>
        <v>-2.9886295108997816</v>
      </c>
      <c r="S15">
        <f>$O$8</f>
        <v>0.15494878255303937</v>
      </c>
      <c r="T15">
        <f>$O$9</f>
        <v>0.13749223845159461</v>
      </c>
      <c r="U15">
        <f>$O$10</f>
        <v>0.9783081105413064</v>
      </c>
      <c r="V15">
        <f>-($L$15*$O$8+$L$16*$O$9+$L$17*$O$10)</f>
        <v>19.287854100284829</v>
      </c>
    </row>
    <row r="16" spans="1:39" x14ac:dyDescent="0.3">
      <c r="K16" t="s">
        <v>77</v>
      </c>
      <c r="L16">
        <f>($L$4*$O$10+$L$10+$L$11)*-$O$9</f>
        <v>-2.6519302351759277</v>
      </c>
      <c r="S16">
        <v>0</v>
      </c>
      <c r="T16">
        <v>0</v>
      </c>
      <c r="U16">
        <v>0</v>
      </c>
      <c r="V16">
        <v>1</v>
      </c>
    </row>
    <row r="17" spans="11:22" x14ac:dyDescent="0.3">
      <c r="K17" t="s">
        <v>78</v>
      </c>
      <c r="L17">
        <f>($L$4*$O$10+$L$10+$L$11)*-$O$10</f>
        <v>-18.869464101246034</v>
      </c>
      <c r="S17" t="s">
        <v>85</v>
      </c>
    </row>
    <row r="18" spans="11:22" x14ac:dyDescent="0.3">
      <c r="K18" t="s">
        <v>79</v>
      </c>
      <c r="L18">
        <f>($L$4*$O$10+$L$10+$L$11)*-$R$8</f>
        <v>-2.9886295108997816</v>
      </c>
      <c r="S18">
        <f>$R$2</f>
        <v>0.98768834059513777</v>
      </c>
      <c r="T18">
        <f>$R$3</f>
        <v>0</v>
      </c>
      <c r="U18">
        <f>$R$4</f>
        <v>-0.15643446504023087</v>
      </c>
      <c r="V18">
        <f>-($L$18*$R$2+$L$19*$R$3+$L$20*$R$4)</f>
        <v>-4.4408920985006262E-16</v>
      </c>
    </row>
    <row r="19" spans="11:22" x14ac:dyDescent="0.3">
      <c r="K19" t="s">
        <v>80</v>
      </c>
      <c r="L19">
        <f>($L$4*$O$10+$L$10+$L$11)*-$R$9</f>
        <v>2.6519302351759277</v>
      </c>
      <c r="S19">
        <f>$R$5</f>
        <v>2.1508524769359064E-2</v>
      </c>
      <c r="T19">
        <f>$R$6</f>
        <v>0.99050284419862722</v>
      </c>
      <c r="U19">
        <f>$R$7</f>
        <v>0.13579948084096646</v>
      </c>
      <c r="V19">
        <f>-($L$18*$R$5+$L$19*$R$6+$L$20*$R$7)</f>
        <v>-4.4408920985006262E-16</v>
      </c>
    </row>
    <row r="20" spans="11:22" x14ac:dyDescent="0.3">
      <c r="K20" t="s">
        <v>81</v>
      </c>
      <c r="L20">
        <f>($L$4*$O$10+$L$10+$L$11)*-$R$10</f>
        <v>-18.869464101246034</v>
      </c>
      <c r="S20">
        <f>$R$8</f>
        <v>0.15494878255303937</v>
      </c>
      <c r="T20">
        <f>$R$9</f>
        <v>-0.13749223845159461</v>
      </c>
      <c r="U20">
        <f>$R$10</f>
        <v>0.9783081105413064</v>
      </c>
      <c r="V20">
        <f>-($L$18*$R$8+$L$19*$R$9+$L$20*$R$10)</f>
        <v>19.287854100284829</v>
      </c>
    </row>
    <row r="21" spans="11:22" x14ac:dyDescent="0.3">
      <c r="K21" t="s">
        <v>96</v>
      </c>
      <c r="L21">
        <f>$L$4*$R$10*-$R$8</f>
        <v>-2.880165363112654</v>
      </c>
      <c r="S21">
        <v>0</v>
      </c>
      <c r="T21">
        <v>0</v>
      </c>
      <c r="U21">
        <v>0</v>
      </c>
      <c r="V21">
        <v>1</v>
      </c>
    </row>
    <row r="22" spans="11:22" x14ac:dyDescent="0.3">
      <c r="K22" t="s">
        <v>97</v>
      </c>
      <c r="L22">
        <f>$L$4*$R$10*-$R$9</f>
        <v>2.5556856682598115</v>
      </c>
    </row>
    <row r="23" spans="11:22" x14ac:dyDescent="0.3">
      <c r="K23" t="s">
        <v>98</v>
      </c>
      <c r="L23">
        <f>$L$4*$R$10*-$R$10</f>
        <v>-18.18464842386712</v>
      </c>
    </row>
  </sheetData>
  <hyperlinks>
    <hyperlink ref="B12" r:id="rId1" xr:uid="{A865A410-3113-470F-8940-27484545BD1A}"/>
  </hyperlinks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71F8-D7EC-410B-9A0F-7F126A02909C}">
  <dimension ref="A2:O25"/>
  <sheetViews>
    <sheetView workbookViewId="0">
      <selection activeCell="A19" sqref="A19"/>
    </sheetView>
  </sheetViews>
  <sheetFormatPr defaultRowHeight="14.4" x14ac:dyDescent="0.3"/>
  <cols>
    <col min="1" max="1" width="21.21875" customWidth="1"/>
    <col min="10" max="15" width="8.88671875" style="2"/>
  </cols>
  <sheetData>
    <row r="2" spans="1:15" x14ac:dyDescent="0.3">
      <c r="A2" t="s">
        <v>99</v>
      </c>
      <c r="B2" s="6" t="s">
        <v>91</v>
      </c>
      <c r="C2" s="6"/>
      <c r="D2" s="6"/>
      <c r="E2" s="6"/>
      <c r="F2" s="6"/>
      <c r="G2" s="6"/>
      <c r="H2" s="6"/>
      <c r="J2" s="7" t="s">
        <v>92</v>
      </c>
      <c r="K2" s="7"/>
      <c r="L2" s="7"/>
      <c r="M2" s="7"/>
      <c r="N2" s="7"/>
      <c r="O2" s="7"/>
    </row>
    <row r="3" spans="1:15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</row>
    <row r="4" spans="1:15" x14ac:dyDescent="0.3">
      <c r="A4" s="5">
        <v>1</v>
      </c>
      <c r="B4" t="s">
        <v>49</v>
      </c>
      <c r="C4" s="2">
        <v>-2.9722548357643865</v>
      </c>
      <c r="D4" s="2">
        <v>-1.9858884294591865</v>
      </c>
      <c r="E4" s="2">
        <v>18.6703494433558</v>
      </c>
      <c r="F4" s="2">
        <v>-2.9722548357643865</v>
      </c>
      <c r="G4" s="2">
        <v>1.9858884294591865</v>
      </c>
      <c r="H4" s="2">
        <v>18.670349443355779</v>
      </c>
      <c r="J4" s="2">
        <v>-2.9722548357643861</v>
      </c>
      <c r="K4" s="2">
        <v>-1.9858884294591865</v>
      </c>
      <c r="L4" s="2">
        <v>19.370349443355778</v>
      </c>
      <c r="M4" s="2">
        <v>-2.9722548357643861</v>
      </c>
      <c r="N4" s="2">
        <v>1.9858884294591865</v>
      </c>
      <c r="O4" s="2">
        <v>19.370349443355778</v>
      </c>
    </row>
    <row r="5" spans="1:15" x14ac:dyDescent="0.3">
      <c r="A5" s="5"/>
      <c r="B5" t="s">
        <v>50</v>
      </c>
      <c r="C5" s="2">
        <v>-8.2070030409186163</v>
      </c>
      <c r="D5" s="2">
        <v>-1.8718932481815833</v>
      </c>
      <c r="E5" s="2">
        <v>17.849120895824669</v>
      </c>
      <c r="F5" s="2">
        <v>-8.2070030409186163</v>
      </c>
      <c r="G5" s="2">
        <v>1.8718932481815833</v>
      </c>
      <c r="H5" s="2">
        <v>17.849120895824669</v>
      </c>
      <c r="J5" s="2">
        <v>-8.2070030409186163</v>
      </c>
      <c r="K5" s="2">
        <v>-1.8718932481815833</v>
      </c>
      <c r="L5" s="2">
        <v>18.549120895824668</v>
      </c>
      <c r="M5" s="2">
        <v>-8.2070030409186163</v>
      </c>
      <c r="N5" s="2">
        <v>1.8718932481815833</v>
      </c>
      <c r="O5" s="2">
        <v>18.549120895824668</v>
      </c>
    </row>
    <row r="6" spans="1:15" x14ac:dyDescent="0.3">
      <c r="A6" s="5"/>
      <c r="B6" t="s">
        <v>51</v>
      </c>
      <c r="C6" s="2">
        <v>-2.9722548357643865</v>
      </c>
      <c r="D6" s="2">
        <v>1.8770726629154595</v>
      </c>
      <c r="E6" s="2">
        <v>19.206569173317</v>
      </c>
      <c r="F6" s="2">
        <v>-2.9722548357643865</v>
      </c>
      <c r="G6" s="2">
        <v>-1.8770726629154595</v>
      </c>
      <c r="H6" s="2">
        <v>19.206569173317</v>
      </c>
      <c r="J6" s="2">
        <v>-2.9722548357643861</v>
      </c>
      <c r="K6" s="2">
        <v>1.8770726629154595</v>
      </c>
      <c r="L6" s="2">
        <v>19.906569173316996</v>
      </c>
      <c r="M6" s="2">
        <v>-2.9722548357643861</v>
      </c>
      <c r="N6" s="2">
        <v>-1.8770726629154595</v>
      </c>
      <c r="O6" s="2">
        <v>19.906569173316996</v>
      </c>
    </row>
    <row r="7" spans="1:15" x14ac:dyDescent="0.3">
      <c r="A7" s="5"/>
      <c r="B7" t="s">
        <v>52</v>
      </c>
      <c r="C7" s="2">
        <v>2.2624933693898437</v>
      </c>
      <c r="D7" s="2">
        <v>-2.0998836107367893</v>
      </c>
      <c r="E7" s="2">
        <v>19.491577990886888</v>
      </c>
      <c r="F7" s="2">
        <v>2.2624933693898437</v>
      </c>
      <c r="G7" s="2">
        <v>2.0998836107367893</v>
      </c>
      <c r="H7" s="2">
        <v>19.491577990886888</v>
      </c>
      <c r="J7" s="2">
        <v>2.2624933693898441</v>
      </c>
      <c r="K7" s="2">
        <v>-2.0998836107367893</v>
      </c>
      <c r="L7" s="2">
        <v>20.191577990886888</v>
      </c>
      <c r="M7" s="2">
        <v>2.2624933693898441</v>
      </c>
      <c r="N7" s="2">
        <v>2.0998836107367893</v>
      </c>
      <c r="O7" s="2">
        <v>20.191577990886888</v>
      </c>
    </row>
    <row r="8" spans="1:15" x14ac:dyDescent="0.3">
      <c r="A8" s="5"/>
      <c r="B8" t="s">
        <v>53</v>
      </c>
      <c r="C8" s="2">
        <v>-2.9722548357643865</v>
      </c>
      <c r="D8" s="2">
        <v>-5.8488495218338326</v>
      </c>
      <c r="E8" s="2">
        <v>18.134129713394561</v>
      </c>
      <c r="F8" s="2">
        <v>-2.9722548357643865</v>
      </c>
      <c r="G8" s="2">
        <v>5.8488495218338326</v>
      </c>
      <c r="H8" s="2">
        <v>18.134129713394561</v>
      </c>
      <c r="J8" s="2">
        <v>-2.9722548357643861</v>
      </c>
      <c r="K8" s="2">
        <v>-5.8488495218338326</v>
      </c>
      <c r="L8" s="2">
        <v>18.83412971339456</v>
      </c>
      <c r="M8" s="2">
        <v>-2.9722548357643861</v>
      </c>
      <c r="N8" s="2">
        <v>5.8488495218338326</v>
      </c>
      <c r="O8" s="2">
        <v>18.83412971339456</v>
      </c>
    </row>
    <row r="9" spans="1:15" x14ac:dyDescent="0.3">
      <c r="A9" s="5">
        <v>2</v>
      </c>
      <c r="B9" t="s">
        <v>54</v>
      </c>
      <c r="C9" s="2">
        <v>-9.7339692154786999</v>
      </c>
      <c r="D9" s="2">
        <v>1.6736820166401776</v>
      </c>
      <c r="E9" s="2">
        <v>18.097117555547026</v>
      </c>
      <c r="F9" s="2">
        <v>-9.7339692154786999</v>
      </c>
      <c r="G9" s="2">
        <v>-1.6736820166401776</v>
      </c>
      <c r="H9" s="2">
        <v>18.097117555547026</v>
      </c>
      <c r="J9" s="2">
        <v>-9.7339692154786981</v>
      </c>
      <c r="K9" s="2">
        <v>1.6736820166401776</v>
      </c>
      <c r="L9" s="2">
        <v>18.797117555547025</v>
      </c>
      <c r="M9" s="2">
        <v>-9.7339692154786981</v>
      </c>
      <c r="N9" s="2">
        <v>-1.6736820166401776</v>
      </c>
      <c r="O9" s="2">
        <v>18.797117555547025</v>
      </c>
    </row>
    <row r="10" spans="1:15" x14ac:dyDescent="0.3">
      <c r="A10" s="5"/>
      <c r="B10" t="s">
        <v>55</v>
      </c>
      <c r="C10" s="2">
        <v>3.7894595439499263</v>
      </c>
      <c r="D10" s="2">
        <v>1.3791872954981135</v>
      </c>
      <c r="E10" s="2">
        <v>20.218676286263239</v>
      </c>
      <c r="F10" s="2">
        <v>3.7894595439499263</v>
      </c>
      <c r="G10" s="2">
        <v>-1.3791872954981135</v>
      </c>
      <c r="H10" s="2">
        <v>20.218676286263239</v>
      </c>
      <c r="J10" s="2">
        <v>3.7894595439499268</v>
      </c>
      <c r="K10" s="2">
        <v>1.3791872954981135</v>
      </c>
      <c r="L10" s="2">
        <v>20.918676286263242</v>
      </c>
      <c r="M10" s="2">
        <v>3.7894595439499268</v>
      </c>
      <c r="N10" s="2">
        <v>-1.3791872954981135</v>
      </c>
      <c r="O10" s="2">
        <v>20.918676286263242</v>
      </c>
    </row>
    <row r="11" spans="1:15" x14ac:dyDescent="0.3">
      <c r="A11" s="5"/>
      <c r="B11" t="s">
        <v>56</v>
      </c>
      <c r="C11" s="2">
        <v>3.7894595439499263</v>
      </c>
      <c r="D11" s="2">
        <v>-6.8340622885969031</v>
      </c>
      <c r="E11" s="2">
        <v>19.078590645022619</v>
      </c>
      <c r="F11" s="2">
        <v>3.7894595439499263</v>
      </c>
      <c r="G11" s="2">
        <v>6.8340622885969031</v>
      </c>
      <c r="H11" s="2">
        <v>19.078590645022619</v>
      </c>
      <c r="J11" s="2">
        <v>3.7894595439499268</v>
      </c>
      <c r="K11" s="2">
        <v>-6.8340622885969031</v>
      </c>
      <c r="L11" s="2">
        <v>19.778590645022618</v>
      </c>
      <c r="M11" s="2">
        <v>3.7894595439499268</v>
      </c>
      <c r="N11" s="2">
        <v>6.8340622885969031</v>
      </c>
      <c r="O11" s="2">
        <v>19.778590645022618</v>
      </c>
    </row>
    <row r="12" spans="1:15" x14ac:dyDescent="0.3">
      <c r="A12" s="5"/>
      <c r="B12" t="s">
        <v>57</v>
      </c>
      <c r="C12" s="2">
        <v>-9.7339692154786999</v>
      </c>
      <c r="D12" s="2">
        <v>-6.5395675674548386</v>
      </c>
      <c r="E12" s="2">
        <v>16.957031914306405</v>
      </c>
      <c r="F12" s="2">
        <v>-9.7339692154786999</v>
      </c>
      <c r="G12" s="2">
        <v>6.5395675674548386</v>
      </c>
      <c r="H12" s="2">
        <v>16.957031914306405</v>
      </c>
      <c r="J12" s="2">
        <v>-9.7339692154786981</v>
      </c>
      <c r="K12" s="2">
        <v>-6.5395675674548386</v>
      </c>
      <c r="L12" s="2">
        <v>17.657031914306401</v>
      </c>
      <c r="M12" s="2">
        <v>-9.7339692154786981</v>
      </c>
      <c r="N12" s="2">
        <v>6.5395675674548386</v>
      </c>
      <c r="O12" s="2">
        <v>17.657031914306401</v>
      </c>
    </row>
    <row r="13" spans="1:15" x14ac:dyDescent="0.3">
      <c r="C13" s="2"/>
      <c r="D13" s="2"/>
      <c r="E13" s="2"/>
      <c r="F13" s="2"/>
      <c r="G13" s="2"/>
      <c r="H13" s="2"/>
    </row>
    <row r="14" spans="1:15" x14ac:dyDescent="0.3">
      <c r="A14" s="3" t="s">
        <v>100</v>
      </c>
      <c r="B14" s="6" t="s">
        <v>91</v>
      </c>
      <c r="C14" s="6"/>
      <c r="D14" s="6"/>
      <c r="E14" s="6"/>
      <c r="F14" s="6"/>
      <c r="G14" s="6"/>
      <c r="H14" s="6"/>
      <c r="J14" s="7" t="s">
        <v>92</v>
      </c>
      <c r="K14" s="7"/>
      <c r="L14" s="7"/>
      <c r="M14" s="7"/>
      <c r="N14" s="7"/>
      <c r="O14" s="7"/>
    </row>
    <row r="15" spans="1:15" x14ac:dyDescent="0.3">
      <c r="A15" t="s">
        <v>100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48</v>
      </c>
    </row>
    <row r="16" spans="1:15" x14ac:dyDescent="0.3">
      <c r="B16" t="s">
        <v>49</v>
      </c>
      <c r="C16">
        <v>-8.8817841970012523E-16</v>
      </c>
      <c r="D16">
        <v>0.59430170651917591</v>
      </c>
      <c r="E16">
        <v>18.670349443355782</v>
      </c>
      <c r="F16">
        <v>-8.8817841970012523E-16</v>
      </c>
      <c r="G16">
        <v>-0.59430170651917591</v>
      </c>
      <c r="H16">
        <v>18.670349443355782</v>
      </c>
      <c r="J16" s="2">
        <v>-4.4408920985006262E-16</v>
      </c>
      <c r="K16" s="2">
        <v>0.5943017065191768</v>
      </c>
      <c r="L16" s="2">
        <v>19.370349443355785</v>
      </c>
      <c r="M16" s="2">
        <v>-4.4408920985006262E-16</v>
      </c>
      <c r="N16" s="2">
        <v>-0.5943017065191768</v>
      </c>
      <c r="O16" s="2">
        <v>19.370349443355785</v>
      </c>
    </row>
    <row r="17" spans="2:15" x14ac:dyDescent="0.3">
      <c r="B17" t="s">
        <v>50</v>
      </c>
      <c r="C17">
        <v>-5.2347482051542311</v>
      </c>
      <c r="D17">
        <v>0.70829688779677891</v>
      </c>
      <c r="E17">
        <v>17.849120895824672</v>
      </c>
      <c r="F17">
        <v>-5.2347482051542311</v>
      </c>
      <c r="G17">
        <v>-0.70829688779677891</v>
      </c>
      <c r="H17">
        <v>17.849120895824672</v>
      </c>
      <c r="J17" s="2">
        <v>-5.2347482051542311</v>
      </c>
      <c r="K17" s="2">
        <v>0.70829688779677979</v>
      </c>
      <c r="L17" s="2">
        <v>18.549120895824675</v>
      </c>
      <c r="M17" s="2">
        <v>-5.2347482051542311</v>
      </c>
      <c r="N17" s="2">
        <v>-0.70829688779677979</v>
      </c>
      <c r="O17" s="2">
        <v>18.549120895824675</v>
      </c>
    </row>
    <row r="18" spans="2:15" x14ac:dyDescent="0.3">
      <c r="B18" t="s">
        <v>51</v>
      </c>
      <c r="C18">
        <v>-8.8817841970012523E-16</v>
      </c>
      <c r="D18">
        <v>4.4572627988938223</v>
      </c>
      <c r="E18">
        <v>19.206569173317</v>
      </c>
      <c r="F18">
        <v>-8.8817841970012523E-16</v>
      </c>
      <c r="G18">
        <v>-4.4572627988938223</v>
      </c>
      <c r="H18">
        <v>19.206569173317</v>
      </c>
      <c r="J18" s="2">
        <v>-4.4408920985006262E-16</v>
      </c>
      <c r="K18" s="2">
        <v>4.4572627988938223</v>
      </c>
      <c r="L18" s="2">
        <v>19.906569173317003</v>
      </c>
      <c r="M18" s="2">
        <v>-4.4408920985006262E-16</v>
      </c>
      <c r="N18" s="2">
        <v>-4.4572627988938223</v>
      </c>
      <c r="O18" s="2">
        <v>19.906569173317003</v>
      </c>
    </row>
    <row r="19" spans="2:15" x14ac:dyDescent="0.3">
      <c r="B19" t="s">
        <v>52</v>
      </c>
      <c r="C19">
        <v>5.2347482051542293</v>
      </c>
      <c r="D19">
        <v>0.48030652524157286</v>
      </c>
      <c r="E19">
        <v>19.491577990886892</v>
      </c>
      <c r="F19">
        <v>5.2347482051542293</v>
      </c>
      <c r="G19">
        <v>-0.48030652524157286</v>
      </c>
      <c r="H19">
        <v>19.491577990886892</v>
      </c>
      <c r="J19" s="2">
        <v>5.2347482051542293</v>
      </c>
      <c r="K19" s="2">
        <v>0.48030652524157375</v>
      </c>
      <c r="L19" s="2">
        <v>20.191577990886895</v>
      </c>
      <c r="M19" s="2">
        <v>5.2347482051542293</v>
      </c>
      <c r="N19" s="2">
        <v>-0.48030652524157375</v>
      </c>
      <c r="O19" s="2">
        <v>20.191577990886895</v>
      </c>
    </row>
    <row r="20" spans="2:15" x14ac:dyDescent="0.3">
      <c r="B20" t="s">
        <v>53</v>
      </c>
      <c r="C20">
        <v>-8.8817841970012523E-16</v>
      </c>
      <c r="D20">
        <v>-3.2686593858554702</v>
      </c>
      <c r="E20">
        <v>18.134129713394564</v>
      </c>
      <c r="F20">
        <v>-8.8817841970012523E-16</v>
      </c>
      <c r="G20">
        <v>3.2686593858554702</v>
      </c>
      <c r="H20">
        <v>18.134129713394564</v>
      </c>
      <c r="J20" s="2">
        <v>-4.4408920985006262E-16</v>
      </c>
      <c r="K20" s="2">
        <v>-3.2686593858554693</v>
      </c>
      <c r="L20" s="2">
        <v>18.834129713394567</v>
      </c>
      <c r="M20" s="2">
        <v>-4.4408920985006262E-16</v>
      </c>
      <c r="N20" s="2">
        <v>3.2686593858554693</v>
      </c>
      <c r="O20" s="2">
        <v>18.834129713394567</v>
      </c>
    </row>
    <row r="21" spans="2:15" x14ac:dyDescent="0.3">
      <c r="B21" t="s">
        <v>54</v>
      </c>
      <c r="C21">
        <v>-6.7617143797143138</v>
      </c>
      <c r="D21">
        <v>4.2538721526185395</v>
      </c>
      <c r="E21">
        <v>18.09711755554703</v>
      </c>
      <c r="F21">
        <v>-6.7617143797143138</v>
      </c>
      <c r="G21">
        <v>-4.2538721526185395</v>
      </c>
      <c r="H21">
        <v>18.09711755554703</v>
      </c>
      <c r="J21" s="2">
        <v>-6.7617143797143129</v>
      </c>
      <c r="K21" s="2">
        <v>4.2538721526185412</v>
      </c>
      <c r="L21" s="2">
        <v>18.797117555547032</v>
      </c>
      <c r="M21" s="2">
        <v>-6.7617143797143129</v>
      </c>
      <c r="N21" s="2">
        <v>-4.2538721526185412</v>
      </c>
      <c r="O21" s="2">
        <v>18.797117555547032</v>
      </c>
    </row>
    <row r="22" spans="2:15" x14ac:dyDescent="0.3">
      <c r="B22" t="s">
        <v>55</v>
      </c>
      <c r="C22">
        <v>6.761714379714312</v>
      </c>
      <c r="D22">
        <v>3.9593774314764758</v>
      </c>
      <c r="E22">
        <v>20.218676286263246</v>
      </c>
      <c r="F22">
        <v>6.761714379714312</v>
      </c>
      <c r="G22">
        <v>-3.9593774314764758</v>
      </c>
      <c r="H22">
        <v>20.218676286263246</v>
      </c>
      <c r="J22" s="2">
        <v>6.7617143797143129</v>
      </c>
      <c r="K22" s="2">
        <v>3.9593774314764767</v>
      </c>
      <c r="L22" s="2">
        <v>20.918676286263249</v>
      </c>
      <c r="M22" s="2">
        <v>6.7617143797143129</v>
      </c>
      <c r="N22" s="2">
        <v>-3.9593774314764767</v>
      </c>
      <c r="O22" s="2">
        <v>20.918676286263249</v>
      </c>
    </row>
    <row r="23" spans="2:15" x14ac:dyDescent="0.3">
      <c r="B23" t="s">
        <v>56</v>
      </c>
      <c r="C23">
        <v>6.761714379714312</v>
      </c>
      <c r="D23">
        <v>-4.2538721526185412</v>
      </c>
      <c r="E23">
        <v>19.078590645022622</v>
      </c>
      <c r="F23">
        <v>6.761714379714312</v>
      </c>
      <c r="G23">
        <v>4.2538721526185412</v>
      </c>
      <c r="H23">
        <v>19.078590645022622</v>
      </c>
      <c r="J23" s="2">
        <v>6.7617143797143129</v>
      </c>
      <c r="K23" s="2">
        <v>-4.2538721526185395</v>
      </c>
      <c r="L23" s="2">
        <v>19.778590645022625</v>
      </c>
      <c r="M23" s="2">
        <v>6.7617143797143129</v>
      </c>
      <c r="N23" s="2">
        <v>4.2538721526185395</v>
      </c>
      <c r="O23" s="2">
        <v>19.778590645022625</v>
      </c>
    </row>
    <row r="24" spans="2:15" x14ac:dyDescent="0.3">
      <c r="B24" t="s">
        <v>57</v>
      </c>
      <c r="C24">
        <v>-6.7617143797143138</v>
      </c>
      <c r="D24">
        <v>-3.9593774314764767</v>
      </c>
      <c r="E24">
        <v>16.957031914306405</v>
      </c>
      <c r="F24">
        <v>-6.7617143797143138</v>
      </c>
      <c r="G24">
        <v>3.9593774314764767</v>
      </c>
      <c r="H24">
        <v>16.957031914306405</v>
      </c>
      <c r="J24" s="2">
        <v>-6.7617143797143129</v>
      </c>
      <c r="K24" s="2">
        <v>-3.9593774314764758</v>
      </c>
      <c r="L24" s="2">
        <v>17.657031914306408</v>
      </c>
      <c r="M24" s="2">
        <v>-6.7617143797143129</v>
      </c>
      <c r="N24" s="2">
        <v>3.9593774314764758</v>
      </c>
      <c r="O24" s="2">
        <v>17.657031914306408</v>
      </c>
    </row>
    <row r="25" spans="2:15" x14ac:dyDescent="0.3">
      <c r="B25" t="s">
        <v>91</v>
      </c>
    </row>
  </sheetData>
  <mergeCells count="6">
    <mergeCell ref="A4:A8"/>
    <mergeCell ref="A9:A12"/>
    <mergeCell ref="B2:H2"/>
    <mergeCell ref="J2:O2"/>
    <mergeCell ref="B14:H14"/>
    <mergeCell ref="J14:O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to eyebox origin</vt:lpstr>
      <vt:lpstr>Field angles for MTFtester</vt:lpstr>
      <vt:lpstr>normal to waveguide origin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Zhida Xu</dc:creator>
  <cp:lastModifiedBy>Zhida Xu</cp:lastModifiedBy>
  <cp:lastPrinted>2020-05-16T16:36:19Z</cp:lastPrinted>
  <dcterms:created xsi:type="dcterms:W3CDTF">2020-05-14T05:02:40Z</dcterms:created>
  <dcterms:modified xsi:type="dcterms:W3CDTF">2020-05-19T00:40:38Z</dcterms:modified>
</cp:coreProperties>
</file>